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95" windowWidth="12240" windowHeight="7875" tabRatio="767"/>
  </bookViews>
  <sheets>
    <sheet name="O1 POBLACION" sheetId="1" r:id="rId1"/>
    <sheet name="O2 TERRITORIO" sheetId="2" r:id="rId2"/>
    <sheet name="O3 ECONOMIA" sheetId="4" r:id="rId3"/>
    <sheet name="O4 INSTITUCIONALIDAD" sheetId="5" r:id="rId4"/>
    <sheet name="Resumen Inversión" sheetId="6" r:id="rId5"/>
    <sheet name="Fuentes Financiación" sheetId="9" r:id="rId6"/>
    <sheet name="Ponderaciones" sheetId="10" r:id="rId7"/>
  </sheets>
  <definedNames>
    <definedName name="_xlnm._FilterDatabase" localSheetId="0" hidden="1">'O1 POBLACION'!$A$3:$BU$318</definedName>
    <definedName name="_xlnm.Print_Titles" localSheetId="0">'O1 POBLACION'!$1:$3</definedName>
    <definedName name="_xlnm.Print_Titles" localSheetId="1">'O2 TERRITORIO'!$1:$3</definedName>
    <definedName name="_xlnm.Print_Titles" localSheetId="2">'O3 ECONOMIA'!$1:$3</definedName>
    <definedName name="_xlnm.Print_Titles" localSheetId="3">'O4 INSTITUCIONALIDAD'!$1:$3</definedName>
  </definedNames>
  <calcPr calcId="144525"/>
</workbook>
</file>

<file path=xl/calcChain.xml><?xml version="1.0" encoding="utf-8"?>
<calcChain xmlns="http://schemas.openxmlformats.org/spreadsheetml/2006/main">
  <c r="G106" i="10" l="1"/>
  <c r="E106" i="10"/>
  <c r="B106" i="10"/>
  <c r="G105" i="10"/>
  <c r="E105" i="10"/>
  <c r="G91" i="10"/>
  <c r="E91" i="10"/>
  <c r="G69" i="10"/>
  <c r="E69" i="10"/>
  <c r="G44" i="10"/>
  <c r="E44" i="10"/>
  <c r="BD56" i="4" l="1"/>
  <c r="BC56" i="4"/>
  <c r="BB56" i="4"/>
  <c r="BA56" i="4"/>
  <c r="AZ56" i="4"/>
  <c r="AY56" i="4"/>
  <c r="AX56" i="4"/>
  <c r="AW56" i="4"/>
  <c r="AO56" i="4"/>
  <c r="AG56" i="4"/>
  <c r="Y56" i="4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 s="1"/>
  <c r="E98" i="9"/>
  <c r="D98" i="9"/>
  <c r="C98" i="9"/>
  <c r="B98" i="9"/>
  <c r="F97" i="9"/>
  <c r="F96" i="9"/>
  <c r="F95" i="9"/>
  <c r="F94" i="9"/>
  <c r="F93" i="9"/>
  <c r="F92" i="9"/>
  <c r="F91" i="9"/>
  <c r="F90" i="9"/>
  <c r="F89" i="9"/>
  <c r="F82" i="9"/>
  <c r="D81" i="9"/>
  <c r="C81" i="9"/>
  <c r="B81" i="9"/>
  <c r="E80" i="9"/>
  <c r="D80" i="9"/>
  <c r="C80" i="9"/>
  <c r="B80" i="9"/>
  <c r="C79" i="9"/>
  <c r="C77" i="9" s="1"/>
  <c r="B79" i="9"/>
  <c r="F78" i="9"/>
  <c r="E77" i="9"/>
  <c r="D77" i="9"/>
  <c r="B77" i="9"/>
  <c r="F76" i="9"/>
  <c r="F75" i="9"/>
  <c r="F74" i="9"/>
  <c r="F73" i="9"/>
  <c r="F72" i="9"/>
  <c r="F71" i="9"/>
  <c r="E70" i="9"/>
  <c r="D70" i="9"/>
  <c r="C70" i="9"/>
  <c r="B70" i="9"/>
  <c r="C69" i="9"/>
  <c r="F68" i="9"/>
  <c r="C67" i="9"/>
  <c r="C66" i="9"/>
  <c r="C65" i="9"/>
  <c r="D65" i="9" s="1"/>
  <c r="B64" i="9"/>
  <c r="F63" i="9"/>
  <c r="F62" i="9"/>
  <c r="F61" i="9"/>
  <c r="F60" i="9"/>
  <c r="E59" i="9"/>
  <c r="D59" i="9"/>
  <c r="C59" i="9"/>
  <c r="B59" i="9"/>
  <c r="F58" i="9"/>
  <c r="E57" i="9"/>
  <c r="D57" i="9"/>
  <c r="C57" i="9"/>
  <c r="B57" i="9"/>
  <c r="F56" i="9"/>
  <c r="F55" i="9"/>
  <c r="F54" i="9"/>
  <c r="F53" i="9"/>
  <c r="BE56" i="4" l="1"/>
  <c r="F59" i="9"/>
  <c r="F70" i="9"/>
  <c r="F81" i="9"/>
  <c r="F77" i="9"/>
  <c r="B112" i="9"/>
  <c r="C64" i="9"/>
  <c r="C112" i="9" s="1"/>
  <c r="D66" i="9"/>
  <c r="E66" i="9" s="1"/>
  <c r="F79" i="9"/>
  <c r="F80" i="9"/>
  <c r="F57" i="9"/>
  <c r="E65" i="9"/>
  <c r="D69" i="9"/>
  <c r="E69" i="9" s="1"/>
  <c r="D67" i="9"/>
  <c r="F66" i="9" l="1"/>
  <c r="D64" i="9"/>
  <c r="E67" i="9"/>
  <c r="E64" i="9" s="1"/>
  <c r="E112" i="9" s="1"/>
  <c r="F65" i="9"/>
  <c r="F69" i="9"/>
  <c r="F67" i="9" l="1"/>
  <c r="F64" i="9"/>
  <c r="F112" i="9" s="1"/>
  <c r="D112" i="9"/>
  <c r="Y54" i="4" l="1"/>
  <c r="Y55" i="4"/>
  <c r="AX54" i="4"/>
  <c r="AY54" i="4"/>
  <c r="AZ54" i="4"/>
  <c r="BA54" i="4"/>
  <c r="BB54" i="4"/>
  <c r="BC54" i="4"/>
  <c r="BD54" i="4"/>
  <c r="AX55" i="4"/>
  <c r="AY55" i="4"/>
  <c r="AZ55" i="4"/>
  <c r="BA55" i="4"/>
  <c r="BB55" i="4"/>
  <c r="BC55" i="4"/>
  <c r="BD55" i="4"/>
  <c r="AW54" i="4"/>
  <c r="AW55" i="4"/>
  <c r="AO54" i="4"/>
  <c r="AO55" i="4"/>
  <c r="AG54" i="4"/>
  <c r="AG55" i="4"/>
  <c r="C154" i="9"/>
  <c r="B154" i="9"/>
  <c r="F155" i="9"/>
  <c r="BE54" i="4" l="1"/>
  <c r="BE55" i="4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42" i="9"/>
  <c r="F143" i="9"/>
  <c r="F144" i="9"/>
  <c r="F145" i="9"/>
  <c r="F146" i="9"/>
  <c r="F151" i="9"/>
  <c r="F152" i="9"/>
  <c r="F153" i="9"/>
  <c r="F154" i="9"/>
  <c r="F156" i="9"/>
  <c r="F157" i="9"/>
  <c r="F163" i="9"/>
  <c r="F164" i="9"/>
  <c r="F165" i="9"/>
  <c r="F166" i="9"/>
  <c r="F167" i="9"/>
  <c r="F119" i="9"/>
  <c r="C168" i="9"/>
  <c r="D168" i="9"/>
  <c r="E168" i="9"/>
  <c r="B168" i="9"/>
  <c r="C158" i="9"/>
  <c r="D158" i="9"/>
  <c r="E158" i="9"/>
  <c r="B158" i="9"/>
  <c r="AC58" i="4"/>
  <c r="AT83" i="5"/>
  <c r="AL83" i="5"/>
  <c r="AS58" i="4"/>
  <c r="F44" i="9"/>
  <c r="F45" i="9"/>
  <c r="C43" i="9"/>
  <c r="D43" i="9" s="1"/>
  <c r="F42" i="9"/>
  <c r="C41" i="9"/>
  <c r="C40" i="9"/>
  <c r="C39" i="9"/>
  <c r="B38" i="9"/>
  <c r="D37" i="9"/>
  <c r="C37" i="9"/>
  <c r="C32" i="9" s="1"/>
  <c r="B37" i="9"/>
  <c r="B32" i="9" s="1"/>
  <c r="F36" i="9"/>
  <c r="F35" i="9"/>
  <c r="F34" i="9"/>
  <c r="F33" i="9"/>
  <c r="E32" i="9"/>
  <c r="D32" i="9"/>
  <c r="F31" i="9"/>
  <c r="E30" i="9"/>
  <c r="D30" i="9"/>
  <c r="C30" i="9"/>
  <c r="B30" i="9"/>
  <c r="F29" i="9"/>
  <c r="F28" i="9"/>
  <c r="F27" i="9"/>
  <c r="F26" i="9"/>
  <c r="B24" i="9"/>
  <c r="AR5" i="1"/>
  <c r="AG14" i="4"/>
  <c r="P11" i="5"/>
  <c r="Q11" i="5" s="1"/>
  <c r="AT89" i="5"/>
  <c r="V89" i="5"/>
  <c r="U89" i="5"/>
  <c r="W89" i="5"/>
  <c r="X89" i="5"/>
  <c r="Y89" i="5"/>
  <c r="AC89" i="5"/>
  <c r="AD89" i="5"/>
  <c r="AE89" i="5"/>
  <c r="AF89" i="5"/>
  <c r="AG89" i="5"/>
  <c r="AJ89" i="5"/>
  <c r="AK89" i="5"/>
  <c r="AL89" i="5"/>
  <c r="AM89" i="5"/>
  <c r="AN89" i="5"/>
  <c r="AO89" i="5"/>
  <c r="AQ89" i="5"/>
  <c r="AR89" i="5"/>
  <c r="AS89" i="5"/>
  <c r="AU89" i="5"/>
  <c r="AV89" i="5"/>
  <c r="AW89" i="5"/>
  <c r="S89" i="5"/>
  <c r="U83" i="5"/>
  <c r="W83" i="5"/>
  <c r="X83" i="5"/>
  <c r="Y83" i="5"/>
  <c r="AC83" i="5"/>
  <c r="AE83" i="5"/>
  <c r="AF83" i="5"/>
  <c r="AG83" i="5"/>
  <c r="AJ83" i="5"/>
  <c r="AK83" i="5"/>
  <c r="AM83" i="5"/>
  <c r="AN83" i="5"/>
  <c r="AO83" i="5"/>
  <c r="AQ83" i="5"/>
  <c r="AR83" i="5"/>
  <c r="AS83" i="5"/>
  <c r="AU83" i="5"/>
  <c r="AV83" i="5"/>
  <c r="AW83" i="5"/>
  <c r="S83" i="5"/>
  <c r="Q87" i="1"/>
  <c r="P87" i="1"/>
  <c r="N87" i="1"/>
  <c r="Z86" i="1"/>
  <c r="Z87" i="1"/>
  <c r="Z88" i="1"/>
  <c r="N85" i="1"/>
  <c r="O85" i="1" s="1"/>
  <c r="P85" i="1" s="1"/>
  <c r="Q85" i="1" s="1"/>
  <c r="AR85" i="1"/>
  <c r="AJ85" i="1"/>
  <c r="AP85" i="1" s="1"/>
  <c r="AB85" i="1"/>
  <c r="T85" i="1"/>
  <c r="AY87" i="1"/>
  <c r="BF87" i="1" s="1"/>
  <c r="AZ87" i="1"/>
  <c r="BA87" i="1"/>
  <c r="BB87" i="1"/>
  <c r="BC87" i="1"/>
  <c r="BD87" i="1"/>
  <c r="BE87" i="1"/>
  <c r="AX87" i="1"/>
  <c r="AP87" i="1"/>
  <c r="AH87" i="1"/>
  <c r="AY85" i="1"/>
  <c r="BA85" i="1"/>
  <c r="BB85" i="1"/>
  <c r="BC85" i="1"/>
  <c r="BD85" i="1"/>
  <c r="BE85" i="1"/>
  <c r="AX85" i="1"/>
  <c r="AH85" i="1"/>
  <c r="AY11" i="5"/>
  <c r="AZ11" i="5"/>
  <c r="BA11" i="5"/>
  <c r="BC11" i="5"/>
  <c r="BD11" i="5"/>
  <c r="BE11" i="5"/>
  <c r="AP11" i="5"/>
  <c r="AH11" i="5"/>
  <c r="AO48" i="4"/>
  <c r="AG48" i="4"/>
  <c r="AX51" i="4"/>
  <c r="AY51" i="4"/>
  <c r="AZ51" i="4"/>
  <c r="BA51" i="4"/>
  <c r="BB51" i="4"/>
  <c r="BC51" i="4"/>
  <c r="BD51" i="4"/>
  <c r="AW51" i="4"/>
  <c r="AO51" i="4"/>
  <c r="AG51" i="4"/>
  <c r="Y51" i="4"/>
  <c r="BD49" i="4"/>
  <c r="BC49" i="4"/>
  <c r="BB49" i="4"/>
  <c r="BA49" i="4"/>
  <c r="AZ49" i="4"/>
  <c r="AY49" i="4"/>
  <c r="AX49" i="4"/>
  <c r="AW49" i="4"/>
  <c r="AO49" i="4"/>
  <c r="AG49" i="4"/>
  <c r="Y49" i="4"/>
  <c r="BD48" i="4"/>
  <c r="BB48" i="4"/>
  <c r="BA48" i="4"/>
  <c r="AZ48" i="4"/>
  <c r="AY48" i="4"/>
  <c r="AX48" i="4"/>
  <c r="AW48" i="4"/>
  <c r="Y48" i="4"/>
  <c r="AZ85" i="1" l="1"/>
  <c r="BC48" i="4"/>
  <c r="BE51" i="4"/>
  <c r="F168" i="9"/>
  <c r="F170" i="9"/>
  <c r="F158" i="9"/>
  <c r="BF85" i="1"/>
  <c r="Z85" i="1"/>
  <c r="F32" i="9"/>
  <c r="C38" i="9"/>
  <c r="C46" i="9" s="1"/>
  <c r="E43" i="9"/>
  <c r="E24" i="9" s="1"/>
  <c r="D24" i="9"/>
  <c r="C24" i="9"/>
  <c r="B46" i="9"/>
  <c r="F30" i="9"/>
  <c r="F37" i="9"/>
  <c r="D39" i="9"/>
  <c r="D40" i="9"/>
  <c r="E40" i="9" s="1"/>
  <c r="D41" i="9"/>
  <c r="E41" i="9" s="1"/>
  <c r="AX11" i="5"/>
  <c r="Z11" i="5"/>
  <c r="BB11" i="5"/>
  <c r="V83" i="5"/>
  <c r="BE49" i="4"/>
  <c r="BE48" i="4"/>
  <c r="F43" i="9" l="1"/>
  <c r="F41" i="9"/>
  <c r="D38" i="9"/>
  <c r="E39" i="9"/>
  <c r="E38" i="9" s="1"/>
  <c r="E46" i="9" s="1"/>
  <c r="F40" i="9"/>
  <c r="BF11" i="5"/>
  <c r="F38" i="9" l="1"/>
  <c r="F46" i="9" s="1"/>
  <c r="D46" i="9"/>
  <c r="F39" i="9"/>
  <c r="E147" i="9"/>
  <c r="D147" i="9"/>
  <c r="C147" i="9"/>
  <c r="B147" i="9"/>
  <c r="E138" i="9"/>
  <c r="D138" i="9"/>
  <c r="C138" i="9"/>
  <c r="B138" i="9"/>
  <c r="Q34" i="6"/>
  <c r="AK58" i="4"/>
  <c r="AB8" i="5"/>
  <c r="T8" i="5"/>
  <c r="AR280" i="1"/>
  <c r="AJ280" i="1"/>
  <c r="AB280" i="1"/>
  <c r="T280" i="1"/>
  <c r="Z75" i="5"/>
  <c r="AH75" i="5"/>
  <c r="AP75" i="5"/>
  <c r="AX75" i="5"/>
  <c r="AY75" i="5"/>
  <c r="AZ75" i="5"/>
  <c r="BA75" i="5"/>
  <c r="BB75" i="5"/>
  <c r="BC75" i="5"/>
  <c r="BD75" i="5"/>
  <c r="BE75" i="5"/>
  <c r="BF75" i="5"/>
  <c r="BE224" i="1"/>
  <c r="BD224" i="1"/>
  <c r="BC224" i="1"/>
  <c r="BB224" i="1"/>
  <c r="BA224" i="1"/>
  <c r="AZ224" i="1"/>
  <c r="AY224" i="1"/>
  <c r="AX224" i="1"/>
  <c r="AP224" i="1"/>
  <c r="AH224" i="1"/>
  <c r="Z224" i="1"/>
  <c r="AX5" i="4"/>
  <c r="AX6" i="4"/>
  <c r="AX7" i="4"/>
  <c r="AX8" i="4"/>
  <c r="AX9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X24" i="4"/>
  <c r="AX25" i="4"/>
  <c r="AX28" i="4"/>
  <c r="AX29" i="4"/>
  <c r="AX30" i="4"/>
  <c r="AX31" i="4"/>
  <c r="AX32" i="4"/>
  <c r="AX33" i="4"/>
  <c r="AX34" i="4"/>
  <c r="AX35" i="4"/>
  <c r="AX36" i="4"/>
  <c r="AX37" i="4"/>
  <c r="AX38" i="4"/>
  <c r="AX39" i="4"/>
  <c r="AX40" i="4"/>
  <c r="AX41" i="4"/>
  <c r="AX42" i="4"/>
  <c r="AX43" i="4"/>
  <c r="AX44" i="4"/>
  <c r="AX45" i="4"/>
  <c r="AX46" i="4"/>
  <c r="AX47" i="4"/>
  <c r="AX50" i="4"/>
  <c r="AX52" i="4"/>
  <c r="AX53" i="4"/>
  <c r="AX57" i="4"/>
  <c r="T91" i="5"/>
  <c r="U91" i="5"/>
  <c r="V91" i="5"/>
  <c r="W91" i="5"/>
  <c r="X91" i="5"/>
  <c r="Y91" i="5"/>
  <c r="AA91" i="5"/>
  <c r="AB91" i="5"/>
  <c r="AC91" i="5"/>
  <c r="AE91" i="5"/>
  <c r="AF91" i="5"/>
  <c r="AG91" i="5"/>
  <c r="AI91" i="5"/>
  <c r="AJ91" i="5"/>
  <c r="AK91" i="5"/>
  <c r="AL91" i="5"/>
  <c r="AM91" i="5"/>
  <c r="AN91" i="5"/>
  <c r="AO91" i="5"/>
  <c r="AQ91" i="5"/>
  <c r="AR91" i="5"/>
  <c r="AS91" i="5"/>
  <c r="AT91" i="5"/>
  <c r="AU91" i="5"/>
  <c r="AV91" i="5"/>
  <c r="AW91" i="5"/>
  <c r="T90" i="5"/>
  <c r="U90" i="5"/>
  <c r="V90" i="5"/>
  <c r="W90" i="5"/>
  <c r="X90" i="5"/>
  <c r="Y90" i="5"/>
  <c r="AA90" i="5"/>
  <c r="AB90" i="5"/>
  <c r="AC90" i="5"/>
  <c r="AD90" i="5"/>
  <c r="AE90" i="5"/>
  <c r="AF90" i="5"/>
  <c r="AG90" i="5"/>
  <c r="AI90" i="5"/>
  <c r="AJ90" i="5"/>
  <c r="AK90" i="5"/>
  <c r="AL90" i="5"/>
  <c r="AM90" i="5"/>
  <c r="AN90" i="5"/>
  <c r="AO90" i="5"/>
  <c r="AQ90" i="5"/>
  <c r="AR90" i="5"/>
  <c r="AS90" i="5"/>
  <c r="AT90" i="5"/>
  <c r="AU90" i="5"/>
  <c r="AV90" i="5"/>
  <c r="AW90" i="5"/>
  <c r="S91" i="5"/>
  <c r="S90" i="5"/>
  <c r="P34" i="6"/>
  <c r="Q29" i="6"/>
  <c r="Q32" i="6"/>
  <c r="N34" i="6"/>
  <c r="O34" i="6"/>
  <c r="AP81" i="5"/>
  <c r="AP82" i="5"/>
  <c r="AP79" i="5"/>
  <c r="AP73" i="5"/>
  <c r="AP74" i="5"/>
  <c r="AP76" i="5"/>
  <c r="AP77" i="5"/>
  <c r="AP78" i="5"/>
  <c r="AP5" i="5"/>
  <c r="AP6" i="5"/>
  <c r="AP7" i="5"/>
  <c r="AP8" i="5"/>
  <c r="AP9" i="5"/>
  <c r="AP10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9" i="5"/>
  <c r="AP30" i="5"/>
  <c r="AP31" i="5"/>
  <c r="AP32" i="5"/>
  <c r="AP33" i="5"/>
  <c r="AP34" i="5"/>
  <c r="AP35" i="5"/>
  <c r="AP36" i="5"/>
  <c r="AP37" i="5"/>
  <c r="AP38" i="5"/>
  <c r="AP39" i="5"/>
  <c r="AP40" i="5"/>
  <c r="AP41" i="5"/>
  <c r="AP42" i="5"/>
  <c r="AP43" i="5"/>
  <c r="AP44" i="5"/>
  <c r="AP45" i="5"/>
  <c r="AP46" i="5"/>
  <c r="AP47" i="5"/>
  <c r="AP48" i="5"/>
  <c r="AP49" i="5"/>
  <c r="AP50" i="5"/>
  <c r="AP51" i="5"/>
  <c r="AP52" i="5"/>
  <c r="AP53" i="5"/>
  <c r="AP54" i="5"/>
  <c r="AP55" i="5"/>
  <c r="AP56" i="5"/>
  <c r="AP57" i="5"/>
  <c r="AP58" i="5"/>
  <c r="AP59" i="5"/>
  <c r="AP60" i="5"/>
  <c r="AP61" i="5"/>
  <c r="AP62" i="5"/>
  <c r="AP63" i="5"/>
  <c r="AP64" i="5"/>
  <c r="AP65" i="5"/>
  <c r="AP66" i="5"/>
  <c r="AP67" i="5"/>
  <c r="AP68" i="5"/>
  <c r="AP69" i="5"/>
  <c r="AP70" i="5"/>
  <c r="AP71" i="5"/>
  <c r="AP72" i="5"/>
  <c r="N29" i="6"/>
  <c r="AY82" i="5"/>
  <c r="AY81" i="5"/>
  <c r="AY79" i="5"/>
  <c r="AY78" i="5"/>
  <c r="AY68" i="5"/>
  <c r="AY69" i="5"/>
  <c r="AY70" i="5"/>
  <c r="AY71" i="5"/>
  <c r="AY72" i="5"/>
  <c r="AY73" i="5"/>
  <c r="AY74" i="5"/>
  <c r="AY76" i="5"/>
  <c r="AY77" i="5"/>
  <c r="AY60" i="5"/>
  <c r="AY61" i="5"/>
  <c r="AY62" i="5"/>
  <c r="AY63" i="5"/>
  <c r="AY64" i="5"/>
  <c r="AY65" i="5"/>
  <c r="AY66" i="5"/>
  <c r="AY67" i="5"/>
  <c r="AY26" i="5"/>
  <c r="AY27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Y49" i="5"/>
  <c r="AY50" i="5"/>
  <c r="AY51" i="5"/>
  <c r="AY52" i="5"/>
  <c r="AY53" i="5"/>
  <c r="AY54" i="5"/>
  <c r="AY55" i="5"/>
  <c r="AY56" i="5"/>
  <c r="AY57" i="5"/>
  <c r="AY58" i="5"/>
  <c r="AY59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9" i="5"/>
  <c r="AY10" i="5"/>
  <c r="AY12" i="5"/>
  <c r="AY5" i="5"/>
  <c r="AY6" i="5"/>
  <c r="AY7" i="5"/>
  <c r="AY8" i="5"/>
  <c r="AY4" i="5"/>
  <c r="T105" i="2"/>
  <c r="U105" i="2"/>
  <c r="V105" i="2"/>
  <c r="W105" i="2"/>
  <c r="X105" i="2"/>
  <c r="AA105" i="2"/>
  <c r="AB105" i="2"/>
  <c r="AC105" i="2"/>
  <c r="AD105" i="2"/>
  <c r="AE105" i="2"/>
  <c r="AF105" i="2"/>
  <c r="AI105" i="2"/>
  <c r="H29" i="6" s="1"/>
  <c r="AJ105" i="2"/>
  <c r="AK105" i="2"/>
  <c r="AM105" i="2"/>
  <c r="AN105" i="2"/>
  <c r="AQ105" i="2"/>
  <c r="I29" i="6" s="1"/>
  <c r="AR105" i="2"/>
  <c r="AS105" i="2"/>
  <c r="AT105" i="2"/>
  <c r="AU105" i="2"/>
  <c r="AV105" i="2"/>
  <c r="AW105" i="2"/>
  <c r="G29" i="6"/>
  <c r="F138" i="9" l="1"/>
  <c r="F147" i="9"/>
  <c r="T89" i="5"/>
  <c r="T83" i="5"/>
  <c r="AB89" i="5"/>
  <c r="AB83" i="5"/>
  <c r="BF224" i="1"/>
  <c r="AY91" i="5"/>
  <c r="AP91" i="5"/>
  <c r="AP90" i="5"/>
  <c r="AY90" i="5"/>
  <c r="BE76" i="5" l="1"/>
  <c r="BD76" i="5"/>
  <c r="BC76" i="5"/>
  <c r="BB76" i="5"/>
  <c r="BA76" i="5"/>
  <c r="AZ76" i="5"/>
  <c r="AX76" i="5"/>
  <c r="AH76" i="5"/>
  <c r="Z76" i="5"/>
  <c r="BE70" i="5"/>
  <c r="BD70" i="5"/>
  <c r="BC70" i="5"/>
  <c r="BA70" i="5"/>
  <c r="AZ70" i="5"/>
  <c r="AX70" i="5"/>
  <c r="AD70" i="5"/>
  <c r="AD83" i="5" s="1"/>
  <c r="Z70" i="5"/>
  <c r="BE69" i="5"/>
  <c r="BD69" i="5"/>
  <c r="BC69" i="5"/>
  <c r="BB69" i="5"/>
  <c r="BA69" i="5"/>
  <c r="AZ69" i="5"/>
  <c r="AX69" i="5"/>
  <c r="AH69" i="5"/>
  <c r="Z69" i="5"/>
  <c r="BE68" i="5"/>
  <c r="BD68" i="5"/>
  <c r="BC68" i="5"/>
  <c r="BB68" i="5"/>
  <c r="BA68" i="5"/>
  <c r="AZ68" i="5"/>
  <c r="AX68" i="5"/>
  <c r="AH68" i="5"/>
  <c r="Z68" i="5"/>
  <c r="BE67" i="5"/>
  <c r="BD67" i="5"/>
  <c r="BC67" i="5"/>
  <c r="BB67" i="5"/>
  <c r="BA67" i="5"/>
  <c r="AZ67" i="5"/>
  <c r="AX67" i="5"/>
  <c r="AH67" i="5"/>
  <c r="Z67" i="5"/>
  <c r="BE66" i="5"/>
  <c r="BD66" i="5"/>
  <c r="BC66" i="5"/>
  <c r="BB66" i="5"/>
  <c r="BA66" i="5"/>
  <c r="AZ66" i="5"/>
  <c r="AX66" i="5"/>
  <c r="AH66" i="5"/>
  <c r="Z66" i="5"/>
  <c r="BE61" i="5"/>
  <c r="BD61" i="5"/>
  <c r="BC61" i="5"/>
  <c r="BB61" i="5"/>
  <c r="BA61" i="5"/>
  <c r="AZ61" i="5"/>
  <c r="AX61" i="5"/>
  <c r="AH61" i="5"/>
  <c r="Z61" i="5"/>
  <c r="BE60" i="5"/>
  <c r="BD60" i="5"/>
  <c r="BC60" i="5"/>
  <c r="BB60" i="5"/>
  <c r="BA60" i="5"/>
  <c r="AZ60" i="5"/>
  <c r="AX60" i="5"/>
  <c r="AH60" i="5"/>
  <c r="Z60" i="5"/>
  <c r="BE59" i="5"/>
  <c r="BD59" i="5"/>
  <c r="BC59" i="5"/>
  <c r="BB59" i="5"/>
  <c r="BA59" i="5"/>
  <c r="AZ59" i="5"/>
  <c r="AX59" i="5"/>
  <c r="AH59" i="5"/>
  <c r="Z59" i="5"/>
  <c r="BE58" i="5"/>
  <c r="BD58" i="5"/>
  <c r="BC58" i="5"/>
  <c r="BB58" i="5"/>
  <c r="BA58" i="5"/>
  <c r="AZ58" i="5"/>
  <c r="AX58" i="5"/>
  <c r="AH58" i="5"/>
  <c r="Z58" i="5"/>
  <c r="BE57" i="5"/>
  <c r="BD57" i="5"/>
  <c r="BC57" i="5"/>
  <c r="BB57" i="5"/>
  <c r="BA57" i="5"/>
  <c r="AZ57" i="5"/>
  <c r="AX57" i="5"/>
  <c r="AH57" i="5"/>
  <c r="Z57" i="5"/>
  <c r="BB70" i="5" l="1"/>
  <c r="AD91" i="5"/>
  <c r="BF67" i="5"/>
  <c r="BF76" i="5"/>
  <c r="BF69" i="5"/>
  <c r="BF66" i="5"/>
  <c r="BF68" i="5"/>
  <c r="AH70" i="5"/>
  <c r="BF70" i="5" s="1"/>
  <c r="BF58" i="5"/>
  <c r="BF59" i="5"/>
  <c r="BF61" i="5"/>
  <c r="BF57" i="5"/>
  <c r="BF60" i="5"/>
  <c r="BC28" i="4" l="1"/>
  <c r="AW28" i="4"/>
  <c r="Y28" i="4"/>
  <c r="P104" i="2"/>
  <c r="Q104" i="2" s="1"/>
  <c r="R104" i="2" s="1"/>
  <c r="T116" i="2"/>
  <c r="U116" i="2"/>
  <c r="V116" i="2"/>
  <c r="W116" i="2"/>
  <c r="X116" i="2"/>
  <c r="Y116" i="2"/>
  <c r="AA116" i="2"/>
  <c r="AB116" i="2"/>
  <c r="AC116" i="2"/>
  <c r="AD116" i="2"/>
  <c r="AE116" i="2"/>
  <c r="AF116" i="2"/>
  <c r="AG116" i="2"/>
  <c r="AI116" i="2"/>
  <c r="AJ116" i="2"/>
  <c r="AK116" i="2"/>
  <c r="AL116" i="2"/>
  <c r="AM116" i="2"/>
  <c r="AN116" i="2"/>
  <c r="AO116" i="2"/>
  <c r="AQ116" i="2"/>
  <c r="AR116" i="2"/>
  <c r="AS116" i="2"/>
  <c r="AT116" i="2"/>
  <c r="AU116" i="2"/>
  <c r="AV116" i="2"/>
  <c r="AW116" i="2"/>
  <c r="T115" i="2"/>
  <c r="U115" i="2"/>
  <c r="V115" i="2"/>
  <c r="W115" i="2"/>
  <c r="X115" i="2"/>
  <c r="AA115" i="2"/>
  <c r="AB115" i="2"/>
  <c r="AC115" i="2"/>
  <c r="AD115" i="2"/>
  <c r="AE115" i="2"/>
  <c r="AF115" i="2"/>
  <c r="AI115" i="2"/>
  <c r="AJ115" i="2"/>
  <c r="AK115" i="2"/>
  <c r="AL115" i="2"/>
  <c r="AM115" i="2"/>
  <c r="AN115" i="2"/>
  <c r="AO115" i="2"/>
  <c r="AQ115" i="2"/>
  <c r="AR115" i="2"/>
  <c r="AS115" i="2"/>
  <c r="AT115" i="2"/>
  <c r="AU115" i="2"/>
  <c r="AV115" i="2"/>
  <c r="AW115" i="2"/>
  <c r="T114" i="2"/>
  <c r="U114" i="2"/>
  <c r="V114" i="2"/>
  <c r="W114" i="2"/>
  <c r="X114" i="2"/>
  <c r="Y114" i="2"/>
  <c r="AA114" i="2"/>
  <c r="AB114" i="2"/>
  <c r="AC114" i="2"/>
  <c r="AD114" i="2"/>
  <c r="AE114" i="2"/>
  <c r="AF114" i="2"/>
  <c r="AG114" i="2"/>
  <c r="AI114" i="2"/>
  <c r="AJ114" i="2"/>
  <c r="AK114" i="2"/>
  <c r="AL114" i="2"/>
  <c r="AM114" i="2"/>
  <c r="AN114" i="2"/>
  <c r="AO114" i="2"/>
  <c r="AQ114" i="2"/>
  <c r="AR114" i="2"/>
  <c r="AS114" i="2"/>
  <c r="AT114" i="2"/>
  <c r="AU114" i="2"/>
  <c r="AV114" i="2"/>
  <c r="AW114" i="2"/>
  <c r="T113" i="2"/>
  <c r="U113" i="2"/>
  <c r="V113" i="2"/>
  <c r="W113" i="2"/>
  <c r="X113" i="2"/>
  <c r="Y113" i="2"/>
  <c r="AA113" i="2"/>
  <c r="AB113" i="2"/>
  <c r="AC113" i="2"/>
  <c r="AD113" i="2"/>
  <c r="AE113" i="2"/>
  <c r="AF113" i="2"/>
  <c r="AG113" i="2"/>
  <c r="AI113" i="2"/>
  <c r="AJ113" i="2"/>
  <c r="AK113" i="2"/>
  <c r="AM113" i="2"/>
  <c r="AN113" i="2"/>
  <c r="AQ113" i="2"/>
  <c r="AR113" i="2"/>
  <c r="AS113" i="2"/>
  <c r="AT113" i="2"/>
  <c r="AU113" i="2"/>
  <c r="AV113" i="2"/>
  <c r="AW113" i="2"/>
  <c r="S116" i="2"/>
  <c r="S115" i="2"/>
  <c r="S114" i="2"/>
  <c r="S113" i="2"/>
  <c r="AW112" i="2"/>
  <c r="AV112" i="2"/>
  <c r="AU112" i="2"/>
  <c r="AT112" i="2"/>
  <c r="AT117" i="2" s="1"/>
  <c r="I32" i="6" s="1"/>
  <c r="AS112" i="2"/>
  <c r="AR112" i="2"/>
  <c r="AR117" i="2" s="1"/>
  <c r="I30" i="6" s="1"/>
  <c r="AQ112" i="2"/>
  <c r="AO112" i="2"/>
  <c r="AN112" i="2"/>
  <c r="AM112" i="2"/>
  <c r="AM117" i="2" s="1"/>
  <c r="H33" i="6" s="1"/>
  <c r="AL112" i="2"/>
  <c r="AK112" i="2"/>
  <c r="AJ112" i="2"/>
  <c r="AI112" i="2"/>
  <c r="AG112" i="2"/>
  <c r="AF112" i="2"/>
  <c r="AE112" i="2"/>
  <c r="AD112" i="2"/>
  <c r="AD117" i="2" s="1"/>
  <c r="G32" i="6" s="1"/>
  <c r="AC112" i="2"/>
  <c r="AB112" i="2"/>
  <c r="AB117" i="2" s="1"/>
  <c r="G30" i="6" s="1"/>
  <c r="AA112" i="2"/>
  <c r="Y112" i="2"/>
  <c r="X112" i="2"/>
  <c r="W112" i="2"/>
  <c r="W117" i="2" s="1"/>
  <c r="F33" i="6" s="1"/>
  <c r="V112" i="2"/>
  <c r="U112" i="2"/>
  <c r="U117" i="2" s="1"/>
  <c r="F31" i="6" s="1"/>
  <c r="T112" i="2"/>
  <c r="S112" i="2"/>
  <c r="S105" i="2"/>
  <c r="F29" i="6" s="1"/>
  <c r="BE104" i="2"/>
  <c r="BD104" i="2"/>
  <c r="BC104" i="2"/>
  <c r="BB104" i="2"/>
  <c r="BA104" i="2"/>
  <c r="AZ104" i="2"/>
  <c r="AY104" i="2"/>
  <c r="AX104" i="2"/>
  <c r="AP104" i="2"/>
  <c r="AH104" i="2"/>
  <c r="Z104" i="2"/>
  <c r="BE103" i="2"/>
  <c r="BD103" i="2"/>
  <c r="BC103" i="2"/>
  <c r="BB103" i="2"/>
  <c r="BA103" i="2"/>
  <c r="AZ103" i="2"/>
  <c r="AY103" i="2"/>
  <c r="AX103" i="2"/>
  <c r="AP103" i="2"/>
  <c r="AH103" i="2"/>
  <c r="Z103" i="2"/>
  <c r="BE102" i="2"/>
  <c r="BD102" i="2"/>
  <c r="BC102" i="2"/>
  <c r="BB102" i="2"/>
  <c r="BA102" i="2"/>
  <c r="AZ102" i="2"/>
  <c r="AY102" i="2"/>
  <c r="AX102" i="2"/>
  <c r="AP102" i="2"/>
  <c r="AH102" i="2"/>
  <c r="Z102" i="2"/>
  <c r="BE101" i="2"/>
  <c r="BD101" i="2"/>
  <c r="BC101" i="2"/>
  <c r="BB101" i="2"/>
  <c r="BA101" i="2"/>
  <c r="AZ101" i="2"/>
  <c r="AY101" i="2"/>
  <c r="AX101" i="2"/>
  <c r="AP101" i="2"/>
  <c r="AH101" i="2"/>
  <c r="Z101" i="2"/>
  <c r="BE100" i="2"/>
  <c r="BD100" i="2"/>
  <c r="BC100" i="2"/>
  <c r="BB100" i="2"/>
  <c r="BA100" i="2"/>
  <c r="AZ100" i="2"/>
  <c r="AY100" i="2"/>
  <c r="AX100" i="2"/>
  <c r="AP100" i="2"/>
  <c r="AH100" i="2"/>
  <c r="Z100" i="2"/>
  <c r="BE99" i="2"/>
  <c r="BD99" i="2"/>
  <c r="BC99" i="2"/>
  <c r="BB99" i="2"/>
  <c r="BA99" i="2"/>
  <c r="AZ99" i="2"/>
  <c r="AY99" i="2"/>
  <c r="AX99" i="2"/>
  <c r="AP99" i="2"/>
  <c r="AH99" i="2"/>
  <c r="Z99" i="2"/>
  <c r="BE98" i="2"/>
  <c r="BD98" i="2"/>
  <c r="BC98" i="2"/>
  <c r="BB98" i="2"/>
  <c r="BA98" i="2"/>
  <c r="AZ98" i="2"/>
  <c r="AY98" i="2"/>
  <c r="AX98" i="2"/>
  <c r="AP98" i="2"/>
  <c r="AH98" i="2"/>
  <c r="Z98" i="2"/>
  <c r="BE97" i="2"/>
  <c r="BD97" i="2"/>
  <c r="BC97" i="2"/>
  <c r="BB97" i="2"/>
  <c r="BA97" i="2"/>
  <c r="AZ97" i="2"/>
  <c r="AY97" i="2"/>
  <c r="AX97" i="2"/>
  <c r="AP97" i="2"/>
  <c r="AH97" i="2"/>
  <c r="Z97" i="2"/>
  <c r="BE96" i="2"/>
  <c r="BD96" i="2"/>
  <c r="BC96" i="2"/>
  <c r="BB96" i="2"/>
  <c r="BA96" i="2"/>
  <c r="AZ96" i="2"/>
  <c r="AY96" i="2"/>
  <c r="AX96" i="2"/>
  <c r="AP96" i="2"/>
  <c r="AH96" i="2"/>
  <c r="Z96" i="2"/>
  <c r="BE95" i="2"/>
  <c r="BD95" i="2"/>
  <c r="BC95" i="2"/>
  <c r="BB95" i="2"/>
  <c r="BA95" i="2"/>
  <c r="AZ95" i="2"/>
  <c r="AY95" i="2"/>
  <c r="AX95" i="2"/>
  <c r="AP95" i="2"/>
  <c r="AH95" i="2"/>
  <c r="Z95" i="2"/>
  <c r="BE94" i="2"/>
  <c r="BD94" i="2"/>
  <c r="BC94" i="2"/>
  <c r="BB94" i="2"/>
  <c r="BA94" i="2"/>
  <c r="AZ94" i="2"/>
  <c r="AY94" i="2"/>
  <c r="AX94" i="2"/>
  <c r="AP94" i="2"/>
  <c r="AH94" i="2"/>
  <c r="Z94" i="2"/>
  <c r="BE93" i="2"/>
  <c r="BD93" i="2"/>
  <c r="BC93" i="2"/>
  <c r="BB93" i="2"/>
  <c r="BA93" i="2"/>
  <c r="AZ93" i="2"/>
  <c r="AY93" i="2"/>
  <c r="AX93" i="2"/>
  <c r="AP93" i="2"/>
  <c r="AH93" i="2"/>
  <c r="Z93" i="2"/>
  <c r="BE92" i="2"/>
  <c r="BD92" i="2"/>
  <c r="BC92" i="2"/>
  <c r="BB92" i="2"/>
  <c r="BA92" i="2"/>
  <c r="AZ92" i="2"/>
  <c r="AY92" i="2"/>
  <c r="AX92" i="2"/>
  <c r="AP92" i="2"/>
  <c r="AH92" i="2"/>
  <c r="Z92" i="2"/>
  <c r="BE91" i="2"/>
  <c r="BD91" i="2"/>
  <c r="BC91" i="2"/>
  <c r="BB91" i="2"/>
  <c r="BA91" i="2"/>
  <c r="AZ91" i="2"/>
  <c r="AY91" i="2"/>
  <c r="AX91" i="2"/>
  <c r="AP91" i="2"/>
  <c r="AH91" i="2"/>
  <c r="Z91" i="2"/>
  <c r="BE90" i="2"/>
  <c r="BE116" i="2" s="1"/>
  <c r="BD90" i="2"/>
  <c r="BC90" i="2"/>
  <c r="BC116" i="2" s="1"/>
  <c r="BB90" i="2"/>
  <c r="BA90" i="2"/>
  <c r="BA116" i="2" s="1"/>
  <c r="AZ90" i="2"/>
  <c r="AY90" i="2"/>
  <c r="AX90" i="2"/>
  <c r="AP90" i="2"/>
  <c r="AH90" i="2"/>
  <c r="Z90" i="2"/>
  <c r="BE89" i="2"/>
  <c r="BD89" i="2"/>
  <c r="BC89" i="2"/>
  <c r="BB89" i="2"/>
  <c r="BA89" i="2"/>
  <c r="AZ89" i="2"/>
  <c r="AY89" i="2"/>
  <c r="AX89" i="2"/>
  <c r="AP89" i="2"/>
  <c r="AH89" i="2"/>
  <c r="Z89" i="2"/>
  <c r="BE88" i="2"/>
  <c r="BD88" i="2"/>
  <c r="BC88" i="2"/>
  <c r="BB88" i="2"/>
  <c r="BA88" i="2"/>
  <c r="AZ88" i="2"/>
  <c r="AY88" i="2"/>
  <c r="AX88" i="2"/>
  <c r="AP88" i="2"/>
  <c r="AH88" i="2"/>
  <c r="Z88" i="2"/>
  <c r="BE87" i="2"/>
  <c r="BD87" i="2"/>
  <c r="BC87" i="2"/>
  <c r="BB87" i="2"/>
  <c r="BA87" i="2"/>
  <c r="AZ87" i="2"/>
  <c r="AY87" i="2"/>
  <c r="AX87" i="2"/>
  <c r="AP87" i="2"/>
  <c r="AH87" i="2"/>
  <c r="Z87" i="2"/>
  <c r="BE86" i="2"/>
  <c r="BD86" i="2"/>
  <c r="BC86" i="2"/>
  <c r="BB86" i="2"/>
  <c r="BA86" i="2"/>
  <c r="AZ86" i="2"/>
  <c r="AY86" i="2"/>
  <c r="AX86" i="2"/>
  <c r="AP86" i="2"/>
  <c r="AH86" i="2"/>
  <c r="Z86" i="2"/>
  <c r="BE85" i="2"/>
  <c r="BD85" i="2"/>
  <c r="BC85" i="2"/>
  <c r="BB85" i="2"/>
  <c r="BA85" i="2"/>
  <c r="AZ85" i="2"/>
  <c r="AY85" i="2"/>
  <c r="AX85" i="2"/>
  <c r="AP85" i="2"/>
  <c r="AH85" i="2"/>
  <c r="Z85" i="2"/>
  <c r="BE84" i="2"/>
  <c r="BD84" i="2"/>
  <c r="BC84" i="2"/>
  <c r="BB84" i="2"/>
  <c r="BA84" i="2"/>
  <c r="AZ84" i="2"/>
  <c r="AY84" i="2"/>
  <c r="AX84" i="2"/>
  <c r="AP84" i="2"/>
  <c r="AH84" i="2"/>
  <c r="Z84" i="2"/>
  <c r="BE83" i="2"/>
  <c r="BD83" i="2"/>
  <c r="BC83" i="2"/>
  <c r="BB83" i="2"/>
  <c r="BA83" i="2"/>
  <c r="AZ83" i="2"/>
  <c r="AY83" i="2"/>
  <c r="AX83" i="2"/>
  <c r="AP83" i="2"/>
  <c r="AH83" i="2"/>
  <c r="Z83" i="2"/>
  <c r="BE82" i="2"/>
  <c r="BD82" i="2"/>
  <c r="BC82" i="2"/>
  <c r="BB82" i="2"/>
  <c r="BA82" i="2"/>
  <c r="AZ82" i="2"/>
  <c r="AY82" i="2"/>
  <c r="AX82" i="2"/>
  <c r="AP82" i="2"/>
  <c r="AH82" i="2"/>
  <c r="Z82" i="2"/>
  <c r="BE81" i="2"/>
  <c r="BD81" i="2"/>
  <c r="BC81" i="2"/>
  <c r="BB81" i="2"/>
  <c r="BA81" i="2"/>
  <c r="AZ81" i="2"/>
  <c r="AY81" i="2"/>
  <c r="AX81" i="2"/>
  <c r="AP81" i="2"/>
  <c r="AH81" i="2"/>
  <c r="Z81" i="2"/>
  <c r="BE80" i="2"/>
  <c r="BD80" i="2"/>
  <c r="BC80" i="2"/>
  <c r="BB80" i="2"/>
  <c r="BA80" i="2"/>
  <c r="AZ80" i="2"/>
  <c r="AY80" i="2"/>
  <c r="AX80" i="2"/>
  <c r="AP80" i="2"/>
  <c r="AH80" i="2"/>
  <c r="Z80" i="2"/>
  <c r="BE79" i="2"/>
  <c r="BD79" i="2"/>
  <c r="BC79" i="2"/>
  <c r="BB79" i="2"/>
  <c r="BA79" i="2"/>
  <c r="AZ79" i="2"/>
  <c r="AY79" i="2"/>
  <c r="AX79" i="2"/>
  <c r="AP79" i="2"/>
  <c r="AH79" i="2"/>
  <c r="Z79" i="2"/>
  <c r="N79" i="2"/>
  <c r="BE78" i="2"/>
  <c r="BD78" i="2"/>
  <c r="BC78" i="2"/>
  <c r="BB78" i="2"/>
  <c r="BA78" i="2"/>
  <c r="AZ78" i="2"/>
  <c r="AY78" i="2"/>
  <c r="AX78" i="2"/>
  <c r="AP78" i="2"/>
  <c r="AH78" i="2"/>
  <c r="Z78" i="2"/>
  <c r="BE77" i="2"/>
  <c r="BD77" i="2"/>
  <c r="BC77" i="2"/>
  <c r="BB77" i="2"/>
  <c r="BA77" i="2"/>
  <c r="AZ77" i="2"/>
  <c r="AY77" i="2"/>
  <c r="AX77" i="2"/>
  <c r="AP77" i="2"/>
  <c r="AH77" i="2"/>
  <c r="Z77" i="2"/>
  <c r="BE76" i="2"/>
  <c r="BD76" i="2"/>
  <c r="BC76" i="2"/>
  <c r="BB76" i="2"/>
  <c r="BA76" i="2"/>
  <c r="AZ76" i="2"/>
  <c r="AY76" i="2"/>
  <c r="AX76" i="2"/>
  <c r="AP76" i="2"/>
  <c r="AH76" i="2"/>
  <c r="Z76" i="2"/>
  <c r="N76" i="2"/>
  <c r="BE75" i="2"/>
  <c r="BD75" i="2"/>
  <c r="BC75" i="2"/>
  <c r="BB75" i="2"/>
  <c r="BA75" i="2"/>
  <c r="AZ75" i="2"/>
  <c r="AY75" i="2"/>
  <c r="AX75" i="2"/>
  <c r="AP75" i="2"/>
  <c r="AH75" i="2"/>
  <c r="Z75" i="2"/>
  <c r="BE74" i="2"/>
  <c r="BD74" i="2"/>
  <c r="BC74" i="2"/>
  <c r="BB74" i="2"/>
  <c r="BA74" i="2"/>
  <c r="AZ74" i="2"/>
  <c r="AX74" i="2"/>
  <c r="AP74" i="2"/>
  <c r="AH74" i="2"/>
  <c r="BE73" i="2"/>
  <c r="BD73" i="2"/>
  <c r="BC73" i="2"/>
  <c r="BB73" i="2"/>
  <c r="BA73" i="2"/>
  <c r="AZ73" i="2"/>
  <c r="AY73" i="2"/>
  <c r="AX73" i="2"/>
  <c r="AP73" i="2"/>
  <c r="AH73" i="2"/>
  <c r="Z73" i="2"/>
  <c r="BE72" i="2"/>
  <c r="BD72" i="2"/>
  <c r="BC72" i="2"/>
  <c r="BB72" i="2"/>
  <c r="BA72" i="2"/>
  <c r="AZ72" i="2"/>
  <c r="AY72" i="2"/>
  <c r="AX72" i="2"/>
  <c r="AP72" i="2"/>
  <c r="AH72" i="2"/>
  <c r="Z72" i="2"/>
  <c r="BE71" i="2"/>
  <c r="BD71" i="2"/>
  <c r="BC71" i="2"/>
  <c r="BB71" i="2"/>
  <c r="BA71" i="2"/>
  <c r="AZ71" i="2"/>
  <c r="AP71" i="2"/>
  <c r="AH71" i="2"/>
  <c r="Z71" i="2"/>
  <c r="BE70" i="2"/>
  <c r="BD70" i="2"/>
  <c r="BC70" i="2"/>
  <c r="BB70" i="2"/>
  <c r="BA70" i="2"/>
  <c r="AZ70" i="2"/>
  <c r="AY70" i="2"/>
  <c r="AX70" i="2"/>
  <c r="AP70" i="2"/>
  <c r="AH70" i="2"/>
  <c r="Z70" i="2"/>
  <c r="BE69" i="2"/>
  <c r="BD69" i="2"/>
  <c r="BC69" i="2"/>
  <c r="BB69" i="2"/>
  <c r="BA69" i="2"/>
  <c r="AZ69" i="2"/>
  <c r="AY69" i="2"/>
  <c r="AX69" i="2"/>
  <c r="AP69" i="2"/>
  <c r="AH69" i="2"/>
  <c r="Z69" i="2"/>
  <c r="BE68" i="2"/>
  <c r="BD68" i="2"/>
  <c r="BC68" i="2"/>
  <c r="BB68" i="2"/>
  <c r="BA68" i="2"/>
  <c r="AZ68" i="2"/>
  <c r="AY68" i="2"/>
  <c r="AX68" i="2"/>
  <c r="AP68" i="2"/>
  <c r="AH68" i="2"/>
  <c r="Z68" i="2"/>
  <c r="BE67" i="2"/>
  <c r="BD67" i="2"/>
  <c r="BC67" i="2"/>
  <c r="BB67" i="2"/>
  <c r="BA67" i="2"/>
  <c r="AZ67" i="2"/>
  <c r="AY67" i="2"/>
  <c r="AX67" i="2"/>
  <c r="AP67" i="2"/>
  <c r="AH67" i="2"/>
  <c r="Z67" i="2"/>
  <c r="BE66" i="2"/>
  <c r="BD66" i="2"/>
  <c r="BC66" i="2"/>
  <c r="BB66" i="2"/>
  <c r="BA66" i="2"/>
  <c r="AZ66" i="2"/>
  <c r="AY66" i="2"/>
  <c r="AX66" i="2"/>
  <c r="AP66" i="2"/>
  <c r="AH66" i="2"/>
  <c r="Z66" i="2"/>
  <c r="BE65" i="2"/>
  <c r="BD65" i="2"/>
  <c r="BC65" i="2"/>
  <c r="BB65" i="2"/>
  <c r="BA65" i="2"/>
  <c r="AZ65" i="2"/>
  <c r="AY65" i="2"/>
  <c r="AX65" i="2"/>
  <c r="AP65" i="2"/>
  <c r="AH65" i="2"/>
  <c r="Z65" i="2"/>
  <c r="BE64" i="2"/>
  <c r="BD64" i="2"/>
  <c r="BC64" i="2"/>
  <c r="BB64" i="2"/>
  <c r="BA64" i="2"/>
  <c r="AZ64" i="2"/>
  <c r="AY64" i="2"/>
  <c r="AX64" i="2"/>
  <c r="AP64" i="2"/>
  <c r="AH64" i="2"/>
  <c r="Z64" i="2"/>
  <c r="BE63" i="2"/>
  <c r="BD63" i="2"/>
  <c r="BC63" i="2"/>
  <c r="BB63" i="2"/>
  <c r="BA63" i="2"/>
  <c r="AZ63" i="2"/>
  <c r="AY63" i="2"/>
  <c r="AX63" i="2"/>
  <c r="AP63" i="2"/>
  <c r="AH63" i="2"/>
  <c r="Z63" i="2"/>
  <c r="BE62" i="2"/>
  <c r="BD62" i="2"/>
  <c r="BC62" i="2"/>
  <c r="BB62" i="2"/>
  <c r="BA62" i="2"/>
  <c r="AZ62" i="2"/>
  <c r="AY62" i="2"/>
  <c r="AX62" i="2"/>
  <c r="AP62" i="2"/>
  <c r="AH62" i="2"/>
  <c r="Z62" i="2"/>
  <c r="BE61" i="2"/>
  <c r="BD61" i="2"/>
  <c r="BC61" i="2"/>
  <c r="BB61" i="2"/>
  <c r="BA61" i="2"/>
  <c r="AZ61" i="2"/>
  <c r="AY61" i="2"/>
  <c r="AX61" i="2"/>
  <c r="AP61" i="2"/>
  <c r="AH61" i="2"/>
  <c r="Z61" i="2"/>
  <c r="BD60" i="2"/>
  <c r="BC60" i="2"/>
  <c r="BB60" i="2"/>
  <c r="BA60" i="2"/>
  <c r="AZ60" i="2"/>
  <c r="AY60" i="2"/>
  <c r="AX60" i="2"/>
  <c r="AP60" i="2"/>
  <c r="AG60" i="2"/>
  <c r="AG105" i="2" s="1"/>
  <c r="Y60" i="2"/>
  <c r="Y105" i="2" s="1"/>
  <c r="P60" i="2"/>
  <c r="Q60" i="2" s="1"/>
  <c r="BE59" i="2"/>
  <c r="BD59" i="2"/>
  <c r="BC59" i="2"/>
  <c r="BB59" i="2"/>
  <c r="BA59" i="2"/>
  <c r="AZ59" i="2"/>
  <c r="BF59" i="2" s="1"/>
  <c r="AY59" i="2"/>
  <c r="AX59" i="2"/>
  <c r="AP59" i="2"/>
  <c r="AH59" i="2"/>
  <c r="Z59" i="2"/>
  <c r="BE58" i="2"/>
  <c r="BD58" i="2"/>
  <c r="BC58" i="2"/>
  <c r="BB58" i="2"/>
  <c r="BA58" i="2"/>
  <c r="AZ58" i="2"/>
  <c r="AY58" i="2"/>
  <c r="AX58" i="2"/>
  <c r="AP58" i="2"/>
  <c r="AH58" i="2"/>
  <c r="Z58" i="2"/>
  <c r="BE57" i="2"/>
  <c r="BD57" i="2"/>
  <c r="BC57" i="2"/>
  <c r="BB57" i="2"/>
  <c r="BA57" i="2"/>
  <c r="AZ57" i="2"/>
  <c r="AY57" i="2"/>
  <c r="BE56" i="2"/>
  <c r="BD56" i="2"/>
  <c r="BC56" i="2"/>
  <c r="BB56" i="2"/>
  <c r="BA56" i="2"/>
  <c r="AZ56" i="2"/>
  <c r="AY56" i="2"/>
  <c r="AX56" i="2"/>
  <c r="AP56" i="2"/>
  <c r="AH56" i="2"/>
  <c r="Z56" i="2"/>
  <c r="BE55" i="2"/>
  <c r="BD55" i="2"/>
  <c r="BC55" i="2"/>
  <c r="BB55" i="2"/>
  <c r="BA55" i="2"/>
  <c r="AZ55" i="2"/>
  <c r="AY55" i="2"/>
  <c r="AX55" i="2"/>
  <c r="AP55" i="2"/>
  <c r="AH55" i="2"/>
  <c r="Z55" i="2"/>
  <c r="BE54" i="2"/>
  <c r="BD54" i="2"/>
  <c r="BC54" i="2"/>
  <c r="BB54" i="2"/>
  <c r="BA54" i="2"/>
  <c r="AZ54" i="2"/>
  <c r="AY54" i="2"/>
  <c r="AX54" i="2"/>
  <c r="AP54" i="2"/>
  <c r="AH54" i="2"/>
  <c r="Z54" i="2"/>
  <c r="BE53" i="2"/>
  <c r="BD53" i="2"/>
  <c r="BC53" i="2"/>
  <c r="BB53" i="2"/>
  <c r="BA53" i="2"/>
  <c r="AZ53" i="2"/>
  <c r="BF53" i="2" s="1"/>
  <c r="AY53" i="2"/>
  <c r="AX53" i="2"/>
  <c r="AP53" i="2"/>
  <c r="AH53" i="2"/>
  <c r="Z53" i="2"/>
  <c r="BE52" i="2"/>
  <c r="BD52" i="2"/>
  <c r="BC52" i="2"/>
  <c r="BB52" i="2"/>
  <c r="BA52" i="2"/>
  <c r="AZ52" i="2"/>
  <c r="AY52" i="2"/>
  <c r="AX52" i="2"/>
  <c r="AP52" i="2"/>
  <c r="AH52" i="2"/>
  <c r="Z52" i="2"/>
  <c r="BE51" i="2"/>
  <c r="BD51" i="2"/>
  <c r="BC51" i="2"/>
  <c r="BB51" i="2"/>
  <c r="BA51" i="2"/>
  <c r="AZ51" i="2"/>
  <c r="AY51" i="2"/>
  <c r="AX51" i="2"/>
  <c r="AP51" i="2"/>
  <c r="AH51" i="2"/>
  <c r="Z51" i="2"/>
  <c r="BE50" i="2"/>
  <c r="BD50" i="2"/>
  <c r="BC50" i="2"/>
  <c r="BB50" i="2"/>
  <c r="BA50" i="2"/>
  <c r="AZ50" i="2"/>
  <c r="AY50" i="2"/>
  <c r="AX50" i="2"/>
  <c r="AP50" i="2"/>
  <c r="AH50" i="2"/>
  <c r="Z50" i="2"/>
  <c r="BE49" i="2"/>
  <c r="BD49" i="2"/>
  <c r="BC49" i="2"/>
  <c r="BB49" i="2"/>
  <c r="BA49" i="2"/>
  <c r="AZ49" i="2"/>
  <c r="BF49" i="2" s="1"/>
  <c r="AY49" i="2"/>
  <c r="AX49" i="2"/>
  <c r="AP49" i="2"/>
  <c r="AH49" i="2"/>
  <c r="Z49" i="2"/>
  <c r="BE48" i="2"/>
  <c r="BD48" i="2"/>
  <c r="BC48" i="2"/>
  <c r="BB48" i="2"/>
  <c r="BA48" i="2"/>
  <c r="AZ48" i="2"/>
  <c r="AY48" i="2"/>
  <c r="AX48" i="2"/>
  <c r="AP48" i="2"/>
  <c r="AH48" i="2"/>
  <c r="Z48" i="2"/>
  <c r="BE47" i="2"/>
  <c r="BD47" i="2"/>
  <c r="BC47" i="2"/>
  <c r="BB47" i="2"/>
  <c r="BA47" i="2"/>
  <c r="AZ47" i="2"/>
  <c r="AY47" i="2"/>
  <c r="AX47" i="2"/>
  <c r="AP47" i="2"/>
  <c r="AH47" i="2"/>
  <c r="Z47" i="2"/>
  <c r="BE46" i="2"/>
  <c r="BD46" i="2"/>
  <c r="BC46" i="2"/>
  <c r="BC115" i="2" s="1"/>
  <c r="BB46" i="2"/>
  <c r="BA46" i="2"/>
  <c r="BA115" i="2" s="1"/>
  <c r="AZ46" i="2"/>
  <c r="AY46" i="2"/>
  <c r="AX46" i="2"/>
  <c r="AP46" i="2"/>
  <c r="AH46" i="2"/>
  <c r="Z46" i="2"/>
  <c r="BE45" i="2"/>
  <c r="BD45" i="2"/>
  <c r="BC45" i="2"/>
  <c r="BB45" i="2"/>
  <c r="BA45" i="2"/>
  <c r="AZ45" i="2"/>
  <c r="BF45" i="2" s="1"/>
  <c r="AY45" i="2"/>
  <c r="AX45" i="2"/>
  <c r="AP45" i="2"/>
  <c r="AH45" i="2"/>
  <c r="Z45" i="2"/>
  <c r="BE44" i="2"/>
  <c r="BD44" i="2"/>
  <c r="BC44" i="2"/>
  <c r="BB44" i="2"/>
  <c r="BA44" i="2"/>
  <c r="AZ44" i="2"/>
  <c r="AY44" i="2"/>
  <c r="AX44" i="2"/>
  <c r="AP44" i="2"/>
  <c r="AH44" i="2"/>
  <c r="Z44" i="2"/>
  <c r="BE43" i="2"/>
  <c r="BD43" i="2"/>
  <c r="BC43" i="2"/>
  <c r="BB43" i="2"/>
  <c r="BA43" i="2"/>
  <c r="AZ43" i="2"/>
  <c r="AY43" i="2"/>
  <c r="AX43" i="2"/>
  <c r="AP43" i="2"/>
  <c r="AH43" i="2"/>
  <c r="Z43" i="2"/>
  <c r="BE42" i="2"/>
  <c r="BD42" i="2"/>
  <c r="BC42" i="2"/>
  <c r="BB42" i="2"/>
  <c r="BA42" i="2"/>
  <c r="AZ42" i="2"/>
  <c r="AY42" i="2"/>
  <c r="AX42" i="2"/>
  <c r="AP42" i="2"/>
  <c r="AH42" i="2"/>
  <c r="Z42" i="2"/>
  <c r="BE41" i="2"/>
  <c r="BD41" i="2"/>
  <c r="BC41" i="2"/>
  <c r="BB41" i="2"/>
  <c r="BA41" i="2"/>
  <c r="AZ41" i="2"/>
  <c r="BF41" i="2" s="1"/>
  <c r="AY41" i="2"/>
  <c r="AX41" i="2"/>
  <c r="AP41" i="2"/>
  <c r="AH41" i="2"/>
  <c r="Z41" i="2"/>
  <c r="BE40" i="2"/>
  <c r="BD40" i="2"/>
  <c r="BC40" i="2"/>
  <c r="BB40" i="2"/>
  <c r="BA40" i="2"/>
  <c r="AZ40" i="2"/>
  <c r="AY40" i="2"/>
  <c r="AX40" i="2"/>
  <c r="AP40" i="2"/>
  <c r="AH40" i="2"/>
  <c r="Z40" i="2"/>
  <c r="BE39" i="2"/>
  <c r="BD39" i="2"/>
  <c r="BC39" i="2"/>
  <c r="BB39" i="2"/>
  <c r="BA39" i="2"/>
  <c r="AZ39" i="2"/>
  <c r="AY39" i="2"/>
  <c r="AX39" i="2"/>
  <c r="AP39" i="2"/>
  <c r="AH39" i="2"/>
  <c r="Z39" i="2"/>
  <c r="BE38" i="2"/>
  <c r="BD38" i="2"/>
  <c r="BC38" i="2"/>
  <c r="BB38" i="2"/>
  <c r="BA38" i="2"/>
  <c r="AZ38" i="2"/>
  <c r="AY38" i="2"/>
  <c r="AX38" i="2"/>
  <c r="AP38" i="2"/>
  <c r="AH38" i="2"/>
  <c r="Z38" i="2"/>
  <c r="BE37" i="2"/>
  <c r="BD37" i="2"/>
  <c r="BC37" i="2"/>
  <c r="BB37" i="2"/>
  <c r="BA37" i="2"/>
  <c r="AZ37" i="2"/>
  <c r="BF37" i="2" s="1"/>
  <c r="AY37" i="2"/>
  <c r="AX37" i="2"/>
  <c r="AP37" i="2"/>
  <c r="AH37" i="2"/>
  <c r="Z37" i="2"/>
  <c r="BE36" i="2"/>
  <c r="BD36" i="2"/>
  <c r="BC36" i="2"/>
  <c r="BB36" i="2"/>
  <c r="BA36" i="2"/>
  <c r="AZ36" i="2"/>
  <c r="AY36" i="2"/>
  <c r="AX36" i="2"/>
  <c r="AP36" i="2"/>
  <c r="AH36" i="2"/>
  <c r="Z36" i="2"/>
  <c r="BE35" i="2"/>
  <c r="BD35" i="2"/>
  <c r="BC35" i="2"/>
  <c r="BB35" i="2"/>
  <c r="BA35" i="2"/>
  <c r="AZ35" i="2"/>
  <c r="AY35" i="2"/>
  <c r="AX35" i="2"/>
  <c r="AP35" i="2"/>
  <c r="AH35" i="2"/>
  <c r="Z35" i="2"/>
  <c r="BE34" i="2"/>
  <c r="BD34" i="2"/>
  <c r="BC34" i="2"/>
  <c r="BB34" i="2"/>
  <c r="BA34" i="2"/>
  <c r="AZ34" i="2"/>
  <c r="AY34" i="2"/>
  <c r="AX34" i="2"/>
  <c r="AP34" i="2"/>
  <c r="AH34" i="2"/>
  <c r="Z34" i="2"/>
  <c r="BE33" i="2"/>
  <c r="BD33" i="2"/>
  <c r="BC33" i="2"/>
  <c r="BB33" i="2"/>
  <c r="BA33" i="2"/>
  <c r="AZ33" i="2"/>
  <c r="BF33" i="2" s="1"/>
  <c r="AY33" i="2"/>
  <c r="AX33" i="2"/>
  <c r="AP33" i="2"/>
  <c r="AH33" i="2"/>
  <c r="Z33" i="2"/>
  <c r="BE32" i="2"/>
  <c r="BD32" i="2"/>
  <c r="BC32" i="2"/>
  <c r="BB32" i="2"/>
  <c r="BA32" i="2"/>
  <c r="AZ32" i="2"/>
  <c r="AY32" i="2"/>
  <c r="AX32" i="2"/>
  <c r="AP32" i="2"/>
  <c r="AH32" i="2"/>
  <c r="Z32" i="2"/>
  <c r="BE31" i="2"/>
  <c r="BD31" i="2"/>
  <c r="BC31" i="2"/>
  <c r="BB31" i="2"/>
  <c r="BA31" i="2"/>
  <c r="AZ31" i="2"/>
  <c r="AY31" i="2"/>
  <c r="AX31" i="2"/>
  <c r="AP31" i="2"/>
  <c r="AH31" i="2"/>
  <c r="Z31" i="2"/>
  <c r="BE30" i="2"/>
  <c r="BD30" i="2"/>
  <c r="BC30" i="2"/>
  <c r="BB30" i="2"/>
  <c r="BA30" i="2"/>
  <c r="AZ30" i="2"/>
  <c r="AY30" i="2"/>
  <c r="AX30" i="2"/>
  <c r="AP30" i="2"/>
  <c r="AH30" i="2"/>
  <c r="Z30" i="2"/>
  <c r="BE29" i="2"/>
  <c r="BD29" i="2"/>
  <c r="BC29" i="2"/>
  <c r="BB29" i="2"/>
  <c r="BA29" i="2"/>
  <c r="AZ29" i="2"/>
  <c r="BF29" i="2" s="1"/>
  <c r="AY29" i="2"/>
  <c r="AX29" i="2"/>
  <c r="AP29" i="2"/>
  <c r="AH29" i="2"/>
  <c r="Z29" i="2"/>
  <c r="BE28" i="2"/>
  <c r="BD28" i="2"/>
  <c r="BC28" i="2"/>
  <c r="BB28" i="2"/>
  <c r="BA28" i="2"/>
  <c r="AZ28" i="2"/>
  <c r="AY28" i="2"/>
  <c r="AX28" i="2"/>
  <c r="AP28" i="2"/>
  <c r="AH28" i="2"/>
  <c r="Z28" i="2"/>
  <c r="BE27" i="2"/>
  <c r="BD27" i="2"/>
  <c r="BC27" i="2"/>
  <c r="BB27" i="2"/>
  <c r="BA27" i="2"/>
  <c r="AZ27" i="2"/>
  <c r="AY27" i="2"/>
  <c r="AX27" i="2"/>
  <c r="AP27" i="2"/>
  <c r="AH27" i="2"/>
  <c r="Z27" i="2"/>
  <c r="BE26" i="2"/>
  <c r="BD26" i="2"/>
  <c r="BC26" i="2"/>
  <c r="BB26" i="2"/>
  <c r="BA26" i="2"/>
  <c r="AZ26" i="2"/>
  <c r="AY26" i="2"/>
  <c r="AX26" i="2"/>
  <c r="AP26" i="2"/>
  <c r="AH26" i="2"/>
  <c r="Z26" i="2"/>
  <c r="BE25" i="2"/>
  <c r="BD25" i="2"/>
  <c r="BC25" i="2"/>
  <c r="BB25" i="2"/>
  <c r="BA25" i="2"/>
  <c r="AZ25" i="2"/>
  <c r="BF25" i="2" s="1"/>
  <c r="AY25" i="2"/>
  <c r="AX25" i="2"/>
  <c r="AP25" i="2"/>
  <c r="AH25" i="2"/>
  <c r="Z25" i="2"/>
  <c r="BE24" i="2"/>
  <c r="BD24" i="2"/>
  <c r="BC24" i="2"/>
  <c r="BB24" i="2"/>
  <c r="BA24" i="2"/>
  <c r="AZ24" i="2"/>
  <c r="AY24" i="2"/>
  <c r="AX24" i="2"/>
  <c r="AP24" i="2"/>
  <c r="AH24" i="2"/>
  <c r="Z24" i="2"/>
  <c r="BE23" i="2"/>
  <c r="BD23" i="2"/>
  <c r="BC23" i="2"/>
  <c r="BB23" i="2"/>
  <c r="BA23" i="2"/>
  <c r="AZ23" i="2"/>
  <c r="AY23" i="2"/>
  <c r="AX23" i="2"/>
  <c r="AP23" i="2"/>
  <c r="AH23" i="2"/>
  <c r="Z23" i="2"/>
  <c r="BE22" i="2"/>
  <c r="BD22" i="2"/>
  <c r="BC22" i="2"/>
  <c r="BB22" i="2"/>
  <c r="BA22" i="2"/>
  <c r="AZ22" i="2"/>
  <c r="AY22" i="2"/>
  <c r="AX22" i="2"/>
  <c r="AP22" i="2"/>
  <c r="AH22" i="2"/>
  <c r="Z22" i="2"/>
  <c r="BE21" i="2"/>
  <c r="BD21" i="2"/>
  <c r="BC21" i="2"/>
  <c r="BB21" i="2"/>
  <c r="BA21" i="2"/>
  <c r="AZ21" i="2"/>
  <c r="AY21" i="2"/>
  <c r="AX21" i="2"/>
  <c r="AP21" i="2"/>
  <c r="AH21" i="2"/>
  <c r="Z21" i="2"/>
  <c r="BE20" i="2"/>
  <c r="BD20" i="2"/>
  <c r="BC20" i="2"/>
  <c r="BB20" i="2"/>
  <c r="BA20" i="2"/>
  <c r="AZ20" i="2"/>
  <c r="AY20" i="2"/>
  <c r="AX20" i="2"/>
  <c r="AP20" i="2"/>
  <c r="AH20" i="2"/>
  <c r="Z20" i="2"/>
  <c r="BE19" i="2"/>
  <c r="BD19" i="2"/>
  <c r="BC19" i="2"/>
  <c r="BB19" i="2"/>
  <c r="BA19" i="2"/>
  <c r="AZ19" i="2"/>
  <c r="AY19" i="2"/>
  <c r="AX19" i="2"/>
  <c r="AP19" i="2"/>
  <c r="AH19" i="2"/>
  <c r="Z19" i="2"/>
  <c r="BE18" i="2"/>
  <c r="BD18" i="2"/>
  <c r="BC18" i="2"/>
  <c r="BB18" i="2"/>
  <c r="BA18" i="2"/>
  <c r="AZ18" i="2"/>
  <c r="AY18" i="2"/>
  <c r="AX18" i="2"/>
  <c r="AP18" i="2"/>
  <c r="AH18" i="2"/>
  <c r="Z18" i="2"/>
  <c r="BE17" i="2"/>
  <c r="BD17" i="2"/>
  <c r="BC17" i="2"/>
  <c r="BB17" i="2"/>
  <c r="BA17" i="2"/>
  <c r="AZ17" i="2"/>
  <c r="AY17" i="2"/>
  <c r="AX17" i="2"/>
  <c r="AP17" i="2"/>
  <c r="AH17" i="2"/>
  <c r="Z17" i="2"/>
  <c r="BE16" i="2"/>
  <c r="BD16" i="2"/>
  <c r="BC16" i="2"/>
  <c r="BB16" i="2"/>
  <c r="BA16" i="2"/>
  <c r="AZ16" i="2"/>
  <c r="AY16" i="2"/>
  <c r="AX16" i="2"/>
  <c r="AP16" i="2"/>
  <c r="AH16" i="2"/>
  <c r="Z16" i="2"/>
  <c r="BE15" i="2"/>
  <c r="BD15" i="2"/>
  <c r="BC15" i="2"/>
  <c r="BB15" i="2"/>
  <c r="BA15" i="2"/>
  <c r="AZ15" i="2"/>
  <c r="AY15" i="2"/>
  <c r="AX15" i="2"/>
  <c r="AP15" i="2"/>
  <c r="AH15" i="2"/>
  <c r="Z15" i="2"/>
  <c r="BE14" i="2"/>
  <c r="BD14" i="2"/>
  <c r="BC14" i="2"/>
  <c r="BB14" i="2"/>
  <c r="BA14" i="2"/>
  <c r="AZ14" i="2"/>
  <c r="AY14" i="2"/>
  <c r="AX14" i="2"/>
  <c r="AP14" i="2"/>
  <c r="AH14" i="2"/>
  <c r="Z14" i="2"/>
  <c r="BE13" i="2"/>
  <c r="BD13" i="2"/>
  <c r="BC13" i="2"/>
  <c r="BB13" i="2"/>
  <c r="BA13" i="2"/>
  <c r="AZ13" i="2"/>
  <c r="BF13" i="2" s="1"/>
  <c r="AY13" i="2"/>
  <c r="AX13" i="2"/>
  <c r="AP13" i="2"/>
  <c r="AH13" i="2"/>
  <c r="Z13" i="2"/>
  <c r="BE12" i="2"/>
  <c r="BD12" i="2"/>
  <c r="BC12" i="2"/>
  <c r="BB12" i="2"/>
  <c r="BA12" i="2"/>
  <c r="AZ12" i="2"/>
  <c r="AY12" i="2"/>
  <c r="AX12" i="2"/>
  <c r="AP12" i="2"/>
  <c r="AH12" i="2"/>
  <c r="Z12" i="2"/>
  <c r="BE11" i="2"/>
  <c r="BD11" i="2"/>
  <c r="BD114" i="2" s="1"/>
  <c r="BC11" i="2"/>
  <c r="BB11" i="2"/>
  <c r="BB114" i="2" s="1"/>
  <c r="BA11" i="2"/>
  <c r="AZ11" i="2"/>
  <c r="AZ114" i="2" s="1"/>
  <c r="AY11" i="2"/>
  <c r="AX11" i="2"/>
  <c r="AX114" i="2" s="1"/>
  <c r="AP11" i="2"/>
  <c r="AH11" i="2"/>
  <c r="AH114" i="2" s="1"/>
  <c r="Z11" i="2"/>
  <c r="BD10" i="2"/>
  <c r="BC10" i="2"/>
  <c r="BA10" i="2"/>
  <c r="AZ10" i="2"/>
  <c r="AY10" i="2"/>
  <c r="AX10" i="2"/>
  <c r="AO105" i="2"/>
  <c r="Z10" i="2"/>
  <c r="BE9" i="2"/>
  <c r="BD9" i="2"/>
  <c r="BC9" i="2"/>
  <c r="BB9" i="2"/>
  <c r="BA9" i="2"/>
  <c r="AZ9" i="2"/>
  <c r="AY9" i="2"/>
  <c r="AX9" i="2"/>
  <c r="AP9" i="2"/>
  <c r="AH9" i="2"/>
  <c r="Z9" i="2"/>
  <c r="BE8" i="2"/>
  <c r="BD8" i="2"/>
  <c r="BC8" i="2"/>
  <c r="BB8" i="2"/>
  <c r="BA8" i="2"/>
  <c r="AZ8" i="2"/>
  <c r="AY8" i="2"/>
  <c r="AX8" i="2"/>
  <c r="AP8" i="2"/>
  <c r="AH8" i="2"/>
  <c r="Z8" i="2"/>
  <c r="BE7" i="2"/>
  <c r="BD7" i="2"/>
  <c r="BC7" i="2"/>
  <c r="BB7" i="2"/>
  <c r="BA7" i="2"/>
  <c r="AZ7" i="2"/>
  <c r="AY7" i="2"/>
  <c r="AX7" i="2"/>
  <c r="AP7" i="2"/>
  <c r="AH7" i="2"/>
  <c r="Z7" i="2"/>
  <c r="BE6" i="2"/>
  <c r="BD6" i="2"/>
  <c r="BD113" i="2" s="1"/>
  <c r="BC6" i="2"/>
  <c r="BB6" i="2"/>
  <c r="BA6" i="2"/>
  <c r="AZ6" i="2"/>
  <c r="AZ113" i="2" s="1"/>
  <c r="AY6" i="2"/>
  <c r="AX6" i="2"/>
  <c r="AX113" i="2" s="1"/>
  <c r="AP6" i="2"/>
  <c r="AH6" i="2"/>
  <c r="AH113" i="2" s="1"/>
  <c r="Z6" i="2"/>
  <c r="BE5" i="2"/>
  <c r="BD5" i="2"/>
  <c r="BC5" i="2"/>
  <c r="BB5" i="2"/>
  <c r="BA5" i="2"/>
  <c r="AZ5" i="2"/>
  <c r="AY5" i="2"/>
  <c r="BF5" i="2" s="1"/>
  <c r="AX5" i="2"/>
  <c r="AP5" i="2"/>
  <c r="AH5" i="2"/>
  <c r="Z5" i="2"/>
  <c r="BE4" i="2"/>
  <c r="BD4" i="2"/>
  <c r="BC4" i="2"/>
  <c r="BB4" i="2"/>
  <c r="BA4" i="2"/>
  <c r="AZ4" i="2"/>
  <c r="AY4" i="2"/>
  <c r="AX4" i="2"/>
  <c r="AX112" i="2" s="1"/>
  <c r="AP4" i="2"/>
  <c r="AH4" i="2"/>
  <c r="Z4" i="2"/>
  <c r="BF15" i="2" l="1"/>
  <c r="BF19" i="2"/>
  <c r="BF23" i="2"/>
  <c r="BF27" i="2"/>
  <c r="BF31" i="2"/>
  <c r="BF35" i="2"/>
  <c r="BF39" i="2"/>
  <c r="BF43" i="2"/>
  <c r="BF47" i="2"/>
  <c r="BF17" i="2"/>
  <c r="BF7" i="2"/>
  <c r="AV117" i="2"/>
  <c r="I34" i="6" s="1"/>
  <c r="BF9" i="2"/>
  <c r="AF117" i="2"/>
  <c r="G34" i="6" s="1"/>
  <c r="Z113" i="2"/>
  <c r="AY113" i="2"/>
  <c r="BA113" i="2"/>
  <c r="BC113" i="2"/>
  <c r="Z114" i="2"/>
  <c r="AP114" i="2"/>
  <c r="AY114" i="2"/>
  <c r="BA114" i="2"/>
  <c r="BC114" i="2"/>
  <c r="BE114" i="2"/>
  <c r="AZ115" i="2"/>
  <c r="BB115" i="2"/>
  <c r="BD115" i="2"/>
  <c r="BF64" i="2"/>
  <c r="BF66" i="2"/>
  <c r="BF70" i="2"/>
  <c r="BF72" i="2"/>
  <c r="BF74" i="2"/>
  <c r="BF76" i="2"/>
  <c r="BF78" i="2"/>
  <c r="BF80" i="2"/>
  <c r="BF82" i="2"/>
  <c r="BF84" i="2"/>
  <c r="BF86" i="2"/>
  <c r="BF88" i="2"/>
  <c r="AH116" i="2"/>
  <c r="AZ116" i="2"/>
  <c r="BB116" i="2"/>
  <c r="BD116" i="2"/>
  <c r="BF92" i="2"/>
  <c r="BF94" i="2"/>
  <c r="BF96" i="2"/>
  <c r="BF100" i="2"/>
  <c r="BF102" i="2"/>
  <c r="BF103" i="2"/>
  <c r="T117" i="2"/>
  <c r="F30" i="6" s="1"/>
  <c r="V117" i="2"/>
  <c r="F32" i="6" s="1"/>
  <c r="X117" i="2"/>
  <c r="F34" i="6" s="1"/>
  <c r="AC117" i="2"/>
  <c r="G31" i="6" s="1"/>
  <c r="AE117" i="2"/>
  <c r="G33" i="6" s="1"/>
  <c r="AJ117" i="2"/>
  <c r="H30" i="6" s="1"/>
  <c r="AN117" i="2"/>
  <c r="H34" i="6" s="1"/>
  <c r="AS117" i="2"/>
  <c r="I31" i="6" s="1"/>
  <c r="AU117" i="2"/>
  <c r="I33" i="6" s="1"/>
  <c r="AW117" i="2"/>
  <c r="I35" i="6" s="1"/>
  <c r="AK117" i="2"/>
  <c r="H31" i="6" s="1"/>
  <c r="AX116" i="2"/>
  <c r="AO113" i="2"/>
  <c r="AO117" i="2" s="1"/>
  <c r="H35" i="6" s="1"/>
  <c r="AI117" i="2"/>
  <c r="AH112" i="2"/>
  <c r="AZ112" i="2"/>
  <c r="AZ117" i="2" s="1"/>
  <c r="C3" i="6" s="1"/>
  <c r="AZ105" i="2"/>
  <c r="BB112" i="2"/>
  <c r="BD112" i="2"/>
  <c r="BD105" i="2"/>
  <c r="BA112" i="2"/>
  <c r="BA117" i="2" s="1"/>
  <c r="C4" i="6" s="1"/>
  <c r="BA105" i="2"/>
  <c r="BC112" i="2"/>
  <c r="BC117" i="2" s="1"/>
  <c r="C6" i="6" s="1"/>
  <c r="BC105" i="2"/>
  <c r="BE112" i="2"/>
  <c r="BF21" i="2"/>
  <c r="Z112" i="2"/>
  <c r="AP112" i="2"/>
  <c r="AY112" i="2"/>
  <c r="BF8" i="2"/>
  <c r="BF12" i="2"/>
  <c r="BF14" i="2"/>
  <c r="BF16" i="2"/>
  <c r="BF18" i="2"/>
  <c r="BF20" i="2"/>
  <c r="BF22" i="2"/>
  <c r="BF24" i="2"/>
  <c r="BF26" i="2"/>
  <c r="BF28" i="2"/>
  <c r="BF30" i="2"/>
  <c r="BF32" i="2"/>
  <c r="BF34" i="2"/>
  <c r="BF36" i="2"/>
  <c r="BF38" i="2"/>
  <c r="BF40" i="2"/>
  <c r="BF42" i="2"/>
  <c r="BF44" i="2"/>
  <c r="BF48" i="2"/>
  <c r="BF50" i="2"/>
  <c r="BF52" i="2"/>
  <c r="BF54" i="2"/>
  <c r="BF56" i="2"/>
  <c r="AX115" i="2"/>
  <c r="Z60" i="2"/>
  <c r="Z115" i="2" s="1"/>
  <c r="AH60" i="2"/>
  <c r="AH105" i="2" s="1"/>
  <c r="AX105" i="2"/>
  <c r="BF63" i="2"/>
  <c r="BF65" i="2"/>
  <c r="BF69" i="2"/>
  <c r="BF71" i="2"/>
  <c r="BF73" i="2"/>
  <c r="BF75" i="2"/>
  <c r="BF77" i="2"/>
  <c r="BF79" i="2"/>
  <c r="BF81" i="2"/>
  <c r="BF83" i="2"/>
  <c r="BF85" i="2"/>
  <c r="BF87" i="2"/>
  <c r="BF89" i="2"/>
  <c r="BF91" i="2"/>
  <c r="BF97" i="2"/>
  <c r="AP116" i="2"/>
  <c r="BF99" i="2"/>
  <c r="BF101" i="2"/>
  <c r="BF104" i="2"/>
  <c r="AG115" i="2"/>
  <c r="AG117" i="2" s="1"/>
  <c r="G35" i="6" s="1"/>
  <c r="AA117" i="2"/>
  <c r="Y115" i="2"/>
  <c r="Y117" i="2" s="1"/>
  <c r="F35" i="6" s="1"/>
  <c r="BF55" i="2"/>
  <c r="BF57" i="2"/>
  <c r="AX117" i="2"/>
  <c r="AQ117" i="2"/>
  <c r="BF98" i="2"/>
  <c r="BF67" i="2"/>
  <c r="BF62" i="2"/>
  <c r="BF61" i="2"/>
  <c r="BF51" i="2"/>
  <c r="AP115" i="2"/>
  <c r="BF95" i="2"/>
  <c r="BF93" i="2"/>
  <c r="AY105" i="2"/>
  <c r="AY116" i="2"/>
  <c r="Z116" i="2"/>
  <c r="AY115" i="2"/>
  <c r="BF68" i="2"/>
  <c r="AH115" i="2"/>
  <c r="AH117" i="2" s="1"/>
  <c r="BF58" i="2"/>
  <c r="S117" i="2"/>
  <c r="BF4" i="2"/>
  <c r="BF6" i="2"/>
  <c r="BE10" i="2"/>
  <c r="BE113" i="2" s="1"/>
  <c r="BE60" i="2"/>
  <c r="BE115" i="2" s="1"/>
  <c r="BF11" i="2"/>
  <c r="BF114" i="2" s="1"/>
  <c r="BF46" i="2"/>
  <c r="BF90" i="2"/>
  <c r="Z105" i="2" l="1"/>
  <c r="BD117" i="2"/>
  <c r="C7" i="6" s="1"/>
  <c r="I36" i="6"/>
  <c r="G36" i="6"/>
  <c r="F36" i="6"/>
  <c r="AL105" i="2"/>
  <c r="AL113" i="2"/>
  <c r="AL117" i="2" s="1"/>
  <c r="H32" i="6" s="1"/>
  <c r="H36" i="6" s="1"/>
  <c r="Z117" i="2"/>
  <c r="BE105" i="2"/>
  <c r="BE117" i="2"/>
  <c r="C8" i="6" s="1"/>
  <c r="AY117" i="2"/>
  <c r="C2" i="6" s="1"/>
  <c r="BF116" i="2"/>
  <c r="BB10" i="2"/>
  <c r="AP10" i="2"/>
  <c r="BF112" i="2"/>
  <c r="BF60" i="2"/>
  <c r="BF115" i="2" s="1"/>
  <c r="AP113" i="2" l="1"/>
  <c r="AP117" i="2" s="1"/>
  <c r="AP105" i="2"/>
  <c r="BB113" i="2"/>
  <c r="BB117" i="2" s="1"/>
  <c r="C5" i="6" s="1"/>
  <c r="BB105" i="2"/>
  <c r="BF10" i="2"/>
  <c r="BF105" i="2" l="1"/>
  <c r="BF113" i="2"/>
  <c r="BF117" i="2" s="1"/>
  <c r="C9" i="6"/>
  <c r="V324" i="1"/>
  <c r="W324" i="1"/>
  <c r="X324" i="1"/>
  <c r="Y324" i="1"/>
  <c r="AA324" i="1"/>
  <c r="AC324" i="1"/>
  <c r="AD324" i="1"/>
  <c r="AE324" i="1"/>
  <c r="AF324" i="1"/>
  <c r="AG324" i="1"/>
  <c r="AI324" i="1"/>
  <c r="AK324" i="1"/>
  <c r="AL324" i="1"/>
  <c r="AM324" i="1"/>
  <c r="AN324" i="1"/>
  <c r="AO324" i="1"/>
  <c r="AQ324" i="1"/>
  <c r="AS324" i="1"/>
  <c r="AT324" i="1"/>
  <c r="AU324" i="1"/>
  <c r="AV324" i="1"/>
  <c r="AW324" i="1"/>
  <c r="U324" i="1"/>
  <c r="S324" i="1"/>
  <c r="W318" i="1"/>
  <c r="X318" i="1"/>
  <c r="AC318" i="1"/>
  <c r="AD318" i="1"/>
  <c r="AE318" i="1"/>
  <c r="AF318" i="1"/>
  <c r="AI318" i="1"/>
  <c r="D29" i="6" s="1"/>
  <c r="AK318" i="1"/>
  <c r="AL318" i="1"/>
  <c r="AM318" i="1"/>
  <c r="AN318" i="1"/>
  <c r="AQ318" i="1"/>
  <c r="E29" i="6" s="1"/>
  <c r="AS318" i="1"/>
  <c r="S318" i="1"/>
  <c r="B29" i="6" s="1"/>
  <c r="AY208" i="1"/>
  <c r="AZ208" i="1"/>
  <c r="BA208" i="1"/>
  <c r="BB208" i="1"/>
  <c r="BC208" i="1"/>
  <c r="BD208" i="1"/>
  <c r="BE208" i="1"/>
  <c r="AX208" i="1"/>
  <c r="AP208" i="1"/>
  <c r="AH208" i="1"/>
  <c r="Z208" i="1"/>
  <c r="AY76" i="1"/>
  <c r="AZ76" i="1"/>
  <c r="BA76" i="1"/>
  <c r="BB76" i="1"/>
  <c r="BC76" i="1"/>
  <c r="BD76" i="1"/>
  <c r="BE76" i="1"/>
  <c r="AX76" i="1"/>
  <c r="AP76" i="1"/>
  <c r="AH76" i="1"/>
  <c r="Z76" i="1"/>
  <c r="O76" i="1"/>
  <c r="P76" i="1" s="1"/>
  <c r="Q76" i="1" s="1"/>
  <c r="R76" i="1" s="1"/>
  <c r="BF76" i="1" l="1"/>
  <c r="BF208" i="1"/>
  <c r="AZ13" i="5"/>
  <c r="BA13" i="5"/>
  <c r="BB13" i="5"/>
  <c r="BC13" i="5"/>
  <c r="BD13" i="5"/>
  <c r="BE13" i="5"/>
  <c r="AX13" i="5"/>
  <c r="AH13" i="5"/>
  <c r="BA53" i="4"/>
  <c r="BB53" i="4"/>
  <c r="BC53" i="4"/>
  <c r="BD53" i="4"/>
  <c r="AA28" i="5"/>
  <c r="AA83" i="5" l="1"/>
  <c r="O29" i="6" s="1"/>
  <c r="AA89" i="5"/>
  <c r="BF13" i="5"/>
  <c r="BE305" i="1"/>
  <c r="BD305" i="1"/>
  <c r="BC305" i="1"/>
  <c r="BB305" i="1"/>
  <c r="BA305" i="1"/>
  <c r="AZ305" i="1"/>
  <c r="AY305" i="1"/>
  <c r="AX305" i="1"/>
  <c r="AP305" i="1"/>
  <c r="AH305" i="1"/>
  <c r="Z305" i="1"/>
  <c r="AY301" i="1"/>
  <c r="AZ301" i="1"/>
  <c r="BA301" i="1"/>
  <c r="BB301" i="1"/>
  <c r="BC301" i="1"/>
  <c r="BD301" i="1"/>
  <c r="BE301" i="1"/>
  <c r="AY302" i="1"/>
  <c r="AZ302" i="1"/>
  <c r="BA302" i="1"/>
  <c r="BB302" i="1"/>
  <c r="BC302" i="1"/>
  <c r="BD302" i="1"/>
  <c r="BE302" i="1"/>
  <c r="AX301" i="1"/>
  <c r="AX302" i="1"/>
  <c r="AP301" i="1"/>
  <c r="AP302" i="1"/>
  <c r="AH301" i="1"/>
  <c r="AH302" i="1"/>
  <c r="Z301" i="1"/>
  <c r="Z302" i="1"/>
  <c r="AZ211" i="1"/>
  <c r="BA211" i="1"/>
  <c r="BB211" i="1"/>
  <c r="BC211" i="1"/>
  <c r="BD211" i="1"/>
  <c r="BE211" i="1"/>
  <c r="AX211" i="1"/>
  <c r="AP211" i="1"/>
  <c r="AH211" i="1"/>
  <c r="Z211" i="1"/>
  <c r="BF301" i="1" l="1"/>
  <c r="BF305" i="1"/>
  <c r="BF211" i="1"/>
  <c r="BF302" i="1"/>
  <c r="BB4" i="5" l="1"/>
  <c r="BA4" i="5"/>
  <c r="AZ4" i="5"/>
  <c r="AX14" i="5"/>
  <c r="AX16" i="5"/>
  <c r="AH16" i="5"/>
  <c r="AI64" i="4"/>
  <c r="AJ64" i="4"/>
  <c r="AK64" i="4"/>
  <c r="AL64" i="4"/>
  <c r="AM64" i="4"/>
  <c r="AN64" i="4"/>
  <c r="AP64" i="4"/>
  <c r="AQ64" i="4"/>
  <c r="AR64" i="4"/>
  <c r="AS64" i="4"/>
  <c r="AT64" i="4"/>
  <c r="AU64" i="4"/>
  <c r="AV64" i="4"/>
  <c r="AI65" i="4"/>
  <c r="AJ65" i="4"/>
  <c r="AK65" i="4"/>
  <c r="AL65" i="4"/>
  <c r="AM65" i="4"/>
  <c r="AN65" i="4"/>
  <c r="AP65" i="4"/>
  <c r="AQ65" i="4"/>
  <c r="AR65" i="4"/>
  <c r="AS65" i="4"/>
  <c r="AT65" i="4"/>
  <c r="AU65" i="4"/>
  <c r="AV65" i="4"/>
  <c r="AI66" i="4"/>
  <c r="AJ66" i="4"/>
  <c r="AK66" i="4"/>
  <c r="AL66" i="4"/>
  <c r="AM66" i="4"/>
  <c r="AN66" i="4"/>
  <c r="AP66" i="4"/>
  <c r="AQ66" i="4"/>
  <c r="AR66" i="4"/>
  <c r="AS66" i="4"/>
  <c r="AT66" i="4"/>
  <c r="AU66" i="4"/>
  <c r="AV66" i="4"/>
  <c r="AI67" i="4"/>
  <c r="AJ67" i="4"/>
  <c r="AK67" i="4"/>
  <c r="AL67" i="4"/>
  <c r="AM67" i="4"/>
  <c r="AN67" i="4"/>
  <c r="AP67" i="4"/>
  <c r="AQ67" i="4"/>
  <c r="AR67" i="4"/>
  <c r="AS67" i="4"/>
  <c r="AT67" i="4"/>
  <c r="AU67" i="4"/>
  <c r="AV67" i="4"/>
  <c r="AI68" i="4"/>
  <c r="AJ68" i="4"/>
  <c r="AK68" i="4"/>
  <c r="AL68" i="4"/>
  <c r="AM68" i="4"/>
  <c r="AN68" i="4"/>
  <c r="AP68" i="4"/>
  <c r="AQ68" i="4"/>
  <c r="AR68" i="4"/>
  <c r="AS68" i="4"/>
  <c r="AT68" i="4"/>
  <c r="AU68" i="4"/>
  <c r="AV68" i="4"/>
  <c r="AH67" i="4"/>
  <c r="AH66" i="4"/>
  <c r="AH65" i="4"/>
  <c r="AH64" i="4"/>
  <c r="AO64" i="4" s="1"/>
  <c r="AA64" i="4"/>
  <c r="AB64" i="4"/>
  <c r="AC64" i="4"/>
  <c r="AD64" i="4"/>
  <c r="AE64" i="4"/>
  <c r="AF64" i="4"/>
  <c r="AA65" i="4"/>
  <c r="AB65" i="4"/>
  <c r="AC65" i="4"/>
  <c r="AD65" i="4"/>
  <c r="AE65" i="4"/>
  <c r="AF65" i="4"/>
  <c r="AA66" i="4"/>
  <c r="AB66" i="4"/>
  <c r="AC66" i="4"/>
  <c r="AD66" i="4"/>
  <c r="AE66" i="4"/>
  <c r="AF66" i="4"/>
  <c r="AA67" i="4"/>
  <c r="AB67" i="4"/>
  <c r="AC67" i="4"/>
  <c r="AD67" i="4"/>
  <c r="AE67" i="4"/>
  <c r="AF67" i="4"/>
  <c r="AA68" i="4"/>
  <c r="AB68" i="4"/>
  <c r="AC68" i="4"/>
  <c r="AD68" i="4"/>
  <c r="AE68" i="4"/>
  <c r="AF68" i="4"/>
  <c r="Z67" i="4"/>
  <c r="Z66" i="4"/>
  <c r="Z65" i="4"/>
  <c r="Z64" i="4"/>
  <c r="AA69" i="4"/>
  <c r="AB69" i="4"/>
  <c r="AC69" i="4"/>
  <c r="K32" i="6" s="1"/>
  <c r="AD69" i="4"/>
  <c r="AE69" i="4"/>
  <c r="K34" i="6" s="1"/>
  <c r="AF69" i="4"/>
  <c r="K35" i="6" s="1"/>
  <c r="S64" i="4"/>
  <c r="T64" i="4"/>
  <c r="U64" i="4"/>
  <c r="V64" i="4"/>
  <c r="W64" i="4"/>
  <c r="X64" i="4"/>
  <c r="S65" i="4"/>
  <c r="T65" i="4"/>
  <c r="U65" i="4"/>
  <c r="V65" i="4"/>
  <c r="W65" i="4"/>
  <c r="X65" i="4"/>
  <c r="S66" i="4"/>
  <c r="T66" i="4"/>
  <c r="U66" i="4"/>
  <c r="V66" i="4"/>
  <c r="W66" i="4"/>
  <c r="X66" i="4"/>
  <c r="S67" i="4"/>
  <c r="T67" i="4"/>
  <c r="U67" i="4"/>
  <c r="V67" i="4"/>
  <c r="W67" i="4"/>
  <c r="X67" i="4"/>
  <c r="S68" i="4"/>
  <c r="S69" i="4" s="1"/>
  <c r="T68" i="4"/>
  <c r="U68" i="4"/>
  <c r="U69" i="4" s="1"/>
  <c r="J32" i="6" s="1"/>
  <c r="V68" i="4"/>
  <c r="V69" i="4" s="1"/>
  <c r="W68" i="4"/>
  <c r="W69" i="4" s="1"/>
  <c r="J34" i="6" s="1"/>
  <c r="X68" i="4"/>
  <c r="R67" i="4"/>
  <c r="R66" i="4"/>
  <c r="R65" i="4"/>
  <c r="R64" i="4"/>
  <c r="AY5" i="4"/>
  <c r="AZ5" i="4"/>
  <c r="BA5" i="4"/>
  <c r="BB5" i="4"/>
  <c r="BC5" i="4"/>
  <c r="BD5" i="4"/>
  <c r="AY6" i="4"/>
  <c r="AZ6" i="4"/>
  <c r="BA6" i="4"/>
  <c r="BB6" i="4"/>
  <c r="BC6" i="4"/>
  <c r="BD6" i="4"/>
  <c r="AY7" i="4"/>
  <c r="AZ7" i="4"/>
  <c r="BA7" i="4"/>
  <c r="BB7" i="4"/>
  <c r="BC7" i="4"/>
  <c r="BD7" i="4"/>
  <c r="AY8" i="4"/>
  <c r="AZ8" i="4"/>
  <c r="BA8" i="4"/>
  <c r="BB8" i="4"/>
  <c r="BC8" i="4"/>
  <c r="BD8" i="4"/>
  <c r="AY9" i="4"/>
  <c r="AZ9" i="4"/>
  <c r="BA9" i="4"/>
  <c r="BB9" i="4"/>
  <c r="BC9" i="4"/>
  <c r="BD9" i="4"/>
  <c r="AY10" i="4"/>
  <c r="AZ10" i="4"/>
  <c r="BA10" i="4"/>
  <c r="BB10" i="4"/>
  <c r="BC10" i="4"/>
  <c r="BD10" i="4"/>
  <c r="AY11" i="4"/>
  <c r="AZ11" i="4"/>
  <c r="BA11" i="4"/>
  <c r="BB11" i="4"/>
  <c r="BC11" i="4"/>
  <c r="BD11" i="4"/>
  <c r="AY12" i="4"/>
  <c r="AZ12" i="4"/>
  <c r="BA12" i="4"/>
  <c r="BB12" i="4"/>
  <c r="BC12" i="4"/>
  <c r="BD12" i="4"/>
  <c r="AY13" i="4"/>
  <c r="AZ13" i="4"/>
  <c r="BA13" i="4"/>
  <c r="BB13" i="4"/>
  <c r="BC13" i="4"/>
  <c r="BD13" i="4"/>
  <c r="AY14" i="4"/>
  <c r="AZ14" i="4"/>
  <c r="BA14" i="4"/>
  <c r="BB14" i="4"/>
  <c r="BC14" i="4"/>
  <c r="BD14" i="4"/>
  <c r="AY15" i="4"/>
  <c r="AZ15" i="4"/>
  <c r="BA15" i="4"/>
  <c r="BB15" i="4"/>
  <c r="BC15" i="4"/>
  <c r="BD15" i="4"/>
  <c r="AY16" i="4"/>
  <c r="AZ16" i="4"/>
  <c r="BA16" i="4"/>
  <c r="BB16" i="4"/>
  <c r="BC16" i="4"/>
  <c r="BD16" i="4"/>
  <c r="AY17" i="4"/>
  <c r="AZ17" i="4"/>
  <c r="BA17" i="4"/>
  <c r="BB17" i="4"/>
  <c r="BC17" i="4"/>
  <c r="BD17" i="4"/>
  <c r="AY18" i="4"/>
  <c r="AZ18" i="4"/>
  <c r="BA18" i="4"/>
  <c r="BB18" i="4"/>
  <c r="BC18" i="4"/>
  <c r="BD18" i="4"/>
  <c r="AY19" i="4"/>
  <c r="AZ19" i="4"/>
  <c r="BA19" i="4"/>
  <c r="BB19" i="4"/>
  <c r="BC19" i="4"/>
  <c r="BD19" i="4"/>
  <c r="AY20" i="4"/>
  <c r="AZ20" i="4"/>
  <c r="BA20" i="4"/>
  <c r="BB20" i="4"/>
  <c r="BC20" i="4"/>
  <c r="BD20" i="4"/>
  <c r="AY21" i="4"/>
  <c r="AZ21" i="4"/>
  <c r="BA21" i="4"/>
  <c r="BB21" i="4"/>
  <c r="BC21" i="4"/>
  <c r="BD21" i="4"/>
  <c r="AY22" i="4"/>
  <c r="AZ22" i="4"/>
  <c r="BA22" i="4"/>
  <c r="BB22" i="4"/>
  <c r="BC22" i="4"/>
  <c r="BD22" i="4"/>
  <c r="AY23" i="4"/>
  <c r="AZ23" i="4"/>
  <c r="BA23" i="4"/>
  <c r="BB23" i="4"/>
  <c r="BC23" i="4"/>
  <c r="BD23" i="4"/>
  <c r="AY24" i="4"/>
  <c r="AZ24" i="4"/>
  <c r="BA24" i="4"/>
  <c r="BB24" i="4"/>
  <c r="BC24" i="4"/>
  <c r="BD24" i="4"/>
  <c r="AY25" i="4"/>
  <c r="AZ25" i="4"/>
  <c r="BA25" i="4"/>
  <c r="BB25" i="4"/>
  <c r="BC25" i="4"/>
  <c r="BD25" i="4"/>
  <c r="AX65" i="4"/>
  <c r="AY28" i="4"/>
  <c r="AZ28" i="4"/>
  <c r="BA28" i="4"/>
  <c r="BB28" i="4"/>
  <c r="BD28" i="4"/>
  <c r="AY29" i="4"/>
  <c r="AZ29" i="4"/>
  <c r="BA29" i="4"/>
  <c r="BB29" i="4"/>
  <c r="BC29" i="4"/>
  <c r="BD29" i="4"/>
  <c r="AY30" i="4"/>
  <c r="AZ30" i="4"/>
  <c r="BA30" i="4"/>
  <c r="BB30" i="4"/>
  <c r="BC30" i="4"/>
  <c r="BD30" i="4"/>
  <c r="AY31" i="4"/>
  <c r="AZ31" i="4"/>
  <c r="BA31" i="4"/>
  <c r="BB31" i="4"/>
  <c r="BC31" i="4"/>
  <c r="BD31" i="4"/>
  <c r="AY32" i="4"/>
  <c r="AZ32" i="4"/>
  <c r="BA32" i="4"/>
  <c r="BB32" i="4"/>
  <c r="BC32" i="4"/>
  <c r="BD32" i="4"/>
  <c r="AY33" i="4"/>
  <c r="AZ33" i="4"/>
  <c r="BA33" i="4"/>
  <c r="BB33" i="4"/>
  <c r="BC33" i="4"/>
  <c r="BD33" i="4"/>
  <c r="AY34" i="4"/>
  <c r="AZ34" i="4"/>
  <c r="BA34" i="4"/>
  <c r="BB34" i="4"/>
  <c r="BC34" i="4"/>
  <c r="BD34" i="4"/>
  <c r="AY35" i="4"/>
  <c r="AZ35" i="4"/>
  <c r="BA35" i="4"/>
  <c r="BB35" i="4"/>
  <c r="BC35" i="4"/>
  <c r="BD35" i="4"/>
  <c r="AY36" i="4"/>
  <c r="AZ36" i="4"/>
  <c r="BA36" i="4"/>
  <c r="BB36" i="4"/>
  <c r="BC36" i="4"/>
  <c r="BD36" i="4"/>
  <c r="AY37" i="4"/>
  <c r="AZ37" i="4"/>
  <c r="BA37" i="4"/>
  <c r="BB37" i="4"/>
  <c r="BC37" i="4"/>
  <c r="BD37" i="4"/>
  <c r="AY38" i="4"/>
  <c r="AZ38" i="4"/>
  <c r="BA38" i="4"/>
  <c r="BB38" i="4"/>
  <c r="BC38" i="4"/>
  <c r="BD38" i="4"/>
  <c r="AY39" i="4"/>
  <c r="AZ39" i="4"/>
  <c r="BA39" i="4"/>
  <c r="BB39" i="4"/>
  <c r="BC39" i="4"/>
  <c r="BD39" i="4"/>
  <c r="AY40" i="4"/>
  <c r="AZ40" i="4"/>
  <c r="BA40" i="4"/>
  <c r="BB40" i="4"/>
  <c r="BC40" i="4"/>
  <c r="BD40" i="4"/>
  <c r="AY41" i="4"/>
  <c r="AZ41" i="4"/>
  <c r="BA41" i="4"/>
  <c r="BB41" i="4"/>
  <c r="BC41" i="4"/>
  <c r="BD41" i="4"/>
  <c r="AY42" i="4"/>
  <c r="AZ42" i="4"/>
  <c r="BA42" i="4"/>
  <c r="BB42" i="4"/>
  <c r="BC42" i="4"/>
  <c r="BD42" i="4"/>
  <c r="AY43" i="4"/>
  <c r="AZ43" i="4"/>
  <c r="BA43" i="4"/>
  <c r="BB43" i="4"/>
  <c r="BC43" i="4"/>
  <c r="BD43" i="4"/>
  <c r="AX67" i="4"/>
  <c r="AY44" i="4"/>
  <c r="AZ44" i="4"/>
  <c r="BA44" i="4"/>
  <c r="BB44" i="4"/>
  <c r="BC44" i="4"/>
  <c r="BD44" i="4"/>
  <c r="AY45" i="4"/>
  <c r="AZ45" i="4"/>
  <c r="BA45" i="4"/>
  <c r="BB45" i="4"/>
  <c r="BC45" i="4"/>
  <c r="BD45" i="4"/>
  <c r="AY46" i="4"/>
  <c r="AZ46" i="4"/>
  <c r="BA46" i="4"/>
  <c r="BB46" i="4"/>
  <c r="BC46" i="4"/>
  <c r="BD46" i="4"/>
  <c r="AY47" i="4"/>
  <c r="AZ47" i="4"/>
  <c r="BA47" i="4"/>
  <c r="BB47" i="4"/>
  <c r="BC47" i="4"/>
  <c r="BD47" i="4"/>
  <c r="AY50" i="4"/>
  <c r="AZ50" i="4"/>
  <c r="BA50" i="4"/>
  <c r="BB50" i="4"/>
  <c r="BC50" i="4"/>
  <c r="BD50" i="4"/>
  <c r="AY52" i="4"/>
  <c r="AZ52" i="4"/>
  <c r="BA52" i="4"/>
  <c r="BB52" i="4"/>
  <c r="BC52" i="4"/>
  <c r="BD52" i="4"/>
  <c r="AY53" i="4"/>
  <c r="AZ53" i="4"/>
  <c r="AY57" i="4"/>
  <c r="AZ57" i="4"/>
  <c r="BA57" i="4"/>
  <c r="BB57" i="4"/>
  <c r="BC57" i="4"/>
  <c r="BD57" i="4"/>
  <c r="BD4" i="4"/>
  <c r="BC4" i="4"/>
  <c r="BB4" i="4"/>
  <c r="BA4" i="4"/>
  <c r="AZ4" i="4"/>
  <c r="AY4" i="4"/>
  <c r="AX4" i="4"/>
  <c r="Z58" i="4"/>
  <c r="K29" i="6" s="1"/>
  <c r="AA58" i="4"/>
  <c r="AA70" i="4" s="1"/>
  <c r="AB58" i="4"/>
  <c r="AD58" i="4"/>
  <c r="AE58" i="4"/>
  <c r="AF58" i="4"/>
  <c r="AH58" i="4"/>
  <c r="L29" i="6" s="1"/>
  <c r="AI58" i="4"/>
  <c r="AJ58" i="4"/>
  <c r="AL58" i="4"/>
  <c r="AM58" i="4"/>
  <c r="AN58" i="4"/>
  <c r="AP58" i="4"/>
  <c r="M29" i="6" s="1"/>
  <c r="AQ58" i="4"/>
  <c r="AR58" i="4"/>
  <c r="AT58" i="4"/>
  <c r="AU58" i="4"/>
  <c r="AV58" i="4"/>
  <c r="S58" i="4"/>
  <c r="S70" i="4" s="1"/>
  <c r="T58" i="4"/>
  <c r="U58" i="4"/>
  <c r="U70" i="4" s="1"/>
  <c r="V58" i="4"/>
  <c r="W58" i="4"/>
  <c r="X58" i="4"/>
  <c r="R58" i="4"/>
  <c r="J29" i="6" s="1"/>
  <c r="AR323" i="1"/>
  <c r="AS323" i="1"/>
  <c r="AT323" i="1"/>
  <c r="AU323" i="1"/>
  <c r="AV323" i="1"/>
  <c r="AR325" i="1"/>
  <c r="AS325" i="1"/>
  <c r="AT325" i="1"/>
  <c r="AU325" i="1"/>
  <c r="AV325" i="1"/>
  <c r="AW325" i="1"/>
  <c r="AR326" i="1"/>
  <c r="AS326" i="1"/>
  <c r="AR327" i="1"/>
  <c r="AS327" i="1"/>
  <c r="AT327" i="1"/>
  <c r="AU327" i="1"/>
  <c r="AV327" i="1"/>
  <c r="AW327" i="1"/>
  <c r="AR328" i="1"/>
  <c r="AS328" i="1"/>
  <c r="AT328" i="1"/>
  <c r="AU328" i="1"/>
  <c r="AV328" i="1"/>
  <c r="AW328" i="1"/>
  <c r="AR329" i="1"/>
  <c r="AS329" i="1"/>
  <c r="AT329" i="1"/>
  <c r="AU329" i="1"/>
  <c r="AV329" i="1"/>
  <c r="AW329" i="1"/>
  <c r="AR330" i="1"/>
  <c r="AS330" i="1"/>
  <c r="AT330" i="1"/>
  <c r="AU330" i="1"/>
  <c r="AV330" i="1"/>
  <c r="AW330" i="1"/>
  <c r="AR331" i="1"/>
  <c r="AS331" i="1"/>
  <c r="AT331" i="1"/>
  <c r="AU331" i="1"/>
  <c r="AV331" i="1"/>
  <c r="AW331" i="1"/>
  <c r="AR332" i="1"/>
  <c r="AS332" i="1"/>
  <c r="AT332" i="1"/>
  <c r="AU332" i="1"/>
  <c r="AV332" i="1"/>
  <c r="AW332" i="1"/>
  <c r="AR333" i="1"/>
  <c r="AS333" i="1"/>
  <c r="AT333" i="1"/>
  <c r="AU333" i="1"/>
  <c r="AV333" i="1"/>
  <c r="AW333" i="1"/>
  <c r="AQ331" i="1"/>
  <c r="AJ323" i="1"/>
  <c r="AK323" i="1"/>
  <c r="AL323" i="1"/>
  <c r="AM323" i="1"/>
  <c r="AN323" i="1"/>
  <c r="AJ325" i="1"/>
  <c r="AK325" i="1"/>
  <c r="AL325" i="1"/>
  <c r="AM325" i="1"/>
  <c r="AN325" i="1"/>
  <c r="AO325" i="1"/>
  <c r="AJ326" i="1"/>
  <c r="AK326" i="1"/>
  <c r="AL326" i="1"/>
  <c r="AM326" i="1"/>
  <c r="AN326" i="1"/>
  <c r="AO326" i="1"/>
  <c r="AJ327" i="1"/>
  <c r="AK327" i="1"/>
  <c r="AL327" i="1"/>
  <c r="AM327" i="1"/>
  <c r="AN327" i="1"/>
  <c r="AO327" i="1"/>
  <c r="AJ328" i="1"/>
  <c r="AK328" i="1"/>
  <c r="AL328" i="1"/>
  <c r="AM328" i="1"/>
  <c r="AN328" i="1"/>
  <c r="AO328" i="1"/>
  <c r="AJ329" i="1"/>
  <c r="AK329" i="1"/>
  <c r="AL329" i="1"/>
  <c r="AM329" i="1"/>
  <c r="AN329" i="1"/>
  <c r="AO329" i="1"/>
  <c r="AJ330" i="1"/>
  <c r="AK330" i="1"/>
  <c r="AL330" i="1"/>
  <c r="AM330" i="1"/>
  <c r="AN330" i="1"/>
  <c r="AO330" i="1"/>
  <c r="AJ331" i="1"/>
  <c r="AK331" i="1"/>
  <c r="AL331" i="1"/>
  <c r="AM331" i="1"/>
  <c r="AN331" i="1"/>
  <c r="AO331" i="1"/>
  <c r="AJ332" i="1"/>
  <c r="AK332" i="1"/>
  <c r="AL332" i="1"/>
  <c r="AM332" i="1"/>
  <c r="AN332" i="1"/>
  <c r="AO332" i="1"/>
  <c r="AJ333" i="1"/>
  <c r="AK333" i="1"/>
  <c r="AL333" i="1"/>
  <c r="AM333" i="1"/>
  <c r="AN333" i="1"/>
  <c r="AO333" i="1"/>
  <c r="AI331" i="1"/>
  <c r="AB323" i="1"/>
  <c r="AC323" i="1"/>
  <c r="AD323" i="1"/>
  <c r="AE323" i="1"/>
  <c r="AF323" i="1"/>
  <c r="AB325" i="1"/>
  <c r="AC325" i="1"/>
  <c r="AD325" i="1"/>
  <c r="AE325" i="1"/>
  <c r="AF325" i="1"/>
  <c r="AG325" i="1"/>
  <c r="AB326" i="1"/>
  <c r="AC326" i="1"/>
  <c r="AD326" i="1"/>
  <c r="AE326" i="1"/>
  <c r="AF326" i="1"/>
  <c r="AG326" i="1"/>
  <c r="AB327" i="1"/>
  <c r="AC327" i="1"/>
  <c r="AD327" i="1"/>
  <c r="AE327" i="1"/>
  <c r="AF327" i="1"/>
  <c r="AG327" i="1"/>
  <c r="AB328" i="1"/>
  <c r="AC328" i="1"/>
  <c r="AD328" i="1"/>
  <c r="AE328" i="1"/>
  <c r="AF328" i="1"/>
  <c r="AG328" i="1"/>
  <c r="AB329" i="1"/>
  <c r="AC329" i="1"/>
  <c r="AD329" i="1"/>
  <c r="AE329" i="1"/>
  <c r="AF329" i="1"/>
  <c r="AG329" i="1"/>
  <c r="AB330" i="1"/>
  <c r="AC330" i="1"/>
  <c r="AD330" i="1"/>
  <c r="AE330" i="1"/>
  <c r="AF330" i="1"/>
  <c r="AG330" i="1"/>
  <c r="AB331" i="1"/>
  <c r="AC331" i="1"/>
  <c r="AD331" i="1"/>
  <c r="AE331" i="1"/>
  <c r="AF331" i="1"/>
  <c r="AG331" i="1"/>
  <c r="AB332" i="1"/>
  <c r="AC332" i="1"/>
  <c r="AD332" i="1"/>
  <c r="AE332" i="1"/>
  <c r="AF332" i="1"/>
  <c r="AG332" i="1"/>
  <c r="AB333" i="1"/>
  <c r="AC333" i="1"/>
  <c r="AD333" i="1"/>
  <c r="AE333" i="1"/>
  <c r="AF333" i="1"/>
  <c r="AG333" i="1"/>
  <c r="AA331" i="1"/>
  <c r="T325" i="1"/>
  <c r="U325" i="1"/>
  <c r="V325" i="1"/>
  <c r="W325" i="1"/>
  <c r="X325" i="1"/>
  <c r="Y325" i="1"/>
  <c r="T326" i="1"/>
  <c r="U326" i="1"/>
  <c r="V326" i="1"/>
  <c r="W326" i="1"/>
  <c r="X326" i="1"/>
  <c r="T327" i="1"/>
  <c r="U327" i="1"/>
  <c r="V327" i="1"/>
  <c r="W327" i="1"/>
  <c r="X327" i="1"/>
  <c r="Y327" i="1"/>
  <c r="T328" i="1"/>
  <c r="U328" i="1"/>
  <c r="V328" i="1"/>
  <c r="W328" i="1"/>
  <c r="X328" i="1"/>
  <c r="Y328" i="1"/>
  <c r="T329" i="1"/>
  <c r="U329" i="1"/>
  <c r="V329" i="1"/>
  <c r="W329" i="1"/>
  <c r="X329" i="1"/>
  <c r="Y329" i="1"/>
  <c r="T330" i="1"/>
  <c r="U330" i="1"/>
  <c r="V330" i="1"/>
  <c r="W330" i="1"/>
  <c r="X330" i="1"/>
  <c r="Y330" i="1"/>
  <c r="T331" i="1"/>
  <c r="U331" i="1"/>
  <c r="W331" i="1"/>
  <c r="X331" i="1"/>
  <c r="Y331" i="1"/>
  <c r="T332" i="1"/>
  <c r="U332" i="1"/>
  <c r="V332" i="1"/>
  <c r="W332" i="1"/>
  <c r="X332" i="1"/>
  <c r="Y332" i="1"/>
  <c r="T333" i="1"/>
  <c r="U333" i="1"/>
  <c r="V333" i="1"/>
  <c r="W333" i="1"/>
  <c r="X333" i="1"/>
  <c r="Y333" i="1"/>
  <c r="S331" i="1"/>
  <c r="T323" i="1"/>
  <c r="V323" i="1"/>
  <c r="W323" i="1"/>
  <c r="X323" i="1"/>
  <c r="S323" i="1"/>
  <c r="BD218" i="1"/>
  <c r="BE218" i="1"/>
  <c r="BD219" i="1"/>
  <c r="BE219" i="1"/>
  <c r="BD220" i="1"/>
  <c r="BE220" i="1"/>
  <c r="BC218" i="1"/>
  <c r="BC219" i="1"/>
  <c r="BC220" i="1"/>
  <c r="BC234" i="1"/>
  <c r="BD234" i="1"/>
  <c r="BE234" i="1"/>
  <c r="BE274" i="1"/>
  <c r="BD274" i="1"/>
  <c r="BC274" i="1"/>
  <c r="BE278" i="1"/>
  <c r="BE279" i="1"/>
  <c r="BD278" i="1"/>
  <c r="BD279" i="1"/>
  <c r="BC278" i="1"/>
  <c r="BC279" i="1"/>
  <c r="BE282" i="1"/>
  <c r="BE283" i="1"/>
  <c r="BE284" i="1"/>
  <c r="BE285" i="1"/>
  <c r="BD282" i="1"/>
  <c r="BD283" i="1"/>
  <c r="BD284" i="1"/>
  <c r="BD285" i="1"/>
  <c r="BC282" i="1"/>
  <c r="BC283" i="1"/>
  <c r="BC284" i="1"/>
  <c r="BC285" i="1"/>
  <c r="BB282" i="1"/>
  <c r="BB283" i="1"/>
  <c r="BB284" i="1"/>
  <c r="BB285" i="1"/>
  <c r="BB278" i="1"/>
  <c r="BB279" i="1"/>
  <c r="BB274" i="1"/>
  <c r="BB234" i="1"/>
  <c r="BB218" i="1"/>
  <c r="BB219" i="1"/>
  <c r="BB220" i="1"/>
  <c r="BA218" i="1"/>
  <c r="BA219" i="1"/>
  <c r="BA220" i="1"/>
  <c r="BA234" i="1"/>
  <c r="BA274" i="1"/>
  <c r="BA278" i="1"/>
  <c r="BA279" i="1"/>
  <c r="BA282" i="1"/>
  <c r="BA283" i="1"/>
  <c r="BA284" i="1"/>
  <c r="BA285" i="1"/>
  <c r="AZ282" i="1"/>
  <c r="AZ283" i="1"/>
  <c r="AZ284" i="1"/>
  <c r="AZ285" i="1"/>
  <c r="AZ278" i="1"/>
  <c r="AZ279" i="1"/>
  <c r="AZ274" i="1"/>
  <c r="AZ234" i="1"/>
  <c r="AZ218" i="1"/>
  <c r="AZ219" i="1"/>
  <c r="AZ220" i="1"/>
  <c r="AY218" i="1"/>
  <c r="AY219" i="1"/>
  <c r="AY220" i="1"/>
  <c r="AY221" i="1"/>
  <c r="AY234" i="1"/>
  <c r="AY274" i="1"/>
  <c r="AY278" i="1"/>
  <c r="AY279" i="1"/>
  <c r="AY282" i="1"/>
  <c r="AY283" i="1"/>
  <c r="AY284" i="1"/>
  <c r="AY285" i="1"/>
  <c r="AZ4" i="1"/>
  <c r="BA4" i="1"/>
  <c r="BB4" i="1"/>
  <c r="BC4" i="1"/>
  <c r="BD4" i="1"/>
  <c r="BE4" i="1"/>
  <c r="AY4" i="1"/>
  <c r="AX218" i="1"/>
  <c r="AX219" i="1"/>
  <c r="AX220" i="1"/>
  <c r="AX234" i="1"/>
  <c r="AX274" i="1"/>
  <c r="AX278" i="1"/>
  <c r="AX279" i="1"/>
  <c r="AX282" i="1"/>
  <c r="AX283" i="1"/>
  <c r="AX284" i="1"/>
  <c r="AX285" i="1"/>
  <c r="AX307" i="1"/>
  <c r="AX308" i="1"/>
  <c r="AX309" i="1"/>
  <c r="AX310" i="1"/>
  <c r="AP282" i="1"/>
  <c r="AP283" i="1"/>
  <c r="AP284" i="1"/>
  <c r="AP285" i="1"/>
  <c r="AP278" i="1"/>
  <c r="AP279" i="1"/>
  <c r="AP274" i="1"/>
  <c r="AP258" i="1"/>
  <c r="AP234" i="1"/>
  <c r="AP218" i="1"/>
  <c r="AP219" i="1"/>
  <c r="AP220" i="1"/>
  <c r="AH218" i="1"/>
  <c r="AH219" i="1"/>
  <c r="AH220" i="1"/>
  <c r="AH234" i="1"/>
  <c r="AH274" i="1"/>
  <c r="AH278" i="1"/>
  <c r="AH279" i="1"/>
  <c r="AH282" i="1"/>
  <c r="AH283" i="1"/>
  <c r="AH284" i="1"/>
  <c r="AH285" i="1"/>
  <c r="Z218" i="1"/>
  <c r="Z219" i="1"/>
  <c r="Z220" i="1"/>
  <c r="Z221" i="1"/>
  <c r="Z222" i="1"/>
  <c r="Z223" i="1"/>
  <c r="Z225" i="1"/>
  <c r="Z226" i="1"/>
  <c r="Z227" i="1"/>
  <c r="Z228" i="1"/>
  <c r="Z229" i="1"/>
  <c r="Z230" i="1"/>
  <c r="Z231" i="1"/>
  <c r="Z232" i="1"/>
  <c r="Z233" i="1"/>
  <c r="Z234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3" i="1"/>
  <c r="Z304" i="1"/>
  <c r="Z306" i="1"/>
  <c r="Z307" i="1"/>
  <c r="Z308" i="1"/>
  <c r="Z310" i="1"/>
  <c r="Z311" i="1"/>
  <c r="Z312" i="1"/>
  <c r="Z313" i="1"/>
  <c r="Z314" i="1"/>
  <c r="Z315" i="1"/>
  <c r="Z316" i="1"/>
  <c r="Z317" i="1"/>
  <c r="BF284" i="1" l="1"/>
  <c r="BF278" i="1"/>
  <c r="AQ69" i="4"/>
  <c r="X69" i="4"/>
  <c r="J35" i="6" s="1"/>
  <c r="T69" i="4"/>
  <c r="AL69" i="4"/>
  <c r="AL70" i="4" s="1"/>
  <c r="AV69" i="4"/>
  <c r="M35" i="6" s="1"/>
  <c r="AE70" i="4"/>
  <c r="AS69" i="4"/>
  <c r="M32" i="6" s="1"/>
  <c r="AN69" i="4"/>
  <c r="L35" i="6" s="1"/>
  <c r="AJ69" i="4"/>
  <c r="BE11" i="4"/>
  <c r="Y64" i="4"/>
  <c r="Y66" i="4"/>
  <c r="X70" i="4"/>
  <c r="V70" i="4"/>
  <c r="T70" i="4"/>
  <c r="AZ64" i="4"/>
  <c r="AG66" i="4"/>
  <c r="AO66" i="4"/>
  <c r="BE19" i="4"/>
  <c r="W70" i="4"/>
  <c r="BE15" i="4"/>
  <c r="BE23" i="4"/>
  <c r="AC70" i="4"/>
  <c r="AG64" i="4"/>
  <c r="BC58" i="4"/>
  <c r="BE21" i="4"/>
  <c r="BE13" i="4"/>
  <c r="K36" i="6"/>
  <c r="BE17" i="4"/>
  <c r="BE9" i="4"/>
  <c r="BE7" i="4"/>
  <c r="R29" i="6"/>
  <c r="J36" i="6"/>
  <c r="AZ58" i="4"/>
  <c r="BE50" i="4"/>
  <c r="BD67" i="4"/>
  <c r="BB67" i="4"/>
  <c r="AZ67" i="4"/>
  <c r="BE43" i="4"/>
  <c r="BE41" i="4"/>
  <c r="BE39" i="4"/>
  <c r="BE37" i="4"/>
  <c r="BE35" i="4"/>
  <c r="BE33" i="4"/>
  <c r="BE31" i="4"/>
  <c r="BE25" i="4"/>
  <c r="BE22" i="4"/>
  <c r="BE18" i="4"/>
  <c r="BE14" i="4"/>
  <c r="BE10" i="4"/>
  <c r="Y67" i="4"/>
  <c r="AG65" i="4"/>
  <c r="AG67" i="4"/>
  <c r="U29" i="6"/>
  <c r="BE57" i="4"/>
  <c r="BE52" i="4"/>
  <c r="BE47" i="4"/>
  <c r="BE45" i="4"/>
  <c r="BC67" i="4"/>
  <c r="BE42" i="4"/>
  <c r="BE40" i="4"/>
  <c r="BE38" i="4"/>
  <c r="BE36" i="4"/>
  <c r="BE34" i="4"/>
  <c r="BE32" i="4"/>
  <c r="BE29" i="4"/>
  <c r="BE20" i="4"/>
  <c r="BE16" i="4"/>
  <c r="BE12" i="4"/>
  <c r="BE8" i="4"/>
  <c r="AY68" i="4"/>
  <c r="BE53" i="4"/>
  <c r="BA58" i="4"/>
  <c r="BD68" i="4"/>
  <c r="BB68" i="4"/>
  <c r="AZ68" i="4"/>
  <c r="BE46" i="4"/>
  <c r="BC66" i="4"/>
  <c r="BB65" i="4"/>
  <c r="AV70" i="4"/>
  <c r="AF70" i="4"/>
  <c r="AD70" i="4"/>
  <c r="AW66" i="4"/>
  <c r="AO65" i="4"/>
  <c r="AT69" i="4"/>
  <c r="AT70" i="4" s="1"/>
  <c r="AR69" i="4"/>
  <c r="AR70" i="4" s="1"/>
  <c r="AW64" i="4"/>
  <c r="AM69" i="4"/>
  <c r="AK69" i="4"/>
  <c r="L32" i="6" s="1"/>
  <c r="AI69" i="4"/>
  <c r="AI70" i="4" s="1"/>
  <c r="AY66" i="4"/>
  <c r="BF285" i="1"/>
  <c r="BF283" i="1"/>
  <c r="BF279" i="1"/>
  <c r="BF274" i="1"/>
  <c r="BF219" i="1"/>
  <c r="AH331" i="1"/>
  <c r="AP331" i="1"/>
  <c r="AX331" i="1"/>
  <c r="BE4" i="4"/>
  <c r="BB58" i="4"/>
  <c r="BD58" i="4"/>
  <c r="AY67" i="4"/>
  <c r="BD66" i="4"/>
  <c r="BB66" i="4"/>
  <c r="AZ66" i="4"/>
  <c r="BC65" i="4"/>
  <c r="BD65" i="4"/>
  <c r="AY65" i="4"/>
  <c r="AW67" i="4"/>
  <c r="AO67" i="4"/>
  <c r="AB70" i="4"/>
  <c r="AY64" i="4"/>
  <c r="AY69" i="4" s="1"/>
  <c r="BF282" i="1"/>
  <c r="BF234" i="1"/>
  <c r="BF220" i="1"/>
  <c r="BE30" i="4"/>
  <c r="AZ65" i="4"/>
  <c r="AZ69" i="4" s="1"/>
  <c r="BE5" i="4"/>
  <c r="Y65" i="4"/>
  <c r="AS70" i="4"/>
  <c r="AQ70" i="4"/>
  <c r="AN70" i="4"/>
  <c r="AJ70" i="4"/>
  <c r="AW68" i="4"/>
  <c r="AU69" i="4"/>
  <c r="AX64" i="4"/>
  <c r="AX66" i="4"/>
  <c r="BD64" i="4"/>
  <c r="BB64" i="4"/>
  <c r="AY58" i="4"/>
  <c r="BA68" i="4"/>
  <c r="BE44" i="4"/>
  <c r="BA67" i="4"/>
  <c r="BA66" i="4"/>
  <c r="BA65" i="4"/>
  <c r="BA64" i="4"/>
  <c r="AP69" i="4"/>
  <c r="AP70" i="4" s="1"/>
  <c r="BC68" i="4"/>
  <c r="BC64" i="4"/>
  <c r="BF218" i="1"/>
  <c r="AW65" i="4"/>
  <c r="BE6" i="4"/>
  <c r="BE24" i="4"/>
  <c r="AX58" i="4"/>
  <c r="D2" i="6" s="1"/>
  <c r="BE66" i="4" l="1"/>
  <c r="AK70" i="4"/>
  <c r="AW69" i="4"/>
  <c r="BE65" i="4"/>
  <c r="BE67" i="4"/>
  <c r="BB69" i="4"/>
  <c r="AU70" i="4"/>
  <c r="M34" i="6"/>
  <c r="M36" i="6" s="1"/>
  <c r="AM70" i="4"/>
  <c r="L34" i="6"/>
  <c r="L36" i="6" s="1"/>
  <c r="BA69" i="4"/>
  <c r="D5" i="6" s="1"/>
  <c r="BE64" i="4"/>
  <c r="D4" i="6"/>
  <c r="AZ70" i="4"/>
  <c r="BD69" i="4"/>
  <c r="AY70" i="4"/>
  <c r="D3" i="6"/>
  <c r="BC69" i="4"/>
  <c r="AW5" i="4"/>
  <c r="AW6" i="4"/>
  <c r="AW7" i="4"/>
  <c r="AW8" i="4"/>
  <c r="AW9" i="4"/>
  <c r="AW10" i="4"/>
  <c r="AW11" i="4"/>
  <c r="AW12" i="4"/>
  <c r="AW13" i="4"/>
  <c r="AW14" i="4"/>
  <c r="AW15" i="4"/>
  <c r="AW16" i="4"/>
  <c r="AW17" i="4"/>
  <c r="AW18" i="4"/>
  <c r="AW19" i="4"/>
  <c r="AW20" i="4"/>
  <c r="AW21" i="4"/>
  <c r="AW22" i="4"/>
  <c r="AW23" i="4"/>
  <c r="AW24" i="4"/>
  <c r="AW25" i="4"/>
  <c r="AW29" i="4"/>
  <c r="AW30" i="4"/>
  <c r="AW31" i="4"/>
  <c r="AW32" i="4"/>
  <c r="AW33" i="4"/>
  <c r="AW34" i="4"/>
  <c r="AW35" i="4"/>
  <c r="AW36" i="4"/>
  <c r="AW37" i="4"/>
  <c r="AW38" i="4"/>
  <c r="AW39" i="4"/>
  <c r="AW40" i="4"/>
  <c r="AW41" i="4"/>
  <c r="AW42" i="4"/>
  <c r="AW43" i="4"/>
  <c r="AW44" i="4"/>
  <c r="AW45" i="4"/>
  <c r="AW46" i="4"/>
  <c r="AW47" i="4"/>
  <c r="AW50" i="4"/>
  <c r="AW52" i="4"/>
  <c r="AW53" i="4"/>
  <c r="AW57" i="4"/>
  <c r="AW4" i="4"/>
  <c r="AO6" i="4"/>
  <c r="AO7" i="4"/>
  <c r="AO8" i="4"/>
  <c r="AO9" i="4"/>
  <c r="AO10" i="4"/>
  <c r="AO11" i="4"/>
  <c r="AO12" i="4"/>
  <c r="AO13" i="4"/>
  <c r="AO14" i="4"/>
  <c r="AO15" i="4"/>
  <c r="AO16" i="4"/>
  <c r="AO17" i="4"/>
  <c r="AO18" i="4"/>
  <c r="AO19" i="4"/>
  <c r="AO20" i="4"/>
  <c r="AO21" i="4"/>
  <c r="AO22" i="4"/>
  <c r="AO23" i="4"/>
  <c r="AO24" i="4"/>
  <c r="AO25" i="4"/>
  <c r="AO28" i="4"/>
  <c r="AO29" i="4"/>
  <c r="AO30" i="4"/>
  <c r="AO31" i="4"/>
  <c r="AO32" i="4"/>
  <c r="AO33" i="4"/>
  <c r="AO34" i="4"/>
  <c r="AO35" i="4"/>
  <c r="AO36" i="4"/>
  <c r="AO37" i="4"/>
  <c r="AO38" i="4"/>
  <c r="AO39" i="4"/>
  <c r="AO40" i="4"/>
  <c r="AO41" i="4"/>
  <c r="AO42" i="4"/>
  <c r="AO43" i="4"/>
  <c r="AO44" i="4"/>
  <c r="AO45" i="4"/>
  <c r="AO46" i="4"/>
  <c r="AO47" i="4"/>
  <c r="AO50" i="4"/>
  <c r="AO52" i="4"/>
  <c r="AO53" i="4"/>
  <c r="AO57" i="4"/>
  <c r="AO5" i="4"/>
  <c r="AO4" i="4"/>
  <c r="AG5" i="4"/>
  <c r="AG6" i="4"/>
  <c r="AG7" i="4"/>
  <c r="AG8" i="4"/>
  <c r="AG9" i="4"/>
  <c r="AG10" i="4"/>
  <c r="AG11" i="4"/>
  <c r="AG12" i="4"/>
  <c r="AG13" i="4"/>
  <c r="AG15" i="4"/>
  <c r="AG16" i="4"/>
  <c r="AG17" i="4"/>
  <c r="AG18" i="4"/>
  <c r="AG19" i="4"/>
  <c r="AG20" i="4"/>
  <c r="AG22" i="4"/>
  <c r="AG23" i="4"/>
  <c r="AG24" i="4"/>
  <c r="AG25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G44" i="4"/>
  <c r="AG45" i="4"/>
  <c r="AG46" i="4"/>
  <c r="AG47" i="4"/>
  <c r="AG50" i="4"/>
  <c r="AG52" i="4"/>
  <c r="AG53" i="4"/>
  <c r="AG57" i="4"/>
  <c r="AG4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50" i="4"/>
  <c r="Y52" i="4"/>
  <c r="Y53" i="4"/>
  <c r="Y57" i="4"/>
  <c r="Y5" i="4"/>
  <c r="Y4" i="4"/>
  <c r="BA70" i="4" l="1"/>
  <c r="D6" i="6"/>
  <c r="BB70" i="4"/>
  <c r="BE28" i="4"/>
  <c r="BE58" i="4" s="1"/>
  <c r="D7" i="6"/>
  <c r="BC70" i="4"/>
  <c r="D8" i="6"/>
  <c r="BD70" i="4"/>
  <c r="AG58" i="4"/>
  <c r="AW58" i="4"/>
  <c r="AW70" i="4" s="1"/>
  <c r="AO58" i="4"/>
  <c r="Y58" i="4"/>
  <c r="AE92" i="5"/>
  <c r="AE93" i="5" s="1"/>
  <c r="AM92" i="5"/>
  <c r="AM93" i="5" s="1"/>
  <c r="AR92" i="5"/>
  <c r="AV92" i="5"/>
  <c r="AV93" i="5" s="1"/>
  <c r="T92" i="5"/>
  <c r="AK92" i="5"/>
  <c r="AT92" i="5"/>
  <c r="AT93" i="5" s="1"/>
  <c r="AK93" i="5" l="1"/>
  <c r="P31" i="6"/>
  <c r="AR93" i="5"/>
  <c r="Q30" i="6"/>
  <c r="T93" i="5"/>
  <c r="N30" i="6"/>
  <c r="AO92" i="5"/>
  <c r="AG92" i="5"/>
  <c r="AC92" i="5"/>
  <c r="X92" i="5"/>
  <c r="X93" i="5" s="1"/>
  <c r="V92" i="5"/>
  <c r="AW92" i="5"/>
  <c r="AU92" i="5"/>
  <c r="AU93" i="5" s="1"/>
  <c r="AS92" i="5"/>
  <c r="AQ92" i="5"/>
  <c r="AQ93" i="5" s="1"/>
  <c r="AN92" i="5"/>
  <c r="AN93" i="5" s="1"/>
  <c r="AL92" i="5"/>
  <c r="AJ92" i="5"/>
  <c r="AF92" i="5"/>
  <c r="AF93" i="5" s="1"/>
  <c r="AD92" i="5"/>
  <c r="AB92" i="5"/>
  <c r="W92" i="5"/>
  <c r="W93" i="5" s="1"/>
  <c r="U92" i="5"/>
  <c r="AI28" i="5"/>
  <c r="AZ56" i="5"/>
  <c r="BA56" i="5"/>
  <c r="BB56" i="5"/>
  <c r="BC56" i="5"/>
  <c r="BD56" i="5"/>
  <c r="BE56" i="5"/>
  <c r="AZ62" i="5"/>
  <c r="BA62" i="5"/>
  <c r="BB62" i="5"/>
  <c r="BC62" i="5"/>
  <c r="BD62" i="5"/>
  <c r="BE62" i="5"/>
  <c r="AZ63" i="5"/>
  <c r="BA63" i="5"/>
  <c r="BB63" i="5"/>
  <c r="BC63" i="5"/>
  <c r="BD63" i="5"/>
  <c r="BE63" i="5"/>
  <c r="AZ64" i="5"/>
  <c r="BA64" i="5"/>
  <c r="BB64" i="5"/>
  <c r="BC64" i="5"/>
  <c r="BD64" i="5"/>
  <c r="BE64" i="5"/>
  <c r="AZ65" i="5"/>
  <c r="BA65" i="5"/>
  <c r="BB65" i="5"/>
  <c r="BC65" i="5"/>
  <c r="BD65" i="5"/>
  <c r="BE65" i="5"/>
  <c r="AZ71" i="5"/>
  <c r="BA71" i="5"/>
  <c r="BB71" i="5"/>
  <c r="BC71" i="5"/>
  <c r="BD71" i="5"/>
  <c r="BE71" i="5"/>
  <c r="AZ72" i="5"/>
  <c r="BA72" i="5"/>
  <c r="BB72" i="5"/>
  <c r="BC72" i="5"/>
  <c r="BD72" i="5"/>
  <c r="BE72" i="5"/>
  <c r="AZ73" i="5"/>
  <c r="BA73" i="5"/>
  <c r="BB73" i="5"/>
  <c r="BC73" i="5"/>
  <c r="BD73" i="5"/>
  <c r="BE73" i="5"/>
  <c r="AZ74" i="5"/>
  <c r="BA74" i="5"/>
  <c r="BB74" i="5"/>
  <c r="BC74" i="5"/>
  <c r="BD74" i="5"/>
  <c r="BE74" i="5"/>
  <c r="AZ77" i="5"/>
  <c r="BA77" i="5"/>
  <c r="BB77" i="5"/>
  <c r="BC77" i="5"/>
  <c r="BD77" i="5"/>
  <c r="BE77" i="5"/>
  <c r="AZ78" i="5"/>
  <c r="BA78" i="5"/>
  <c r="BB78" i="5"/>
  <c r="BC78" i="5"/>
  <c r="BD78" i="5"/>
  <c r="BE78" i="5"/>
  <c r="AZ79" i="5"/>
  <c r="BA79" i="5"/>
  <c r="BB79" i="5"/>
  <c r="BC79" i="5"/>
  <c r="BD79" i="5"/>
  <c r="BE79" i="5"/>
  <c r="AZ81" i="5"/>
  <c r="BA81" i="5"/>
  <c r="BB81" i="5"/>
  <c r="BC81" i="5"/>
  <c r="BD81" i="5"/>
  <c r="BE81" i="5"/>
  <c r="AZ82" i="5"/>
  <c r="BA82" i="5"/>
  <c r="BB82" i="5"/>
  <c r="BC82" i="5"/>
  <c r="BD82" i="5"/>
  <c r="BE82" i="5"/>
  <c r="AX56" i="5"/>
  <c r="AX62" i="5"/>
  <c r="AX63" i="5"/>
  <c r="AX64" i="5"/>
  <c r="AX65" i="5"/>
  <c r="AX71" i="5"/>
  <c r="AX72" i="5"/>
  <c r="AX73" i="5"/>
  <c r="AX74" i="5"/>
  <c r="AX77" i="5"/>
  <c r="AX78" i="5"/>
  <c r="AX79" i="5"/>
  <c r="AX81" i="5"/>
  <c r="AX82" i="5"/>
  <c r="AH56" i="5"/>
  <c r="AH62" i="5"/>
  <c r="AH63" i="5"/>
  <c r="AH64" i="5"/>
  <c r="AH65" i="5"/>
  <c r="AH71" i="5"/>
  <c r="AH72" i="5"/>
  <c r="AH73" i="5"/>
  <c r="AH74" i="5"/>
  <c r="AH77" i="5"/>
  <c r="AH78" i="5"/>
  <c r="AH79" i="5"/>
  <c r="AH81" i="5"/>
  <c r="AH82" i="5"/>
  <c r="Z56" i="5"/>
  <c r="Z62" i="5"/>
  <c r="Z63" i="5"/>
  <c r="BF63" i="5" s="1"/>
  <c r="Z64" i="5"/>
  <c r="Z65" i="5"/>
  <c r="Z71" i="5"/>
  <c r="Z72" i="5"/>
  <c r="Z73" i="5"/>
  <c r="BF73" i="5" s="1"/>
  <c r="Z74" i="5"/>
  <c r="Z77" i="5"/>
  <c r="Z78" i="5"/>
  <c r="Z79" i="5"/>
  <c r="Z81" i="5"/>
  <c r="Z82" i="5"/>
  <c r="S92" i="5"/>
  <c r="S93" i="5" s="1"/>
  <c r="AZ19" i="5"/>
  <c r="BA19" i="5"/>
  <c r="BB19" i="5"/>
  <c r="BC19" i="5"/>
  <c r="BD19" i="5"/>
  <c r="BE19" i="5"/>
  <c r="AZ20" i="5"/>
  <c r="BA20" i="5"/>
  <c r="BB20" i="5"/>
  <c r="BC20" i="5"/>
  <c r="BD20" i="5"/>
  <c r="BE20" i="5"/>
  <c r="AZ21" i="5"/>
  <c r="BA21" i="5"/>
  <c r="BB21" i="5"/>
  <c r="BC21" i="5"/>
  <c r="BD21" i="5"/>
  <c r="BE21" i="5"/>
  <c r="AZ22" i="5"/>
  <c r="BA22" i="5"/>
  <c r="BB22" i="5"/>
  <c r="BC22" i="5"/>
  <c r="BD22" i="5"/>
  <c r="BE22" i="5"/>
  <c r="AX19" i="5"/>
  <c r="AX20" i="5"/>
  <c r="AX21" i="5"/>
  <c r="AX22" i="5"/>
  <c r="AH20" i="5"/>
  <c r="AH21" i="5"/>
  <c r="AH22" i="5"/>
  <c r="AH19" i="5"/>
  <c r="Z19" i="5"/>
  <c r="Z20" i="5"/>
  <c r="Z21" i="5"/>
  <c r="Z22" i="5"/>
  <c r="Z23" i="5"/>
  <c r="AG10" i="1"/>
  <c r="Y10" i="1"/>
  <c r="P10" i="1"/>
  <c r="Q10" i="1" s="1"/>
  <c r="O8" i="1"/>
  <c r="P8" i="1" s="1"/>
  <c r="Q8" i="1" s="1"/>
  <c r="AW6" i="1"/>
  <c r="AO6" i="1"/>
  <c r="AG6" i="1"/>
  <c r="Y6" i="1"/>
  <c r="O6" i="1"/>
  <c r="P6" i="1" s="1"/>
  <c r="Q6" i="1" s="1"/>
  <c r="R6" i="1" s="1"/>
  <c r="AA293" i="1"/>
  <c r="AY292" i="1"/>
  <c r="AZ292" i="1"/>
  <c r="BA292" i="1"/>
  <c r="BB292" i="1"/>
  <c r="BC292" i="1"/>
  <c r="BD292" i="1"/>
  <c r="BE292" i="1"/>
  <c r="AZ293" i="1"/>
  <c r="BA293" i="1"/>
  <c r="BB293" i="1"/>
  <c r="BC293" i="1"/>
  <c r="BD293" i="1"/>
  <c r="BE293" i="1"/>
  <c r="AX292" i="1"/>
  <c r="AX293" i="1"/>
  <c r="AP292" i="1"/>
  <c r="AP293" i="1"/>
  <c r="AH292" i="1"/>
  <c r="AY289" i="1"/>
  <c r="AZ289" i="1"/>
  <c r="BA289" i="1"/>
  <c r="BB289" i="1"/>
  <c r="BC289" i="1"/>
  <c r="BD289" i="1"/>
  <c r="BE289" i="1"/>
  <c r="AY290" i="1"/>
  <c r="AZ290" i="1"/>
  <c r="BA290" i="1"/>
  <c r="BB290" i="1"/>
  <c r="BC290" i="1"/>
  <c r="BD290" i="1"/>
  <c r="BE290" i="1"/>
  <c r="AY291" i="1"/>
  <c r="AZ291" i="1"/>
  <c r="BA291" i="1"/>
  <c r="BB291" i="1"/>
  <c r="BC291" i="1"/>
  <c r="BD291" i="1"/>
  <c r="BE291" i="1"/>
  <c r="AX289" i="1"/>
  <c r="AX290" i="1"/>
  <c r="AX291" i="1"/>
  <c r="AP289" i="1"/>
  <c r="AP290" i="1"/>
  <c r="AP291" i="1"/>
  <c r="AH289" i="1"/>
  <c r="AH290" i="1"/>
  <c r="AH291" i="1"/>
  <c r="AY276" i="1"/>
  <c r="AZ276" i="1"/>
  <c r="BA276" i="1"/>
  <c r="BB276" i="1"/>
  <c r="BC276" i="1"/>
  <c r="BD276" i="1"/>
  <c r="BE276" i="1"/>
  <c r="AX276" i="1"/>
  <c r="AP276" i="1"/>
  <c r="AH276" i="1"/>
  <c r="AY273" i="1"/>
  <c r="AZ273" i="1"/>
  <c r="BA273" i="1"/>
  <c r="BB273" i="1"/>
  <c r="BC273" i="1"/>
  <c r="BD273" i="1"/>
  <c r="BE273" i="1"/>
  <c r="AX273" i="1"/>
  <c r="AH273" i="1"/>
  <c r="AP273" i="1"/>
  <c r="AY222" i="1"/>
  <c r="AZ222" i="1"/>
  <c r="BA222" i="1"/>
  <c r="BB222" i="1"/>
  <c r="BC222" i="1"/>
  <c r="BD222" i="1"/>
  <c r="BE222" i="1"/>
  <c r="AY223" i="1"/>
  <c r="AZ223" i="1"/>
  <c r="BA223" i="1"/>
  <c r="BB223" i="1"/>
  <c r="BC223" i="1"/>
  <c r="BD223" i="1"/>
  <c r="BE223" i="1"/>
  <c r="AX222" i="1"/>
  <c r="AX223" i="1"/>
  <c r="AP222" i="1"/>
  <c r="AP223" i="1"/>
  <c r="AH222" i="1"/>
  <c r="AH223" i="1"/>
  <c r="F221" i="1"/>
  <c r="V309" i="1"/>
  <c r="AZ307" i="1"/>
  <c r="BA307" i="1"/>
  <c r="BB307" i="1"/>
  <c r="BC307" i="1"/>
  <c r="BD307" i="1"/>
  <c r="BE307" i="1"/>
  <c r="AZ308" i="1"/>
  <c r="BA308" i="1"/>
  <c r="BB308" i="1"/>
  <c r="BC308" i="1"/>
  <c r="BD308" i="1"/>
  <c r="BE308" i="1"/>
  <c r="AZ309" i="1"/>
  <c r="BA309" i="1"/>
  <c r="BC309" i="1"/>
  <c r="BD309" i="1"/>
  <c r="BE309" i="1"/>
  <c r="AZ310" i="1"/>
  <c r="BA310" i="1"/>
  <c r="BB310" i="1"/>
  <c r="BC310" i="1"/>
  <c r="BD310" i="1"/>
  <c r="BE310" i="1"/>
  <c r="AY307" i="1"/>
  <c r="AY308" i="1"/>
  <c r="AY309" i="1"/>
  <c r="AY310" i="1"/>
  <c r="AP307" i="1"/>
  <c r="AP308" i="1"/>
  <c r="AP309" i="1"/>
  <c r="AP310" i="1"/>
  <c r="AH307" i="1"/>
  <c r="AH308" i="1"/>
  <c r="AH309" i="1"/>
  <c r="AH310" i="1"/>
  <c r="M307" i="1"/>
  <c r="O307" i="1" s="1"/>
  <c r="P307" i="1" s="1"/>
  <c r="Q307" i="1" s="1"/>
  <c r="BF82" i="5" l="1"/>
  <c r="BF77" i="5"/>
  <c r="BF71" i="5"/>
  <c r="BF62" i="5"/>
  <c r="BF74" i="5"/>
  <c r="BF65" i="5"/>
  <c r="AI89" i="5"/>
  <c r="AI83" i="5"/>
  <c r="AD93" i="5"/>
  <c r="O32" i="6"/>
  <c r="AS93" i="5"/>
  <c r="Q31" i="6"/>
  <c r="AW93" i="5"/>
  <c r="Q35" i="6"/>
  <c r="AG93" i="5"/>
  <c r="O35" i="6"/>
  <c r="U93" i="5"/>
  <c r="N31" i="6"/>
  <c r="AL93" i="5"/>
  <c r="P32" i="6"/>
  <c r="V93" i="5"/>
  <c r="N32" i="6"/>
  <c r="AC93" i="5"/>
  <c r="O31" i="6"/>
  <c r="AO93" i="5"/>
  <c r="P35" i="6"/>
  <c r="AJ93" i="5"/>
  <c r="P30" i="6"/>
  <c r="AB93" i="5"/>
  <c r="O30" i="6"/>
  <c r="BE91" i="5"/>
  <c r="BC91" i="5"/>
  <c r="BA91" i="5"/>
  <c r="AZ91" i="5"/>
  <c r="AI92" i="5"/>
  <c r="P29" i="6"/>
  <c r="AP28" i="5"/>
  <c r="AY28" i="5"/>
  <c r="Z91" i="5"/>
  <c r="AH91" i="5"/>
  <c r="AX91" i="5"/>
  <c r="BD91" i="5"/>
  <c r="BB91" i="5"/>
  <c r="BB309" i="1"/>
  <c r="BB331" i="1" s="1"/>
  <c r="V318" i="1"/>
  <c r="V331" i="1"/>
  <c r="Z331" i="1" s="1"/>
  <c r="Z309" i="1"/>
  <c r="AY293" i="1"/>
  <c r="BF293" i="1" s="1"/>
  <c r="AA318" i="1"/>
  <c r="C29" i="6" s="1"/>
  <c r="AG318" i="1"/>
  <c r="AG323" i="1"/>
  <c r="AW323" i="1"/>
  <c r="AY331" i="1"/>
  <c r="BE331" i="1"/>
  <c r="BC331" i="1"/>
  <c r="BA331" i="1"/>
  <c r="BD331" i="1"/>
  <c r="AZ331" i="1"/>
  <c r="Y323" i="1"/>
  <c r="AO318" i="1"/>
  <c r="AO323" i="1"/>
  <c r="Z6" i="1"/>
  <c r="BF222" i="1"/>
  <c r="AA92" i="5"/>
  <c r="AA93" i="5" s="1"/>
  <c r="BF64" i="5"/>
  <c r="BF78" i="5"/>
  <c r="BF56" i="5"/>
  <c r="BF81" i="5"/>
  <c r="BF79" i="5"/>
  <c r="BF72" i="5"/>
  <c r="BF21" i="5"/>
  <c r="BF19" i="5"/>
  <c r="BF22" i="5"/>
  <c r="BF20" i="5"/>
  <c r="BF276" i="1"/>
  <c r="BF290" i="1"/>
  <c r="BF291" i="1"/>
  <c r="BF292" i="1"/>
  <c r="BF223" i="1"/>
  <c r="BF273" i="1"/>
  <c r="BF289" i="1"/>
  <c r="AH293" i="1"/>
  <c r="BF308" i="1"/>
  <c r="BF307" i="1"/>
  <c r="BF310" i="1"/>
  <c r="BF309" i="1"/>
  <c r="AY268" i="1"/>
  <c r="AZ268" i="1"/>
  <c r="BA268" i="1"/>
  <c r="BB268" i="1"/>
  <c r="BC268" i="1"/>
  <c r="BD268" i="1"/>
  <c r="BE268" i="1"/>
  <c r="AX268" i="1"/>
  <c r="AP268" i="1"/>
  <c r="AH268" i="1"/>
  <c r="AY258" i="1"/>
  <c r="AZ258" i="1"/>
  <c r="BA258" i="1"/>
  <c r="BB258" i="1"/>
  <c r="BC258" i="1"/>
  <c r="BD258" i="1"/>
  <c r="BE258" i="1"/>
  <c r="AX258" i="1"/>
  <c r="AH258" i="1"/>
  <c r="AY178" i="1"/>
  <c r="AZ178" i="1"/>
  <c r="BA178" i="1"/>
  <c r="BB178" i="1"/>
  <c r="BC178" i="1"/>
  <c r="BD178" i="1"/>
  <c r="BE178" i="1"/>
  <c r="AY179" i="1"/>
  <c r="AZ179" i="1"/>
  <c r="BA179" i="1"/>
  <c r="BB179" i="1"/>
  <c r="BC179" i="1"/>
  <c r="BD179" i="1"/>
  <c r="BE179" i="1"/>
  <c r="AX178" i="1"/>
  <c r="AX179" i="1"/>
  <c r="AP178" i="1"/>
  <c r="AP179" i="1"/>
  <c r="AH178" i="1"/>
  <c r="AH179" i="1"/>
  <c r="Z178" i="1"/>
  <c r="Z179" i="1"/>
  <c r="AY175" i="1"/>
  <c r="AZ175" i="1"/>
  <c r="BA175" i="1"/>
  <c r="BB175" i="1"/>
  <c r="BC175" i="1"/>
  <c r="BD175" i="1"/>
  <c r="BE175" i="1"/>
  <c r="AY176" i="1"/>
  <c r="AZ176" i="1"/>
  <c r="BA176" i="1"/>
  <c r="BB176" i="1"/>
  <c r="BC176" i="1"/>
  <c r="BD176" i="1"/>
  <c r="BE176" i="1"/>
  <c r="AY177" i="1"/>
  <c r="AZ177" i="1"/>
  <c r="BA177" i="1"/>
  <c r="BB177" i="1"/>
  <c r="BC177" i="1"/>
  <c r="BD177" i="1"/>
  <c r="BE177" i="1"/>
  <c r="AX175" i="1"/>
  <c r="AX176" i="1"/>
  <c r="AX177" i="1"/>
  <c r="AP175" i="1"/>
  <c r="AP176" i="1"/>
  <c r="AP177" i="1"/>
  <c r="AH175" i="1"/>
  <c r="AH176" i="1"/>
  <c r="AH177" i="1"/>
  <c r="Z175" i="1"/>
  <c r="Z176" i="1"/>
  <c r="Z177" i="1"/>
  <c r="BE269" i="1"/>
  <c r="BD269" i="1"/>
  <c r="BC269" i="1"/>
  <c r="BB269" i="1"/>
  <c r="BA269" i="1"/>
  <c r="AZ269" i="1"/>
  <c r="AY269" i="1"/>
  <c r="AX269" i="1"/>
  <c r="AP269" i="1"/>
  <c r="AH269" i="1"/>
  <c r="BE267" i="1"/>
  <c r="BD267" i="1"/>
  <c r="BC267" i="1"/>
  <c r="BB267" i="1"/>
  <c r="BA267" i="1"/>
  <c r="AZ267" i="1"/>
  <c r="AY267" i="1"/>
  <c r="AX267" i="1"/>
  <c r="AP267" i="1"/>
  <c r="AH267" i="1"/>
  <c r="BE266" i="1"/>
  <c r="BD266" i="1"/>
  <c r="BC266" i="1"/>
  <c r="BB266" i="1"/>
  <c r="BA266" i="1"/>
  <c r="AZ266" i="1"/>
  <c r="AY266" i="1"/>
  <c r="AX266" i="1"/>
  <c r="AP266" i="1"/>
  <c r="AH266" i="1"/>
  <c r="BE265" i="1"/>
  <c r="BD265" i="1"/>
  <c r="BC265" i="1"/>
  <c r="BB265" i="1"/>
  <c r="BA265" i="1"/>
  <c r="AZ265" i="1"/>
  <c r="AY265" i="1"/>
  <c r="AX265" i="1"/>
  <c r="AP265" i="1"/>
  <c r="AH265" i="1"/>
  <c r="BE264" i="1"/>
  <c r="BD264" i="1"/>
  <c r="BC264" i="1"/>
  <c r="BB264" i="1"/>
  <c r="BA264" i="1"/>
  <c r="AZ264" i="1"/>
  <c r="AY264" i="1"/>
  <c r="AX264" i="1"/>
  <c r="AP264" i="1"/>
  <c r="AH264" i="1"/>
  <c r="BE263" i="1"/>
  <c r="BD263" i="1"/>
  <c r="BC263" i="1"/>
  <c r="BB263" i="1"/>
  <c r="BA263" i="1"/>
  <c r="AZ263" i="1"/>
  <c r="AY263" i="1"/>
  <c r="AX263" i="1"/>
  <c r="AP263" i="1"/>
  <c r="AH263" i="1"/>
  <c r="BE262" i="1"/>
  <c r="BD262" i="1"/>
  <c r="BC262" i="1"/>
  <c r="BB262" i="1"/>
  <c r="BA262" i="1"/>
  <c r="AZ262" i="1"/>
  <c r="AY262" i="1"/>
  <c r="AX262" i="1"/>
  <c r="AP262" i="1"/>
  <c r="AH262" i="1"/>
  <c r="BE261" i="1"/>
  <c r="BD261" i="1"/>
  <c r="BC261" i="1"/>
  <c r="BB261" i="1"/>
  <c r="BA261" i="1"/>
  <c r="AZ261" i="1"/>
  <c r="AY261" i="1"/>
  <c r="AX261" i="1"/>
  <c r="AP261" i="1"/>
  <c r="AH261" i="1"/>
  <c r="BE260" i="1"/>
  <c r="BD260" i="1"/>
  <c r="BC260" i="1"/>
  <c r="BB260" i="1"/>
  <c r="BA260" i="1"/>
  <c r="AZ260" i="1"/>
  <c r="AY260" i="1"/>
  <c r="AX260" i="1"/>
  <c r="AP260" i="1"/>
  <c r="AH260" i="1"/>
  <c r="BE259" i="1"/>
  <c r="BD259" i="1"/>
  <c r="BC259" i="1"/>
  <c r="BB259" i="1"/>
  <c r="BA259" i="1"/>
  <c r="AZ259" i="1"/>
  <c r="AY259" i="1"/>
  <c r="AX259" i="1"/>
  <c r="AP259" i="1"/>
  <c r="AH259" i="1"/>
  <c r="BD257" i="1"/>
  <c r="BC257" i="1"/>
  <c r="BB257" i="1"/>
  <c r="BA257" i="1"/>
  <c r="AZ257" i="1"/>
  <c r="AY257" i="1"/>
  <c r="AP257" i="1"/>
  <c r="AW257" i="1" s="1"/>
  <c r="BE257" i="1" s="1"/>
  <c r="AH257" i="1"/>
  <c r="BE256" i="1"/>
  <c r="BD256" i="1"/>
  <c r="BC256" i="1"/>
  <c r="BB256" i="1"/>
  <c r="BA256" i="1"/>
  <c r="AZ256" i="1"/>
  <c r="AY256" i="1"/>
  <c r="AX256" i="1"/>
  <c r="AP256" i="1"/>
  <c r="AH256" i="1"/>
  <c r="BE255" i="1"/>
  <c r="BD255" i="1"/>
  <c r="BC255" i="1"/>
  <c r="BB255" i="1"/>
  <c r="BA255" i="1"/>
  <c r="AZ255" i="1"/>
  <c r="AY255" i="1"/>
  <c r="AX255" i="1"/>
  <c r="AP255" i="1"/>
  <c r="AH255" i="1"/>
  <c r="BE254" i="1"/>
  <c r="BD254" i="1"/>
  <c r="BC254" i="1"/>
  <c r="BB254" i="1"/>
  <c r="BA254" i="1"/>
  <c r="AZ254" i="1"/>
  <c r="AY254" i="1"/>
  <c r="AX254" i="1"/>
  <c r="AP254" i="1"/>
  <c r="AH254" i="1"/>
  <c r="BE253" i="1"/>
  <c r="BD253" i="1"/>
  <c r="BC253" i="1"/>
  <c r="BB253" i="1"/>
  <c r="BA253" i="1"/>
  <c r="AZ253" i="1"/>
  <c r="AY253" i="1"/>
  <c r="AX253" i="1"/>
  <c r="AP253" i="1"/>
  <c r="AH253" i="1"/>
  <c r="BE252" i="1"/>
  <c r="BD252" i="1"/>
  <c r="BC252" i="1"/>
  <c r="BB252" i="1"/>
  <c r="BA252" i="1"/>
  <c r="AZ252" i="1"/>
  <c r="AY252" i="1"/>
  <c r="AX252" i="1"/>
  <c r="AP252" i="1"/>
  <c r="AH252" i="1"/>
  <c r="BE251" i="1"/>
  <c r="BD251" i="1"/>
  <c r="BC251" i="1"/>
  <c r="BB251" i="1"/>
  <c r="BA251" i="1"/>
  <c r="AZ251" i="1"/>
  <c r="AY251" i="1"/>
  <c r="AX251" i="1"/>
  <c r="AP251" i="1"/>
  <c r="AH251" i="1"/>
  <c r="BE250" i="1"/>
  <c r="BD250" i="1"/>
  <c r="BC250" i="1"/>
  <c r="BB250" i="1"/>
  <c r="BA250" i="1"/>
  <c r="AZ250" i="1"/>
  <c r="AY250" i="1"/>
  <c r="AX250" i="1"/>
  <c r="AP250" i="1"/>
  <c r="AH250" i="1"/>
  <c r="BE249" i="1"/>
  <c r="BD249" i="1"/>
  <c r="BC249" i="1"/>
  <c r="BB249" i="1"/>
  <c r="BA249" i="1"/>
  <c r="AZ249" i="1"/>
  <c r="AY249" i="1"/>
  <c r="AX249" i="1"/>
  <c r="AP249" i="1"/>
  <c r="AH249" i="1"/>
  <c r="BE248" i="1"/>
  <c r="BD248" i="1"/>
  <c r="BC248" i="1"/>
  <c r="BB248" i="1"/>
  <c r="BA248" i="1"/>
  <c r="AZ248" i="1"/>
  <c r="AY248" i="1"/>
  <c r="AX248" i="1"/>
  <c r="AP248" i="1"/>
  <c r="AH248" i="1"/>
  <c r="BE247" i="1"/>
  <c r="BD247" i="1"/>
  <c r="BC247" i="1"/>
  <c r="BB247" i="1"/>
  <c r="BA247" i="1"/>
  <c r="AZ247" i="1"/>
  <c r="AY247" i="1"/>
  <c r="AX247" i="1"/>
  <c r="AP247" i="1"/>
  <c r="AH247" i="1"/>
  <c r="BD246" i="1"/>
  <c r="BC246" i="1"/>
  <c r="BB246" i="1"/>
  <c r="BA246" i="1"/>
  <c r="AZ246" i="1"/>
  <c r="AY246" i="1"/>
  <c r="AP246" i="1"/>
  <c r="AW246" i="1" s="1"/>
  <c r="AH246" i="1"/>
  <c r="BE245" i="1"/>
  <c r="BD245" i="1"/>
  <c r="BC245" i="1"/>
  <c r="BB245" i="1"/>
  <c r="BA245" i="1"/>
  <c r="AZ245" i="1"/>
  <c r="AY245" i="1"/>
  <c r="AX245" i="1"/>
  <c r="AP245" i="1"/>
  <c r="AH245" i="1"/>
  <c r="BE244" i="1"/>
  <c r="BD244" i="1"/>
  <c r="BC244" i="1"/>
  <c r="BB244" i="1"/>
  <c r="BA244" i="1"/>
  <c r="AZ244" i="1"/>
  <c r="AY244" i="1"/>
  <c r="AX244" i="1"/>
  <c r="AP244" i="1"/>
  <c r="AH244" i="1"/>
  <c r="BE243" i="1"/>
  <c r="BD243" i="1"/>
  <c r="BC243" i="1"/>
  <c r="BB243" i="1"/>
  <c r="BA243" i="1"/>
  <c r="AZ243" i="1"/>
  <c r="AY243" i="1"/>
  <c r="AX243" i="1"/>
  <c r="AP243" i="1"/>
  <c r="AH243" i="1"/>
  <c r="BE242" i="1"/>
  <c r="BD242" i="1"/>
  <c r="BC242" i="1"/>
  <c r="BA242" i="1"/>
  <c r="AZ242" i="1"/>
  <c r="AY242" i="1"/>
  <c r="AP242" i="1"/>
  <c r="AT242" i="1" s="1"/>
  <c r="AH242" i="1"/>
  <c r="BE241" i="1"/>
  <c r="BD241" i="1"/>
  <c r="BC241" i="1"/>
  <c r="BB241" i="1"/>
  <c r="BA241" i="1"/>
  <c r="AZ241" i="1"/>
  <c r="AY241" i="1"/>
  <c r="AX241" i="1"/>
  <c r="AP241" i="1"/>
  <c r="AH241" i="1"/>
  <c r="BE240" i="1"/>
  <c r="BD240" i="1"/>
  <c r="BC240" i="1"/>
  <c r="BB240" i="1"/>
  <c r="BA240" i="1"/>
  <c r="AZ240" i="1"/>
  <c r="AY240" i="1"/>
  <c r="AX240" i="1"/>
  <c r="AP240" i="1"/>
  <c r="AH240" i="1"/>
  <c r="O240" i="1"/>
  <c r="P240" i="1" s="1"/>
  <c r="Q240" i="1" s="1"/>
  <c r="BD239" i="1"/>
  <c r="BC239" i="1"/>
  <c r="BB239" i="1"/>
  <c r="BA239" i="1"/>
  <c r="AZ239" i="1"/>
  <c r="AY239" i="1"/>
  <c r="AP239" i="1"/>
  <c r="AW239" i="1" s="1"/>
  <c r="AX239" i="1" s="1"/>
  <c r="AH239" i="1"/>
  <c r="BD238" i="1"/>
  <c r="BC238" i="1"/>
  <c r="BB238" i="1"/>
  <c r="BA238" i="1"/>
  <c r="AZ238" i="1"/>
  <c r="AY238" i="1"/>
  <c r="AP238" i="1"/>
  <c r="AW238" i="1" s="1"/>
  <c r="AH238" i="1"/>
  <c r="BE237" i="1"/>
  <c r="BD237" i="1"/>
  <c r="BC237" i="1"/>
  <c r="BB237" i="1"/>
  <c r="BA237" i="1"/>
  <c r="AZ237" i="1"/>
  <c r="AY237" i="1"/>
  <c r="AX237" i="1"/>
  <c r="AP237" i="1"/>
  <c r="AH237" i="1"/>
  <c r="BB236" i="1"/>
  <c r="BA236" i="1"/>
  <c r="AZ236" i="1"/>
  <c r="AY236" i="1"/>
  <c r="AP236" i="1"/>
  <c r="AW236" i="1" s="1"/>
  <c r="AH236" i="1"/>
  <c r="AV236" i="1" s="1"/>
  <c r="BD236" i="1" s="1"/>
  <c r="Y236" i="1"/>
  <c r="BB235" i="1"/>
  <c r="BA235" i="1"/>
  <c r="AZ235" i="1"/>
  <c r="AY235" i="1"/>
  <c r="AP235" i="1"/>
  <c r="AW235" i="1" s="1"/>
  <c r="AH235" i="1"/>
  <c r="AV235" i="1" s="1"/>
  <c r="Y235" i="1"/>
  <c r="BE55" i="5"/>
  <c r="BD55" i="5"/>
  <c r="BC55" i="5"/>
  <c r="BB55" i="5"/>
  <c r="BA55" i="5"/>
  <c r="AZ55" i="5"/>
  <c r="AX55" i="5"/>
  <c r="AH55" i="5"/>
  <c r="Z55" i="5"/>
  <c r="BE54" i="5"/>
  <c r="BD54" i="5"/>
  <c r="BC54" i="5"/>
  <c r="BB54" i="5"/>
  <c r="BA54" i="5"/>
  <c r="AZ54" i="5"/>
  <c r="AX54" i="5"/>
  <c r="AH54" i="5"/>
  <c r="Z54" i="5"/>
  <c r="BE53" i="5"/>
  <c r="BD53" i="5"/>
  <c r="BC53" i="5"/>
  <c r="BB53" i="5"/>
  <c r="BA53" i="5"/>
  <c r="AZ53" i="5"/>
  <c r="AX53" i="5"/>
  <c r="AH53" i="5"/>
  <c r="Z53" i="5"/>
  <c r="BE52" i="5"/>
  <c r="BD52" i="5"/>
  <c r="BC52" i="5"/>
  <c r="BB52" i="5"/>
  <c r="BA52" i="5"/>
  <c r="AZ52" i="5"/>
  <c r="AX52" i="5"/>
  <c r="AH52" i="5"/>
  <c r="Z52" i="5"/>
  <c r="BE51" i="5"/>
  <c r="BD51" i="5"/>
  <c r="BC51" i="5"/>
  <c r="BB51" i="5"/>
  <c r="BA51" i="5"/>
  <c r="AZ51" i="5"/>
  <c r="AX51" i="5"/>
  <c r="AH51" i="5"/>
  <c r="Z51" i="5"/>
  <c r="F51" i="5"/>
  <c r="BE50" i="5"/>
  <c r="BD50" i="5"/>
  <c r="BC50" i="5"/>
  <c r="BB50" i="5"/>
  <c r="BA50" i="5"/>
  <c r="AZ50" i="5"/>
  <c r="AX50" i="5"/>
  <c r="AH50" i="5"/>
  <c r="Z50" i="5"/>
  <c r="P50" i="5"/>
  <c r="Q50" i="5" s="1"/>
  <c r="F50" i="5"/>
  <c r="BE49" i="5"/>
  <c r="BD49" i="5"/>
  <c r="BC49" i="5"/>
  <c r="BB49" i="5"/>
  <c r="BA49" i="5"/>
  <c r="AZ49" i="5"/>
  <c r="AX49" i="5"/>
  <c r="AH49" i="5"/>
  <c r="Z49" i="5"/>
  <c r="O49" i="5"/>
  <c r="P49" i="5" s="1"/>
  <c r="Q49" i="5" s="1"/>
  <c r="R49" i="5" s="1"/>
  <c r="F49" i="5"/>
  <c r="BE48" i="5"/>
  <c r="BD48" i="5"/>
  <c r="BC48" i="5"/>
  <c r="BB48" i="5"/>
  <c r="BA48" i="5"/>
  <c r="AZ48" i="5"/>
  <c r="AX48" i="5"/>
  <c r="AH48" i="5"/>
  <c r="Z48" i="5"/>
  <c r="BE47" i="5"/>
  <c r="BD47" i="5"/>
  <c r="BC47" i="5"/>
  <c r="BB47" i="5"/>
  <c r="BA47" i="5"/>
  <c r="AZ47" i="5"/>
  <c r="AX47" i="5"/>
  <c r="AH47" i="5"/>
  <c r="Z47" i="5"/>
  <c r="BE46" i="5"/>
  <c r="BD46" i="5"/>
  <c r="BC46" i="5"/>
  <c r="BB46" i="5"/>
  <c r="BA46" i="5"/>
  <c r="AZ46" i="5"/>
  <c r="AX46" i="5"/>
  <c r="AH46" i="5"/>
  <c r="Z46" i="5"/>
  <c r="BE45" i="5"/>
  <c r="BD45" i="5"/>
  <c r="BC45" i="5"/>
  <c r="BB45" i="5"/>
  <c r="BA45" i="5"/>
  <c r="AZ45" i="5"/>
  <c r="AX45" i="5"/>
  <c r="AH45" i="5"/>
  <c r="Z45" i="5"/>
  <c r="BE44" i="5"/>
  <c r="BD44" i="5"/>
  <c r="BC44" i="5"/>
  <c r="BB44" i="5"/>
  <c r="BA44" i="5"/>
  <c r="AZ44" i="5"/>
  <c r="AX44" i="5"/>
  <c r="AH44" i="5"/>
  <c r="Z44" i="5"/>
  <c r="BE43" i="5"/>
  <c r="BD43" i="5"/>
  <c r="BC43" i="5"/>
  <c r="BB43" i="5"/>
  <c r="BA43" i="5"/>
  <c r="AZ43" i="5"/>
  <c r="AX43" i="5"/>
  <c r="AH43" i="5"/>
  <c r="Z43" i="5"/>
  <c r="BE42" i="5"/>
  <c r="BD42" i="5"/>
  <c r="BC42" i="5"/>
  <c r="BB42" i="5"/>
  <c r="BA42" i="5"/>
  <c r="AZ42" i="5"/>
  <c r="AX42" i="5"/>
  <c r="AH42" i="5"/>
  <c r="Z42" i="5"/>
  <c r="BE41" i="5"/>
  <c r="BD41" i="5"/>
  <c r="BC41" i="5"/>
  <c r="BB41" i="5"/>
  <c r="BA41" i="5"/>
  <c r="AZ41" i="5"/>
  <c r="AX41" i="5"/>
  <c r="AH41" i="5"/>
  <c r="Z41" i="5"/>
  <c r="BE40" i="5"/>
  <c r="BD40" i="5"/>
  <c r="BC40" i="5"/>
  <c r="BB40" i="5"/>
  <c r="BA40" i="5"/>
  <c r="AZ40" i="5"/>
  <c r="AX40" i="5"/>
  <c r="AH40" i="5"/>
  <c r="Z40" i="5"/>
  <c r="BE39" i="5"/>
  <c r="BD39" i="5"/>
  <c r="BC39" i="5"/>
  <c r="BB39" i="5"/>
  <c r="BA39" i="5"/>
  <c r="AZ39" i="5"/>
  <c r="AX39" i="5"/>
  <c r="AH39" i="5"/>
  <c r="Z39" i="5"/>
  <c r="BE38" i="5"/>
  <c r="BD38" i="5"/>
  <c r="BC38" i="5"/>
  <c r="BB38" i="5"/>
  <c r="BA38" i="5"/>
  <c r="AZ38" i="5"/>
  <c r="AX38" i="5"/>
  <c r="AH38" i="5"/>
  <c r="Z38" i="5"/>
  <c r="BE37" i="5"/>
  <c r="BD37" i="5"/>
  <c r="BC37" i="5"/>
  <c r="BB37" i="5"/>
  <c r="BA37" i="5"/>
  <c r="AZ37" i="5"/>
  <c r="AX37" i="5"/>
  <c r="AH37" i="5"/>
  <c r="Z37" i="5"/>
  <c r="BE36" i="5"/>
  <c r="BD36" i="5"/>
  <c r="BC36" i="5"/>
  <c r="BB36" i="5"/>
  <c r="BA36" i="5"/>
  <c r="AZ36" i="5"/>
  <c r="AX36" i="5"/>
  <c r="AH36" i="5"/>
  <c r="Z36" i="5"/>
  <c r="BE35" i="5"/>
  <c r="BD35" i="5"/>
  <c r="BC35" i="5"/>
  <c r="BB35" i="5"/>
  <c r="BA35" i="5"/>
  <c r="AZ35" i="5"/>
  <c r="AX35" i="5"/>
  <c r="AH35" i="5"/>
  <c r="Z35" i="5"/>
  <c r="BE34" i="5"/>
  <c r="BD34" i="5"/>
  <c r="BC34" i="5"/>
  <c r="BB34" i="5"/>
  <c r="BA34" i="5"/>
  <c r="AZ34" i="5"/>
  <c r="AX34" i="5"/>
  <c r="AH34" i="5"/>
  <c r="Z34" i="5"/>
  <c r="BE33" i="5"/>
  <c r="BD33" i="5"/>
  <c r="BC33" i="5"/>
  <c r="BB33" i="5"/>
  <c r="BA33" i="5"/>
  <c r="AZ33" i="5"/>
  <c r="AX33" i="5"/>
  <c r="AH33" i="5"/>
  <c r="Z33" i="5"/>
  <c r="BE32" i="5"/>
  <c r="BD32" i="5"/>
  <c r="BC32" i="5"/>
  <c r="BB32" i="5"/>
  <c r="BA32" i="5"/>
  <c r="AZ32" i="5"/>
  <c r="AX32" i="5"/>
  <c r="AH32" i="5"/>
  <c r="Z32" i="5"/>
  <c r="BE31" i="5"/>
  <c r="BD31" i="5"/>
  <c r="BC31" i="5"/>
  <c r="BB31" i="5"/>
  <c r="BA31" i="5"/>
  <c r="AZ31" i="5"/>
  <c r="AX31" i="5"/>
  <c r="AH31" i="5"/>
  <c r="Z31" i="5"/>
  <c r="BE30" i="5"/>
  <c r="BD30" i="5"/>
  <c r="BC30" i="5"/>
  <c r="BB30" i="5"/>
  <c r="BA30" i="5"/>
  <c r="AZ30" i="5"/>
  <c r="AX30" i="5"/>
  <c r="AH30" i="5"/>
  <c r="Z30" i="5"/>
  <c r="BE29" i="5"/>
  <c r="BD29" i="5"/>
  <c r="BC29" i="5"/>
  <c r="BB29" i="5"/>
  <c r="BA29" i="5"/>
  <c r="AZ29" i="5"/>
  <c r="AX29" i="5"/>
  <c r="AH29" i="5"/>
  <c r="Z29" i="5"/>
  <c r="BE28" i="5"/>
  <c r="BD28" i="5"/>
  <c r="BC28" i="5"/>
  <c r="BB28" i="5"/>
  <c r="BA28" i="5"/>
  <c r="AZ28" i="5"/>
  <c r="AX28" i="5"/>
  <c r="AH28" i="5"/>
  <c r="Z28" i="5"/>
  <c r="BE27" i="5"/>
  <c r="BD27" i="5"/>
  <c r="BC27" i="5"/>
  <c r="BB27" i="5"/>
  <c r="BA27" i="5"/>
  <c r="AZ27" i="5"/>
  <c r="AX27" i="5"/>
  <c r="AH27" i="5"/>
  <c r="Z27" i="5"/>
  <c r="BE26" i="5"/>
  <c r="BD26" i="5"/>
  <c r="BC26" i="5"/>
  <c r="BB26" i="5"/>
  <c r="BA26" i="5"/>
  <c r="AZ26" i="5"/>
  <c r="AX26" i="5"/>
  <c r="AH26" i="5"/>
  <c r="Z26" i="5"/>
  <c r="BE25" i="5"/>
  <c r="BD25" i="5"/>
  <c r="BC25" i="5"/>
  <c r="BB25" i="5"/>
  <c r="BA25" i="5"/>
  <c r="AZ25" i="5"/>
  <c r="AX25" i="5"/>
  <c r="AH25" i="5"/>
  <c r="Z25" i="5"/>
  <c r="BE24" i="5"/>
  <c r="BD24" i="5"/>
  <c r="BC24" i="5"/>
  <c r="BB24" i="5"/>
  <c r="BA24" i="5"/>
  <c r="AZ24" i="5"/>
  <c r="AX24" i="5"/>
  <c r="AH24" i="5"/>
  <c r="Z24" i="5"/>
  <c r="BE23" i="5"/>
  <c r="BD23" i="5"/>
  <c r="BC23" i="5"/>
  <c r="BB23" i="5"/>
  <c r="BA23" i="5"/>
  <c r="AZ23" i="5"/>
  <c r="AX23" i="5"/>
  <c r="AH23" i="5"/>
  <c r="BE18" i="5"/>
  <c r="BD18" i="5"/>
  <c r="BC18" i="5"/>
  <c r="BB18" i="5"/>
  <c r="BA18" i="5"/>
  <c r="AZ18" i="5"/>
  <c r="AX18" i="5"/>
  <c r="AH18" i="5"/>
  <c r="Z18" i="5"/>
  <c r="BE17" i="5"/>
  <c r="BD17" i="5"/>
  <c r="BC17" i="5"/>
  <c r="BB17" i="5"/>
  <c r="BA17" i="5"/>
  <c r="AZ17" i="5"/>
  <c r="AX17" i="5"/>
  <c r="AH17" i="5"/>
  <c r="Z17" i="5"/>
  <c r="BD16" i="5"/>
  <c r="BC16" i="5"/>
  <c r="BB16" i="5"/>
  <c r="BA16" i="5"/>
  <c r="AZ16" i="5"/>
  <c r="BE16" i="5"/>
  <c r="BD15" i="5"/>
  <c r="BC15" i="5"/>
  <c r="BB15" i="5"/>
  <c r="BA15" i="5"/>
  <c r="AZ15" i="5"/>
  <c r="AX15" i="5"/>
  <c r="AH15" i="5"/>
  <c r="BE14" i="5"/>
  <c r="BD14" i="5"/>
  <c r="BC14" i="5"/>
  <c r="BB14" i="5"/>
  <c r="BA14" i="5"/>
  <c r="AZ14" i="5"/>
  <c r="AH14" i="5"/>
  <c r="Z14" i="5"/>
  <c r="N14" i="5"/>
  <c r="BE12" i="5"/>
  <c r="BD12" i="5"/>
  <c r="BC12" i="5"/>
  <c r="BB12" i="5"/>
  <c r="BA12" i="5"/>
  <c r="AZ12" i="5"/>
  <c r="AX12" i="5"/>
  <c r="AH12" i="5"/>
  <c r="Z12" i="5"/>
  <c r="BE10" i="5"/>
  <c r="BD10" i="5"/>
  <c r="BC10" i="5"/>
  <c r="BB10" i="5"/>
  <c r="BA10" i="5"/>
  <c r="AZ10" i="5"/>
  <c r="AX10" i="5"/>
  <c r="AH10" i="5"/>
  <c r="Z10" i="5"/>
  <c r="BE9" i="5"/>
  <c r="BD9" i="5"/>
  <c r="BC9" i="5"/>
  <c r="BB9" i="5"/>
  <c r="BA9" i="5"/>
  <c r="AZ9" i="5"/>
  <c r="AX9" i="5"/>
  <c r="AH9" i="5"/>
  <c r="Z9" i="5"/>
  <c r="BE8" i="5"/>
  <c r="BD8" i="5"/>
  <c r="BC8" i="5"/>
  <c r="BB8" i="5"/>
  <c r="BA8" i="5"/>
  <c r="AZ8" i="5"/>
  <c r="AX8" i="5"/>
  <c r="AH8" i="5"/>
  <c r="Z8" i="5"/>
  <c r="O8" i="5"/>
  <c r="BE7" i="5"/>
  <c r="BD7" i="5"/>
  <c r="BC7" i="5"/>
  <c r="BB7" i="5"/>
  <c r="BA7" i="5"/>
  <c r="AZ7" i="5"/>
  <c r="AX7" i="5"/>
  <c r="AH7" i="5"/>
  <c r="Z7" i="5"/>
  <c r="BE6" i="5"/>
  <c r="BD6" i="5"/>
  <c r="BC6" i="5"/>
  <c r="BB6" i="5"/>
  <c r="BA6" i="5"/>
  <c r="AZ6" i="5"/>
  <c r="AX6" i="5"/>
  <c r="AH6" i="5"/>
  <c r="Z6" i="5"/>
  <c r="BE5" i="5"/>
  <c r="BD5" i="5"/>
  <c r="BC5" i="5"/>
  <c r="BB5" i="5"/>
  <c r="BB83" i="5" s="1"/>
  <c r="BA5" i="5"/>
  <c r="AZ5" i="5"/>
  <c r="AX5" i="5"/>
  <c r="AH5" i="5"/>
  <c r="Z5" i="5"/>
  <c r="BE4" i="5"/>
  <c r="BD4" i="5"/>
  <c r="BC4" i="5"/>
  <c r="AX4" i="5"/>
  <c r="AP4" i="5"/>
  <c r="AP83" i="5" s="1"/>
  <c r="AH4" i="5"/>
  <c r="Z4" i="5"/>
  <c r="AA325" i="1"/>
  <c r="AH325" i="1" s="1"/>
  <c r="AI325" i="1"/>
  <c r="AP325" i="1" s="1"/>
  <c r="AQ325" i="1"/>
  <c r="AX325" i="1" s="1"/>
  <c r="S325" i="1"/>
  <c r="Z325" i="1" s="1"/>
  <c r="AY5" i="1"/>
  <c r="AZ5" i="1"/>
  <c r="BA5" i="1"/>
  <c r="BB5" i="1"/>
  <c r="BC5" i="1"/>
  <c r="BD5" i="1"/>
  <c r="BE5" i="1"/>
  <c r="AY6" i="1"/>
  <c r="AZ6" i="1"/>
  <c r="BA6" i="1"/>
  <c r="BB6" i="1"/>
  <c r="BC6" i="1"/>
  <c r="BD6" i="1"/>
  <c r="BE6" i="1"/>
  <c r="AY8" i="1"/>
  <c r="AZ8" i="1"/>
  <c r="BA8" i="1"/>
  <c r="BB8" i="1"/>
  <c r="BC8" i="1"/>
  <c r="BD8" i="1"/>
  <c r="BE8" i="1"/>
  <c r="AY9" i="1"/>
  <c r="AZ9" i="1"/>
  <c r="BA9" i="1"/>
  <c r="BB9" i="1"/>
  <c r="BC9" i="1"/>
  <c r="BD9" i="1"/>
  <c r="BE9" i="1"/>
  <c r="AY10" i="1"/>
  <c r="AZ10" i="1"/>
  <c r="BA10" i="1"/>
  <c r="BB10" i="1"/>
  <c r="BC10" i="1"/>
  <c r="BD10" i="1"/>
  <c r="BE10" i="1"/>
  <c r="AY11" i="1"/>
  <c r="AZ11" i="1"/>
  <c r="BA11" i="1"/>
  <c r="BB11" i="1"/>
  <c r="BC11" i="1"/>
  <c r="BD11" i="1"/>
  <c r="BE11" i="1"/>
  <c r="AY12" i="1"/>
  <c r="AZ12" i="1"/>
  <c r="BA12" i="1"/>
  <c r="BB12" i="1"/>
  <c r="BC12" i="1"/>
  <c r="BD12" i="1"/>
  <c r="BE12" i="1"/>
  <c r="AY13" i="1"/>
  <c r="AZ13" i="1"/>
  <c r="BA13" i="1"/>
  <c r="BB13" i="1"/>
  <c r="BC13" i="1"/>
  <c r="BD13" i="1"/>
  <c r="BE13" i="1"/>
  <c r="AY14" i="1"/>
  <c r="AZ14" i="1"/>
  <c r="BA14" i="1"/>
  <c r="BB14" i="1"/>
  <c r="BC14" i="1"/>
  <c r="BD14" i="1"/>
  <c r="BE14" i="1"/>
  <c r="AY15" i="1"/>
  <c r="AZ15" i="1"/>
  <c r="BA15" i="1"/>
  <c r="BB15" i="1"/>
  <c r="BC15" i="1"/>
  <c r="BD15" i="1"/>
  <c r="BE15" i="1"/>
  <c r="AY16" i="1"/>
  <c r="AZ16" i="1"/>
  <c r="BA16" i="1"/>
  <c r="BB16" i="1"/>
  <c r="BC16" i="1"/>
  <c r="BD16" i="1"/>
  <c r="BE16" i="1"/>
  <c r="AY17" i="1"/>
  <c r="AZ17" i="1"/>
  <c r="BA17" i="1"/>
  <c r="BB17" i="1"/>
  <c r="BC17" i="1"/>
  <c r="BD17" i="1"/>
  <c r="BE17" i="1"/>
  <c r="AY18" i="1"/>
  <c r="AZ18" i="1"/>
  <c r="BA18" i="1"/>
  <c r="BB18" i="1"/>
  <c r="BC18" i="1"/>
  <c r="BD18" i="1"/>
  <c r="BE18" i="1"/>
  <c r="AY19" i="1"/>
  <c r="AZ19" i="1"/>
  <c r="BA19" i="1"/>
  <c r="BB19" i="1"/>
  <c r="BC19" i="1"/>
  <c r="BD19" i="1"/>
  <c r="BE19" i="1"/>
  <c r="AY20" i="1"/>
  <c r="AZ20" i="1"/>
  <c r="BA20" i="1"/>
  <c r="BB20" i="1"/>
  <c r="BC20" i="1"/>
  <c r="BD20" i="1"/>
  <c r="BE20" i="1"/>
  <c r="AY21" i="1"/>
  <c r="AZ21" i="1"/>
  <c r="BA21" i="1"/>
  <c r="BB21" i="1"/>
  <c r="BC21" i="1"/>
  <c r="BD21" i="1"/>
  <c r="BE21" i="1"/>
  <c r="AY22" i="1"/>
  <c r="AZ22" i="1"/>
  <c r="BA22" i="1"/>
  <c r="BB22" i="1"/>
  <c r="BC22" i="1"/>
  <c r="BD22" i="1"/>
  <c r="BE22" i="1"/>
  <c r="AY23" i="1"/>
  <c r="AZ23" i="1"/>
  <c r="BA23" i="1"/>
  <c r="BB23" i="1"/>
  <c r="BC23" i="1"/>
  <c r="BD23" i="1"/>
  <c r="BE23" i="1"/>
  <c r="AY24" i="1"/>
  <c r="AZ24" i="1"/>
  <c r="BA24" i="1"/>
  <c r="BB24" i="1"/>
  <c r="BC24" i="1"/>
  <c r="BD24" i="1"/>
  <c r="BE24" i="1"/>
  <c r="AY25" i="1"/>
  <c r="AZ25" i="1"/>
  <c r="BA25" i="1"/>
  <c r="BB25" i="1"/>
  <c r="BC25" i="1"/>
  <c r="BD25" i="1"/>
  <c r="BE25" i="1"/>
  <c r="AY26" i="1"/>
  <c r="AZ26" i="1"/>
  <c r="BA26" i="1"/>
  <c r="BB26" i="1"/>
  <c r="BC26" i="1"/>
  <c r="BD26" i="1"/>
  <c r="BE26" i="1"/>
  <c r="AY27" i="1"/>
  <c r="AZ27" i="1"/>
  <c r="BA27" i="1"/>
  <c r="BB27" i="1"/>
  <c r="BC27" i="1"/>
  <c r="BD27" i="1"/>
  <c r="BE27" i="1"/>
  <c r="AY28" i="1"/>
  <c r="AZ28" i="1"/>
  <c r="BA28" i="1"/>
  <c r="BB28" i="1"/>
  <c r="BC28" i="1"/>
  <c r="BD28" i="1"/>
  <c r="BE28" i="1"/>
  <c r="AY29" i="1"/>
  <c r="AZ29" i="1"/>
  <c r="BA29" i="1"/>
  <c r="BB29" i="1"/>
  <c r="BC29" i="1"/>
  <c r="BD29" i="1"/>
  <c r="BE29" i="1"/>
  <c r="AY30" i="1"/>
  <c r="AZ30" i="1"/>
  <c r="BA30" i="1"/>
  <c r="BB30" i="1"/>
  <c r="BC30" i="1"/>
  <c r="BD30" i="1"/>
  <c r="BE30" i="1"/>
  <c r="AY31" i="1"/>
  <c r="AZ31" i="1"/>
  <c r="BA31" i="1"/>
  <c r="BB31" i="1"/>
  <c r="BC31" i="1"/>
  <c r="BD31" i="1"/>
  <c r="BE31" i="1"/>
  <c r="AY32" i="1"/>
  <c r="AZ32" i="1"/>
  <c r="BA32" i="1"/>
  <c r="BB32" i="1"/>
  <c r="BC32" i="1"/>
  <c r="BD32" i="1"/>
  <c r="BE32" i="1"/>
  <c r="AY33" i="1"/>
  <c r="AZ33" i="1"/>
  <c r="BA33" i="1"/>
  <c r="BB33" i="1"/>
  <c r="BC33" i="1"/>
  <c r="BD33" i="1"/>
  <c r="BE33" i="1"/>
  <c r="AY34" i="1"/>
  <c r="AZ34" i="1"/>
  <c r="BA34" i="1"/>
  <c r="BB34" i="1"/>
  <c r="BC34" i="1"/>
  <c r="BD34" i="1"/>
  <c r="BE34" i="1"/>
  <c r="AY35" i="1"/>
  <c r="AZ35" i="1"/>
  <c r="BA35" i="1"/>
  <c r="BB35" i="1"/>
  <c r="BC35" i="1"/>
  <c r="BD35" i="1"/>
  <c r="BE35" i="1"/>
  <c r="AY36" i="1"/>
  <c r="AZ36" i="1"/>
  <c r="BA36" i="1"/>
  <c r="BB36" i="1"/>
  <c r="BC36" i="1"/>
  <c r="BD36" i="1"/>
  <c r="BE36" i="1"/>
  <c r="AY37" i="1"/>
  <c r="AZ37" i="1"/>
  <c r="BA37" i="1"/>
  <c r="BB37" i="1"/>
  <c r="BC37" i="1"/>
  <c r="BD37" i="1"/>
  <c r="BE37" i="1"/>
  <c r="AY38" i="1"/>
  <c r="AZ38" i="1"/>
  <c r="BA38" i="1"/>
  <c r="BB38" i="1"/>
  <c r="BC38" i="1"/>
  <c r="BD38" i="1"/>
  <c r="BE38" i="1"/>
  <c r="AY39" i="1"/>
  <c r="AZ39" i="1"/>
  <c r="BA39" i="1"/>
  <c r="BB39" i="1"/>
  <c r="BC39" i="1"/>
  <c r="BD39" i="1"/>
  <c r="BE39" i="1"/>
  <c r="AY40" i="1"/>
  <c r="AZ40" i="1"/>
  <c r="BA40" i="1"/>
  <c r="BB40" i="1"/>
  <c r="BC40" i="1"/>
  <c r="BD40" i="1"/>
  <c r="BE40" i="1"/>
  <c r="AY41" i="1"/>
  <c r="AZ41" i="1"/>
  <c r="BA41" i="1"/>
  <c r="BB41" i="1"/>
  <c r="BC41" i="1"/>
  <c r="BD41" i="1"/>
  <c r="BE41" i="1"/>
  <c r="AY42" i="1"/>
  <c r="AZ42" i="1"/>
  <c r="BA42" i="1"/>
  <c r="BB42" i="1"/>
  <c r="BC42" i="1"/>
  <c r="BD42" i="1"/>
  <c r="BE42" i="1"/>
  <c r="AY43" i="1"/>
  <c r="AZ43" i="1"/>
  <c r="BA43" i="1"/>
  <c r="BB43" i="1"/>
  <c r="BC43" i="1"/>
  <c r="BD43" i="1"/>
  <c r="BE43" i="1"/>
  <c r="AY44" i="1"/>
  <c r="AZ44" i="1"/>
  <c r="BA44" i="1"/>
  <c r="BB44" i="1"/>
  <c r="BC44" i="1"/>
  <c r="BD44" i="1"/>
  <c r="BE44" i="1"/>
  <c r="AY45" i="1"/>
  <c r="AZ45" i="1"/>
  <c r="BA45" i="1"/>
  <c r="BB45" i="1"/>
  <c r="BC45" i="1"/>
  <c r="BD45" i="1"/>
  <c r="BE45" i="1"/>
  <c r="AY46" i="1"/>
  <c r="AZ46" i="1"/>
  <c r="BA46" i="1"/>
  <c r="BB46" i="1"/>
  <c r="BC46" i="1"/>
  <c r="BD46" i="1"/>
  <c r="BE46" i="1"/>
  <c r="AY47" i="1"/>
  <c r="AZ47" i="1"/>
  <c r="BA47" i="1"/>
  <c r="BB47" i="1"/>
  <c r="BC47" i="1"/>
  <c r="BD47" i="1"/>
  <c r="BE47" i="1"/>
  <c r="AY48" i="1"/>
  <c r="AZ48" i="1"/>
  <c r="BA48" i="1"/>
  <c r="BB48" i="1"/>
  <c r="BC48" i="1"/>
  <c r="BD48" i="1"/>
  <c r="BE48" i="1"/>
  <c r="AY49" i="1"/>
  <c r="AZ49" i="1"/>
  <c r="BA49" i="1"/>
  <c r="BB49" i="1"/>
  <c r="BC49" i="1"/>
  <c r="BD49" i="1"/>
  <c r="BE49" i="1"/>
  <c r="AY50" i="1"/>
  <c r="AZ50" i="1"/>
  <c r="BA50" i="1"/>
  <c r="BB50" i="1"/>
  <c r="BC50" i="1"/>
  <c r="BD50" i="1"/>
  <c r="BE50" i="1"/>
  <c r="AY51" i="1"/>
  <c r="AZ51" i="1"/>
  <c r="BA51" i="1"/>
  <c r="BB51" i="1"/>
  <c r="BC51" i="1"/>
  <c r="BD51" i="1"/>
  <c r="BE51" i="1"/>
  <c r="AY52" i="1"/>
  <c r="AZ52" i="1"/>
  <c r="BA52" i="1"/>
  <c r="BB52" i="1"/>
  <c r="BC52" i="1"/>
  <c r="BD52" i="1"/>
  <c r="BE52" i="1"/>
  <c r="AY53" i="1"/>
  <c r="AZ53" i="1"/>
  <c r="BA53" i="1"/>
  <c r="BB53" i="1"/>
  <c r="BC53" i="1"/>
  <c r="BD53" i="1"/>
  <c r="BE53" i="1"/>
  <c r="AY54" i="1"/>
  <c r="AZ54" i="1"/>
  <c r="BA54" i="1"/>
  <c r="BB54" i="1"/>
  <c r="BC54" i="1"/>
  <c r="BD54" i="1"/>
  <c r="BE54" i="1"/>
  <c r="AY55" i="1"/>
  <c r="AZ55" i="1"/>
  <c r="BA55" i="1"/>
  <c r="BB55" i="1"/>
  <c r="BC55" i="1"/>
  <c r="BD55" i="1"/>
  <c r="BE55" i="1"/>
  <c r="AY56" i="1"/>
  <c r="AZ56" i="1"/>
  <c r="BA56" i="1"/>
  <c r="BB56" i="1"/>
  <c r="BC56" i="1"/>
  <c r="BD56" i="1"/>
  <c r="BE56" i="1"/>
  <c r="AY57" i="1"/>
  <c r="AZ57" i="1"/>
  <c r="BA57" i="1"/>
  <c r="BB57" i="1"/>
  <c r="BC57" i="1"/>
  <c r="BD57" i="1"/>
  <c r="BE57" i="1"/>
  <c r="AY58" i="1"/>
  <c r="AZ58" i="1"/>
  <c r="BA58" i="1"/>
  <c r="BB58" i="1"/>
  <c r="BC58" i="1"/>
  <c r="BD58" i="1"/>
  <c r="BE58" i="1"/>
  <c r="AY59" i="1"/>
  <c r="AZ59" i="1"/>
  <c r="BA59" i="1"/>
  <c r="BB59" i="1"/>
  <c r="BC59" i="1"/>
  <c r="BD59" i="1"/>
  <c r="BE59" i="1"/>
  <c r="AY60" i="1"/>
  <c r="AZ60" i="1"/>
  <c r="BA60" i="1"/>
  <c r="BB60" i="1"/>
  <c r="BC60" i="1"/>
  <c r="BD60" i="1"/>
  <c r="BE60" i="1"/>
  <c r="AY61" i="1"/>
  <c r="AZ61" i="1"/>
  <c r="BA61" i="1"/>
  <c r="BB61" i="1"/>
  <c r="BC61" i="1"/>
  <c r="BD61" i="1"/>
  <c r="BE61" i="1"/>
  <c r="AY62" i="1"/>
  <c r="AZ62" i="1"/>
  <c r="BA62" i="1"/>
  <c r="BB62" i="1"/>
  <c r="BC62" i="1"/>
  <c r="BD62" i="1"/>
  <c r="BE62" i="1"/>
  <c r="AY63" i="1"/>
  <c r="AZ63" i="1"/>
  <c r="BA63" i="1"/>
  <c r="BB63" i="1"/>
  <c r="BC63" i="1"/>
  <c r="BD63" i="1"/>
  <c r="BE63" i="1"/>
  <c r="AY64" i="1"/>
  <c r="AZ64" i="1"/>
  <c r="BA64" i="1"/>
  <c r="BB64" i="1"/>
  <c r="BC64" i="1"/>
  <c r="BD64" i="1"/>
  <c r="BE64" i="1"/>
  <c r="AY65" i="1"/>
  <c r="AZ65" i="1"/>
  <c r="BA65" i="1"/>
  <c r="BB65" i="1"/>
  <c r="BC65" i="1"/>
  <c r="BD65" i="1"/>
  <c r="BE65" i="1"/>
  <c r="AY66" i="1"/>
  <c r="AZ66" i="1"/>
  <c r="BA66" i="1"/>
  <c r="BB66" i="1"/>
  <c r="BC66" i="1"/>
  <c r="BD66" i="1"/>
  <c r="BE66" i="1"/>
  <c r="AY67" i="1"/>
  <c r="AZ67" i="1"/>
  <c r="BA67" i="1"/>
  <c r="BB67" i="1"/>
  <c r="BC67" i="1"/>
  <c r="BD67" i="1"/>
  <c r="BE67" i="1"/>
  <c r="AY68" i="1"/>
  <c r="AZ68" i="1"/>
  <c r="BA68" i="1"/>
  <c r="BB68" i="1"/>
  <c r="BC68" i="1"/>
  <c r="BD68" i="1"/>
  <c r="BE68" i="1"/>
  <c r="AY69" i="1"/>
  <c r="AZ69" i="1"/>
  <c r="BA69" i="1"/>
  <c r="BB69" i="1"/>
  <c r="BC69" i="1"/>
  <c r="BD69" i="1"/>
  <c r="BE69" i="1"/>
  <c r="AY70" i="1"/>
  <c r="AZ70" i="1"/>
  <c r="BA70" i="1"/>
  <c r="BB70" i="1"/>
  <c r="BC70" i="1"/>
  <c r="BD70" i="1"/>
  <c r="BE70" i="1"/>
  <c r="AY71" i="1"/>
  <c r="AZ71" i="1"/>
  <c r="BA71" i="1"/>
  <c r="BB71" i="1"/>
  <c r="BC71" i="1"/>
  <c r="BD71" i="1"/>
  <c r="BE71" i="1"/>
  <c r="AY72" i="1"/>
  <c r="AZ72" i="1"/>
  <c r="BA72" i="1"/>
  <c r="BB72" i="1"/>
  <c r="BC72" i="1"/>
  <c r="BD72" i="1"/>
  <c r="BE72" i="1"/>
  <c r="AY73" i="1"/>
  <c r="AZ73" i="1"/>
  <c r="BA73" i="1"/>
  <c r="BB73" i="1"/>
  <c r="BC73" i="1"/>
  <c r="BD73" i="1"/>
  <c r="BE73" i="1"/>
  <c r="AY74" i="1"/>
  <c r="AZ74" i="1"/>
  <c r="BA74" i="1"/>
  <c r="BB74" i="1"/>
  <c r="BC74" i="1"/>
  <c r="BD74" i="1"/>
  <c r="BE74" i="1"/>
  <c r="AY75" i="1"/>
  <c r="AZ75" i="1"/>
  <c r="BA75" i="1"/>
  <c r="BB75" i="1"/>
  <c r="BC75" i="1"/>
  <c r="BD75" i="1"/>
  <c r="BE75" i="1"/>
  <c r="AY77" i="1"/>
  <c r="AZ77" i="1"/>
  <c r="BA77" i="1"/>
  <c r="BB77" i="1"/>
  <c r="BC77" i="1"/>
  <c r="BD77" i="1"/>
  <c r="BE77" i="1"/>
  <c r="AY78" i="1"/>
  <c r="AZ78" i="1"/>
  <c r="BA78" i="1"/>
  <c r="BB78" i="1"/>
  <c r="BC78" i="1"/>
  <c r="BD78" i="1"/>
  <c r="BE78" i="1"/>
  <c r="AY79" i="1"/>
  <c r="AZ79" i="1"/>
  <c r="BA79" i="1"/>
  <c r="BB79" i="1"/>
  <c r="BC79" i="1"/>
  <c r="BD79" i="1"/>
  <c r="BE79" i="1"/>
  <c r="AY80" i="1"/>
  <c r="AZ80" i="1"/>
  <c r="BA80" i="1"/>
  <c r="BB80" i="1"/>
  <c r="BC80" i="1"/>
  <c r="BD80" i="1"/>
  <c r="BE80" i="1"/>
  <c r="AY81" i="1"/>
  <c r="AZ81" i="1"/>
  <c r="BA81" i="1"/>
  <c r="BB81" i="1"/>
  <c r="BC81" i="1"/>
  <c r="BD81" i="1"/>
  <c r="BE81" i="1"/>
  <c r="AY82" i="1"/>
  <c r="AZ82" i="1"/>
  <c r="BB82" i="1"/>
  <c r="BC82" i="1"/>
  <c r="BD82" i="1"/>
  <c r="BE82" i="1"/>
  <c r="AY83" i="1"/>
  <c r="AZ83" i="1"/>
  <c r="BA83" i="1"/>
  <c r="BB83" i="1"/>
  <c r="BC83" i="1"/>
  <c r="BD83" i="1"/>
  <c r="BE83" i="1"/>
  <c r="AY84" i="1"/>
  <c r="AZ84" i="1"/>
  <c r="BA84" i="1"/>
  <c r="BB84" i="1"/>
  <c r="BC84" i="1"/>
  <c r="BD84" i="1"/>
  <c r="BE84" i="1"/>
  <c r="AY86" i="1"/>
  <c r="AZ86" i="1"/>
  <c r="BA86" i="1"/>
  <c r="BB86" i="1"/>
  <c r="BC86" i="1"/>
  <c r="BD86" i="1"/>
  <c r="BE86" i="1"/>
  <c r="AY88" i="1"/>
  <c r="AZ88" i="1"/>
  <c r="BA88" i="1"/>
  <c r="BB88" i="1"/>
  <c r="BC88" i="1"/>
  <c r="BD88" i="1"/>
  <c r="BE88" i="1"/>
  <c r="AY89" i="1"/>
  <c r="AZ89" i="1"/>
  <c r="BA89" i="1"/>
  <c r="BB89" i="1"/>
  <c r="BC89" i="1"/>
  <c r="BD89" i="1"/>
  <c r="BE89" i="1"/>
  <c r="AY90" i="1"/>
  <c r="AZ90" i="1"/>
  <c r="BA90" i="1"/>
  <c r="BB90" i="1"/>
  <c r="BC90" i="1"/>
  <c r="BD90" i="1"/>
  <c r="BE90" i="1"/>
  <c r="AY91" i="1"/>
  <c r="AZ91" i="1"/>
  <c r="BA91" i="1"/>
  <c r="BB91" i="1"/>
  <c r="BC91" i="1"/>
  <c r="BD91" i="1"/>
  <c r="BE91" i="1"/>
  <c r="AY92" i="1"/>
  <c r="AZ92" i="1"/>
  <c r="BA92" i="1"/>
  <c r="BB92" i="1"/>
  <c r="BC92" i="1"/>
  <c r="BD92" i="1"/>
  <c r="BE92" i="1"/>
  <c r="AY93" i="1"/>
  <c r="AZ93" i="1"/>
  <c r="BA93" i="1"/>
  <c r="BB93" i="1"/>
  <c r="BC93" i="1"/>
  <c r="BD93" i="1"/>
  <c r="BE93" i="1"/>
  <c r="AY94" i="1"/>
  <c r="AZ94" i="1"/>
  <c r="BA94" i="1"/>
  <c r="BB94" i="1"/>
  <c r="BC94" i="1"/>
  <c r="BD94" i="1"/>
  <c r="BE94" i="1"/>
  <c r="AY95" i="1"/>
  <c r="AZ95" i="1"/>
  <c r="BA95" i="1"/>
  <c r="BB95" i="1"/>
  <c r="BC95" i="1"/>
  <c r="BD95" i="1"/>
  <c r="BE95" i="1"/>
  <c r="AY96" i="1"/>
  <c r="AZ96" i="1"/>
  <c r="BA96" i="1"/>
  <c r="BB96" i="1"/>
  <c r="BC96" i="1"/>
  <c r="BD96" i="1"/>
  <c r="BE96" i="1"/>
  <c r="AY97" i="1"/>
  <c r="AZ97" i="1"/>
  <c r="BA97" i="1"/>
  <c r="BB97" i="1"/>
  <c r="BC97" i="1"/>
  <c r="BD97" i="1"/>
  <c r="BE97" i="1"/>
  <c r="AY98" i="1"/>
  <c r="AZ98" i="1"/>
  <c r="BA98" i="1"/>
  <c r="BB98" i="1"/>
  <c r="BC98" i="1"/>
  <c r="BD98" i="1"/>
  <c r="BE98" i="1"/>
  <c r="AY99" i="1"/>
  <c r="AZ99" i="1"/>
  <c r="BA99" i="1"/>
  <c r="BB99" i="1"/>
  <c r="BC99" i="1"/>
  <c r="BD99" i="1"/>
  <c r="BE99" i="1"/>
  <c r="AY100" i="1"/>
  <c r="AZ100" i="1"/>
  <c r="BA100" i="1"/>
  <c r="BB100" i="1"/>
  <c r="BC100" i="1"/>
  <c r="BD100" i="1"/>
  <c r="BE100" i="1"/>
  <c r="AY101" i="1"/>
  <c r="AZ101" i="1"/>
  <c r="BA101" i="1"/>
  <c r="BB101" i="1"/>
  <c r="BC101" i="1"/>
  <c r="BD101" i="1"/>
  <c r="BE101" i="1"/>
  <c r="AY102" i="1"/>
  <c r="AZ102" i="1"/>
  <c r="BA102" i="1"/>
  <c r="BB102" i="1"/>
  <c r="BC102" i="1"/>
  <c r="BD102" i="1"/>
  <c r="BE102" i="1"/>
  <c r="AY103" i="1"/>
  <c r="AZ103" i="1"/>
  <c r="BA103" i="1"/>
  <c r="BB103" i="1"/>
  <c r="BC103" i="1"/>
  <c r="BD103" i="1"/>
  <c r="BE103" i="1"/>
  <c r="AY104" i="1"/>
  <c r="AZ104" i="1"/>
  <c r="BA104" i="1"/>
  <c r="BB104" i="1"/>
  <c r="BC104" i="1"/>
  <c r="BD104" i="1"/>
  <c r="BE104" i="1"/>
  <c r="AY105" i="1"/>
  <c r="AZ105" i="1"/>
  <c r="BA105" i="1"/>
  <c r="BB105" i="1"/>
  <c r="BC105" i="1"/>
  <c r="BD105" i="1"/>
  <c r="BE105" i="1"/>
  <c r="AY106" i="1"/>
  <c r="AZ106" i="1"/>
  <c r="BA106" i="1"/>
  <c r="BB106" i="1"/>
  <c r="BC106" i="1"/>
  <c r="BD106" i="1"/>
  <c r="BE106" i="1"/>
  <c r="AY107" i="1"/>
  <c r="AZ107" i="1"/>
  <c r="BA107" i="1"/>
  <c r="BB107" i="1"/>
  <c r="BC107" i="1"/>
  <c r="BD107" i="1"/>
  <c r="BE107" i="1"/>
  <c r="AY108" i="1"/>
  <c r="AZ108" i="1"/>
  <c r="BA108" i="1"/>
  <c r="BB108" i="1"/>
  <c r="BC108" i="1"/>
  <c r="BD108" i="1"/>
  <c r="BE108" i="1"/>
  <c r="AY109" i="1"/>
  <c r="AZ109" i="1"/>
  <c r="BA109" i="1"/>
  <c r="BB109" i="1"/>
  <c r="BC109" i="1"/>
  <c r="BD109" i="1"/>
  <c r="BE109" i="1"/>
  <c r="AY110" i="1"/>
  <c r="AZ110" i="1"/>
  <c r="BA110" i="1"/>
  <c r="BB110" i="1"/>
  <c r="BC110" i="1"/>
  <c r="BD110" i="1"/>
  <c r="BE110" i="1"/>
  <c r="AY111" i="1"/>
  <c r="AZ111" i="1"/>
  <c r="BA111" i="1"/>
  <c r="BB111" i="1"/>
  <c r="BC111" i="1"/>
  <c r="BD111" i="1"/>
  <c r="BE111" i="1"/>
  <c r="AY112" i="1"/>
  <c r="AZ112" i="1"/>
  <c r="BA112" i="1"/>
  <c r="BB112" i="1"/>
  <c r="BC112" i="1"/>
  <c r="BD112" i="1"/>
  <c r="BE112" i="1"/>
  <c r="AY113" i="1"/>
  <c r="AZ113" i="1"/>
  <c r="BA113" i="1"/>
  <c r="BB113" i="1"/>
  <c r="BC113" i="1"/>
  <c r="BD113" i="1"/>
  <c r="BE113" i="1"/>
  <c r="AY114" i="1"/>
  <c r="AZ114" i="1"/>
  <c r="BA114" i="1"/>
  <c r="BB114" i="1"/>
  <c r="BC114" i="1"/>
  <c r="BD114" i="1"/>
  <c r="BE114" i="1"/>
  <c r="AY115" i="1"/>
  <c r="AZ115" i="1"/>
  <c r="BA115" i="1"/>
  <c r="BB115" i="1"/>
  <c r="BC115" i="1"/>
  <c r="BD115" i="1"/>
  <c r="BE115" i="1"/>
  <c r="AY116" i="1"/>
  <c r="AZ116" i="1"/>
  <c r="BA116" i="1"/>
  <c r="BB116" i="1"/>
  <c r="BC116" i="1"/>
  <c r="BD116" i="1"/>
  <c r="BE116" i="1"/>
  <c r="AY117" i="1"/>
  <c r="AZ117" i="1"/>
  <c r="BA117" i="1"/>
  <c r="BB117" i="1"/>
  <c r="BC117" i="1"/>
  <c r="BD117" i="1"/>
  <c r="BE117" i="1"/>
  <c r="AY118" i="1"/>
  <c r="AZ118" i="1"/>
  <c r="BA118" i="1"/>
  <c r="BB118" i="1"/>
  <c r="BC118" i="1"/>
  <c r="BD118" i="1"/>
  <c r="BE118" i="1"/>
  <c r="AY119" i="1"/>
  <c r="AZ119" i="1"/>
  <c r="BA119" i="1"/>
  <c r="BB119" i="1"/>
  <c r="BC119" i="1"/>
  <c r="BD119" i="1"/>
  <c r="BE119" i="1"/>
  <c r="AY120" i="1"/>
  <c r="AZ120" i="1"/>
  <c r="BA120" i="1"/>
  <c r="BB120" i="1"/>
  <c r="BC120" i="1"/>
  <c r="BD120" i="1"/>
  <c r="BE120" i="1"/>
  <c r="AY121" i="1"/>
  <c r="AZ121" i="1"/>
  <c r="BA121" i="1"/>
  <c r="BB121" i="1"/>
  <c r="BC121" i="1"/>
  <c r="BD121" i="1"/>
  <c r="BE121" i="1"/>
  <c r="AY122" i="1"/>
  <c r="AZ122" i="1"/>
  <c r="BA122" i="1"/>
  <c r="BB122" i="1"/>
  <c r="BC122" i="1"/>
  <c r="BD122" i="1"/>
  <c r="BE122" i="1"/>
  <c r="AY123" i="1"/>
  <c r="AZ123" i="1"/>
  <c r="BA123" i="1"/>
  <c r="BB123" i="1"/>
  <c r="BC123" i="1"/>
  <c r="BD123" i="1"/>
  <c r="BE123" i="1"/>
  <c r="AY124" i="1"/>
  <c r="AZ124" i="1"/>
  <c r="BA124" i="1"/>
  <c r="BB124" i="1"/>
  <c r="BC124" i="1"/>
  <c r="BD124" i="1"/>
  <c r="BE124" i="1"/>
  <c r="AY125" i="1"/>
  <c r="AZ125" i="1"/>
  <c r="BA125" i="1"/>
  <c r="BB125" i="1"/>
  <c r="BC125" i="1"/>
  <c r="BD125" i="1"/>
  <c r="BE125" i="1"/>
  <c r="AY126" i="1"/>
  <c r="AZ126" i="1"/>
  <c r="BA126" i="1"/>
  <c r="BB126" i="1"/>
  <c r="BC126" i="1"/>
  <c r="BD126" i="1"/>
  <c r="BE126" i="1"/>
  <c r="AY127" i="1"/>
  <c r="AZ127" i="1"/>
  <c r="BA127" i="1"/>
  <c r="BB127" i="1"/>
  <c r="BC127" i="1"/>
  <c r="BD127" i="1"/>
  <c r="BE127" i="1"/>
  <c r="AY128" i="1"/>
  <c r="AZ128" i="1"/>
  <c r="BA128" i="1"/>
  <c r="BB128" i="1"/>
  <c r="BC128" i="1"/>
  <c r="BD128" i="1"/>
  <c r="BE128" i="1"/>
  <c r="AY129" i="1"/>
  <c r="AZ129" i="1"/>
  <c r="BA129" i="1"/>
  <c r="BB129" i="1"/>
  <c r="BC129" i="1"/>
  <c r="BD129" i="1"/>
  <c r="BE129" i="1"/>
  <c r="AY130" i="1"/>
  <c r="AZ130" i="1"/>
  <c r="BA130" i="1"/>
  <c r="BB130" i="1"/>
  <c r="BC130" i="1"/>
  <c r="BD130" i="1"/>
  <c r="BE130" i="1"/>
  <c r="AY131" i="1"/>
  <c r="AZ131" i="1"/>
  <c r="BA131" i="1"/>
  <c r="BB131" i="1"/>
  <c r="BC131" i="1"/>
  <c r="BD131" i="1"/>
  <c r="BE131" i="1"/>
  <c r="AY132" i="1"/>
  <c r="AZ132" i="1"/>
  <c r="BA132" i="1"/>
  <c r="BB132" i="1"/>
  <c r="BC132" i="1"/>
  <c r="BD132" i="1"/>
  <c r="BE132" i="1"/>
  <c r="AY133" i="1"/>
  <c r="AZ133" i="1"/>
  <c r="BA133" i="1"/>
  <c r="BB133" i="1"/>
  <c r="BC133" i="1"/>
  <c r="BD133" i="1"/>
  <c r="BE133" i="1"/>
  <c r="AY134" i="1"/>
  <c r="AZ134" i="1"/>
  <c r="BA134" i="1"/>
  <c r="BB134" i="1"/>
  <c r="BC134" i="1"/>
  <c r="BD134" i="1"/>
  <c r="BE134" i="1"/>
  <c r="AY135" i="1"/>
  <c r="AZ135" i="1"/>
  <c r="BA135" i="1"/>
  <c r="BB135" i="1"/>
  <c r="BC135" i="1"/>
  <c r="BD135" i="1"/>
  <c r="BE135" i="1"/>
  <c r="AY136" i="1"/>
  <c r="AZ136" i="1"/>
  <c r="BA136" i="1"/>
  <c r="BB136" i="1"/>
  <c r="BC136" i="1"/>
  <c r="BD136" i="1"/>
  <c r="BE136" i="1"/>
  <c r="AY137" i="1"/>
  <c r="AZ137" i="1"/>
  <c r="BA137" i="1"/>
  <c r="BB137" i="1"/>
  <c r="BC137" i="1"/>
  <c r="BD137" i="1"/>
  <c r="BE137" i="1"/>
  <c r="AY138" i="1"/>
  <c r="AZ138" i="1"/>
  <c r="BA138" i="1"/>
  <c r="BB138" i="1"/>
  <c r="BC138" i="1"/>
  <c r="BD138" i="1"/>
  <c r="BE138" i="1"/>
  <c r="AY139" i="1"/>
  <c r="AZ139" i="1"/>
  <c r="BA139" i="1"/>
  <c r="BB139" i="1"/>
  <c r="BC139" i="1"/>
  <c r="BD139" i="1"/>
  <c r="BE139" i="1"/>
  <c r="AY140" i="1"/>
  <c r="AZ140" i="1"/>
  <c r="BA140" i="1"/>
  <c r="BB140" i="1"/>
  <c r="BC140" i="1"/>
  <c r="BD140" i="1"/>
  <c r="BE140" i="1"/>
  <c r="AY141" i="1"/>
  <c r="AZ141" i="1"/>
  <c r="BA141" i="1"/>
  <c r="BB141" i="1"/>
  <c r="BC141" i="1"/>
  <c r="BD141" i="1"/>
  <c r="BE141" i="1"/>
  <c r="AY142" i="1"/>
  <c r="AZ142" i="1"/>
  <c r="BA142" i="1"/>
  <c r="BB142" i="1"/>
  <c r="BC142" i="1"/>
  <c r="BD142" i="1"/>
  <c r="BE142" i="1"/>
  <c r="AY143" i="1"/>
  <c r="AZ143" i="1"/>
  <c r="BA143" i="1"/>
  <c r="BB143" i="1"/>
  <c r="BC143" i="1"/>
  <c r="BD143" i="1"/>
  <c r="BE143" i="1"/>
  <c r="AY144" i="1"/>
  <c r="AZ144" i="1"/>
  <c r="BA144" i="1"/>
  <c r="BB144" i="1"/>
  <c r="BC144" i="1"/>
  <c r="BD144" i="1"/>
  <c r="BE144" i="1"/>
  <c r="AY145" i="1"/>
  <c r="AZ145" i="1"/>
  <c r="BA145" i="1"/>
  <c r="BB145" i="1"/>
  <c r="BC145" i="1"/>
  <c r="BD145" i="1"/>
  <c r="BE145" i="1"/>
  <c r="AY146" i="1"/>
  <c r="AZ146" i="1"/>
  <c r="BA146" i="1"/>
  <c r="BB146" i="1"/>
  <c r="BC146" i="1"/>
  <c r="BD146" i="1"/>
  <c r="BE146" i="1"/>
  <c r="AY147" i="1"/>
  <c r="AZ147" i="1"/>
  <c r="BA147" i="1"/>
  <c r="BB147" i="1"/>
  <c r="BC147" i="1"/>
  <c r="BD147" i="1"/>
  <c r="BE147" i="1"/>
  <c r="AY148" i="1"/>
  <c r="AZ148" i="1"/>
  <c r="BA148" i="1"/>
  <c r="BB148" i="1"/>
  <c r="BC148" i="1"/>
  <c r="BD148" i="1"/>
  <c r="BE148" i="1"/>
  <c r="AY149" i="1"/>
  <c r="AZ149" i="1"/>
  <c r="BA149" i="1"/>
  <c r="BB149" i="1"/>
  <c r="BC149" i="1"/>
  <c r="BD149" i="1"/>
  <c r="BE149" i="1"/>
  <c r="AY150" i="1"/>
  <c r="AZ150" i="1"/>
  <c r="BA150" i="1"/>
  <c r="BB150" i="1"/>
  <c r="BC150" i="1"/>
  <c r="BD150" i="1"/>
  <c r="BE150" i="1"/>
  <c r="AY151" i="1"/>
  <c r="AZ151" i="1"/>
  <c r="BA151" i="1"/>
  <c r="BB151" i="1"/>
  <c r="BC151" i="1"/>
  <c r="BD151" i="1"/>
  <c r="BE151" i="1"/>
  <c r="AY152" i="1"/>
  <c r="AZ152" i="1"/>
  <c r="BA152" i="1"/>
  <c r="BB152" i="1"/>
  <c r="BC152" i="1"/>
  <c r="BD152" i="1"/>
  <c r="BE152" i="1"/>
  <c r="AY153" i="1"/>
  <c r="AZ153" i="1"/>
  <c r="BA153" i="1"/>
  <c r="BB153" i="1"/>
  <c r="BC153" i="1"/>
  <c r="BD153" i="1"/>
  <c r="BE153" i="1"/>
  <c r="AY154" i="1"/>
  <c r="AZ154" i="1"/>
  <c r="BA154" i="1"/>
  <c r="BB154" i="1"/>
  <c r="BC154" i="1"/>
  <c r="BD154" i="1"/>
  <c r="BE154" i="1"/>
  <c r="AY155" i="1"/>
  <c r="AZ155" i="1"/>
  <c r="BA155" i="1"/>
  <c r="BB155" i="1"/>
  <c r="BC155" i="1"/>
  <c r="BD155" i="1"/>
  <c r="BE155" i="1"/>
  <c r="AY156" i="1"/>
  <c r="AZ156" i="1"/>
  <c r="BA156" i="1"/>
  <c r="BB156" i="1"/>
  <c r="BC156" i="1"/>
  <c r="BD156" i="1"/>
  <c r="BE156" i="1"/>
  <c r="AY157" i="1"/>
  <c r="AZ157" i="1"/>
  <c r="BA157" i="1"/>
  <c r="BB157" i="1"/>
  <c r="BC157" i="1"/>
  <c r="BD157" i="1"/>
  <c r="BE157" i="1"/>
  <c r="AY158" i="1"/>
  <c r="AZ158" i="1"/>
  <c r="BA158" i="1"/>
  <c r="BB158" i="1"/>
  <c r="BC158" i="1"/>
  <c r="BD158" i="1"/>
  <c r="BE158" i="1"/>
  <c r="AY159" i="1"/>
  <c r="AZ159" i="1"/>
  <c r="BA159" i="1"/>
  <c r="BB159" i="1"/>
  <c r="BC159" i="1"/>
  <c r="BD159" i="1"/>
  <c r="BE159" i="1"/>
  <c r="AY160" i="1"/>
  <c r="AZ160" i="1"/>
  <c r="BA160" i="1"/>
  <c r="BB160" i="1"/>
  <c r="BC160" i="1"/>
  <c r="BD160" i="1"/>
  <c r="BE160" i="1"/>
  <c r="AY161" i="1"/>
  <c r="AZ161" i="1"/>
  <c r="BA161" i="1"/>
  <c r="BB161" i="1"/>
  <c r="BC161" i="1"/>
  <c r="BD161" i="1"/>
  <c r="BE161" i="1"/>
  <c r="AY162" i="1"/>
  <c r="AZ162" i="1"/>
  <c r="BA162" i="1"/>
  <c r="BB162" i="1"/>
  <c r="BC162" i="1"/>
  <c r="BD162" i="1"/>
  <c r="BE162" i="1"/>
  <c r="AY163" i="1"/>
  <c r="AZ163" i="1"/>
  <c r="BA163" i="1"/>
  <c r="BB163" i="1"/>
  <c r="BC163" i="1"/>
  <c r="BD163" i="1"/>
  <c r="BE163" i="1"/>
  <c r="AY164" i="1"/>
  <c r="AZ164" i="1"/>
  <c r="BA164" i="1"/>
  <c r="BB164" i="1"/>
  <c r="BC164" i="1"/>
  <c r="BD164" i="1"/>
  <c r="BE164" i="1"/>
  <c r="AY165" i="1"/>
  <c r="AZ165" i="1"/>
  <c r="BA165" i="1"/>
  <c r="BB165" i="1"/>
  <c r="BC165" i="1"/>
  <c r="BD165" i="1"/>
  <c r="BE165" i="1"/>
  <c r="AY166" i="1"/>
  <c r="AZ166" i="1"/>
  <c r="BA166" i="1"/>
  <c r="BB166" i="1"/>
  <c r="BC166" i="1"/>
  <c r="BD166" i="1"/>
  <c r="BE166" i="1"/>
  <c r="AY167" i="1"/>
  <c r="AZ167" i="1"/>
  <c r="BA167" i="1"/>
  <c r="BB167" i="1"/>
  <c r="BC167" i="1"/>
  <c r="BD167" i="1"/>
  <c r="BE167" i="1"/>
  <c r="AY168" i="1"/>
  <c r="AZ168" i="1"/>
  <c r="BA168" i="1"/>
  <c r="BB168" i="1"/>
  <c r="BC168" i="1"/>
  <c r="BD168" i="1"/>
  <c r="BE168" i="1"/>
  <c r="AY169" i="1"/>
  <c r="AZ169" i="1"/>
  <c r="BA169" i="1"/>
  <c r="BB169" i="1"/>
  <c r="BC169" i="1"/>
  <c r="BD169" i="1"/>
  <c r="BE169" i="1"/>
  <c r="AY170" i="1"/>
  <c r="AZ170" i="1"/>
  <c r="BA170" i="1"/>
  <c r="BB170" i="1"/>
  <c r="BC170" i="1"/>
  <c r="BD170" i="1"/>
  <c r="BE170" i="1"/>
  <c r="AY171" i="1"/>
  <c r="AZ171" i="1"/>
  <c r="BA171" i="1"/>
  <c r="BB171" i="1"/>
  <c r="BC171" i="1"/>
  <c r="BD171" i="1"/>
  <c r="BE171" i="1"/>
  <c r="AY172" i="1"/>
  <c r="AZ172" i="1"/>
  <c r="BA172" i="1"/>
  <c r="BB172" i="1"/>
  <c r="BC172" i="1"/>
  <c r="BD172" i="1"/>
  <c r="BE172" i="1"/>
  <c r="AY173" i="1"/>
  <c r="AZ173" i="1"/>
  <c r="BA173" i="1"/>
  <c r="BB173" i="1"/>
  <c r="BC173" i="1"/>
  <c r="BD173" i="1"/>
  <c r="BE173" i="1"/>
  <c r="AY174" i="1"/>
  <c r="AZ174" i="1"/>
  <c r="BA174" i="1"/>
  <c r="BB174" i="1"/>
  <c r="BC174" i="1"/>
  <c r="BD174" i="1"/>
  <c r="BE174" i="1"/>
  <c r="AY180" i="1"/>
  <c r="AZ180" i="1"/>
  <c r="BA180" i="1"/>
  <c r="BB180" i="1"/>
  <c r="BC180" i="1"/>
  <c r="BD180" i="1"/>
  <c r="BE180" i="1"/>
  <c r="AY181" i="1"/>
  <c r="AZ181" i="1"/>
  <c r="BA181" i="1"/>
  <c r="BB181" i="1"/>
  <c r="BC181" i="1"/>
  <c r="BD181" i="1"/>
  <c r="BE181" i="1"/>
  <c r="AY182" i="1"/>
  <c r="AZ182" i="1"/>
  <c r="BA182" i="1"/>
  <c r="BB182" i="1"/>
  <c r="BC182" i="1"/>
  <c r="BD182" i="1"/>
  <c r="BE182" i="1"/>
  <c r="AY183" i="1"/>
  <c r="AZ183" i="1"/>
  <c r="BA183" i="1"/>
  <c r="BB183" i="1"/>
  <c r="BC183" i="1"/>
  <c r="BD183" i="1"/>
  <c r="BE183" i="1"/>
  <c r="AY184" i="1"/>
  <c r="AZ184" i="1"/>
  <c r="BA184" i="1"/>
  <c r="BB184" i="1"/>
  <c r="BC184" i="1"/>
  <c r="BD184" i="1"/>
  <c r="BE184" i="1"/>
  <c r="AY185" i="1"/>
  <c r="BA185" i="1"/>
  <c r="BB185" i="1"/>
  <c r="BC185" i="1"/>
  <c r="BD185" i="1"/>
  <c r="BE185" i="1"/>
  <c r="AY186" i="1"/>
  <c r="BA186" i="1"/>
  <c r="BB186" i="1"/>
  <c r="BC186" i="1"/>
  <c r="BD186" i="1"/>
  <c r="BE186" i="1"/>
  <c r="AY187" i="1"/>
  <c r="BA187" i="1"/>
  <c r="BB187" i="1"/>
  <c r="BC187" i="1"/>
  <c r="BD187" i="1"/>
  <c r="BE187" i="1"/>
  <c r="AY188" i="1"/>
  <c r="AZ188" i="1"/>
  <c r="BA188" i="1"/>
  <c r="BB188" i="1"/>
  <c r="BC188" i="1"/>
  <c r="BD188" i="1"/>
  <c r="BE188" i="1"/>
  <c r="AY189" i="1"/>
  <c r="AZ189" i="1"/>
  <c r="BA189" i="1"/>
  <c r="BB189" i="1"/>
  <c r="BC189" i="1"/>
  <c r="BD189" i="1"/>
  <c r="BE189" i="1"/>
  <c r="AY190" i="1"/>
  <c r="AZ190" i="1"/>
  <c r="BA190" i="1"/>
  <c r="BB190" i="1"/>
  <c r="BC190" i="1"/>
  <c r="BD190" i="1"/>
  <c r="BE190" i="1"/>
  <c r="AY191" i="1"/>
  <c r="AZ191" i="1"/>
  <c r="BA191" i="1"/>
  <c r="BB191" i="1"/>
  <c r="BC191" i="1"/>
  <c r="BD191" i="1"/>
  <c r="BE191" i="1"/>
  <c r="AY192" i="1"/>
  <c r="AZ192" i="1"/>
  <c r="BA192" i="1"/>
  <c r="BB192" i="1"/>
  <c r="BC192" i="1"/>
  <c r="BD192" i="1"/>
  <c r="BE192" i="1"/>
  <c r="AY193" i="1"/>
  <c r="AZ193" i="1"/>
  <c r="BA193" i="1"/>
  <c r="BB193" i="1"/>
  <c r="BC193" i="1"/>
  <c r="BD193" i="1"/>
  <c r="BE193" i="1"/>
  <c r="AY194" i="1"/>
  <c r="AZ194" i="1"/>
  <c r="BA194" i="1"/>
  <c r="BB194" i="1"/>
  <c r="BC194" i="1"/>
  <c r="BD194" i="1"/>
  <c r="BE194" i="1"/>
  <c r="AY195" i="1"/>
  <c r="AZ195" i="1"/>
  <c r="BA195" i="1"/>
  <c r="BB195" i="1"/>
  <c r="BC195" i="1"/>
  <c r="BD195" i="1"/>
  <c r="BE195" i="1"/>
  <c r="AY196" i="1"/>
  <c r="AZ196" i="1"/>
  <c r="BA196" i="1"/>
  <c r="BB196" i="1"/>
  <c r="BC196" i="1"/>
  <c r="BD196" i="1"/>
  <c r="BE196" i="1"/>
  <c r="AY197" i="1"/>
  <c r="AZ197" i="1"/>
  <c r="BA197" i="1"/>
  <c r="BB197" i="1"/>
  <c r="BC197" i="1"/>
  <c r="BD197" i="1"/>
  <c r="BE197" i="1"/>
  <c r="AY198" i="1"/>
  <c r="AZ198" i="1"/>
  <c r="BA198" i="1"/>
  <c r="BB198" i="1"/>
  <c r="BC198" i="1"/>
  <c r="BD198" i="1"/>
  <c r="BE198" i="1"/>
  <c r="AY199" i="1"/>
  <c r="AZ199" i="1"/>
  <c r="BA199" i="1"/>
  <c r="BB199" i="1"/>
  <c r="BC199" i="1"/>
  <c r="BD199" i="1"/>
  <c r="BE199" i="1"/>
  <c r="AY200" i="1"/>
  <c r="AZ200" i="1"/>
  <c r="BA200" i="1"/>
  <c r="BB200" i="1"/>
  <c r="BC200" i="1"/>
  <c r="BD200" i="1"/>
  <c r="BE200" i="1"/>
  <c r="AY201" i="1"/>
  <c r="AZ201" i="1"/>
  <c r="BA201" i="1"/>
  <c r="BB201" i="1"/>
  <c r="BC201" i="1"/>
  <c r="BD201" i="1"/>
  <c r="BE201" i="1"/>
  <c r="AY202" i="1"/>
  <c r="AZ202" i="1"/>
  <c r="BA202" i="1"/>
  <c r="BB202" i="1"/>
  <c r="BC202" i="1"/>
  <c r="BD202" i="1"/>
  <c r="BE202" i="1"/>
  <c r="AY203" i="1"/>
  <c r="AZ203" i="1"/>
  <c r="BA203" i="1"/>
  <c r="BB203" i="1"/>
  <c r="BC203" i="1"/>
  <c r="BD203" i="1"/>
  <c r="BE203" i="1"/>
  <c r="AY204" i="1"/>
  <c r="AZ204" i="1"/>
  <c r="BA204" i="1"/>
  <c r="BB204" i="1"/>
  <c r="BC204" i="1"/>
  <c r="BD204" i="1"/>
  <c r="BE204" i="1"/>
  <c r="AY205" i="1"/>
  <c r="AZ205" i="1"/>
  <c r="BA205" i="1"/>
  <c r="BB205" i="1"/>
  <c r="BC205" i="1"/>
  <c r="BD205" i="1"/>
  <c r="BE205" i="1"/>
  <c r="AY206" i="1"/>
  <c r="AZ206" i="1"/>
  <c r="BA206" i="1"/>
  <c r="BB206" i="1"/>
  <c r="BC206" i="1"/>
  <c r="BD206" i="1"/>
  <c r="BE206" i="1"/>
  <c r="AY207" i="1"/>
  <c r="AZ207" i="1"/>
  <c r="BA207" i="1"/>
  <c r="BB207" i="1"/>
  <c r="BC207" i="1"/>
  <c r="BD207" i="1"/>
  <c r="BE207" i="1"/>
  <c r="AY209" i="1"/>
  <c r="AZ209" i="1"/>
  <c r="BA209" i="1"/>
  <c r="BB209" i="1"/>
  <c r="BC209" i="1"/>
  <c r="BD209" i="1"/>
  <c r="BE209" i="1"/>
  <c r="AY210" i="1"/>
  <c r="AZ210" i="1"/>
  <c r="BA210" i="1"/>
  <c r="BB210" i="1"/>
  <c r="BC210" i="1"/>
  <c r="BD210" i="1"/>
  <c r="BE210" i="1"/>
  <c r="AY212" i="1"/>
  <c r="AZ212" i="1"/>
  <c r="BA212" i="1"/>
  <c r="BB212" i="1"/>
  <c r="BC212" i="1"/>
  <c r="BD212" i="1"/>
  <c r="BE212" i="1"/>
  <c r="AY213" i="1"/>
  <c r="AZ213" i="1"/>
  <c r="BA213" i="1"/>
  <c r="BB213" i="1"/>
  <c r="BC213" i="1"/>
  <c r="BD213" i="1"/>
  <c r="BE213" i="1"/>
  <c r="AY214" i="1"/>
  <c r="AZ214" i="1"/>
  <c r="BA214" i="1"/>
  <c r="BB214" i="1"/>
  <c r="BC214" i="1"/>
  <c r="BD214" i="1"/>
  <c r="BE214" i="1"/>
  <c r="AY215" i="1"/>
  <c r="AZ215" i="1"/>
  <c r="BA215" i="1"/>
  <c r="BB215" i="1"/>
  <c r="BC215" i="1"/>
  <c r="BD215" i="1"/>
  <c r="BE215" i="1"/>
  <c r="AY216" i="1"/>
  <c r="AZ216" i="1"/>
  <c r="BA216" i="1"/>
  <c r="BB216" i="1"/>
  <c r="BC216" i="1"/>
  <c r="BD216" i="1"/>
  <c r="BE216" i="1"/>
  <c r="AY217" i="1"/>
  <c r="AZ217" i="1"/>
  <c r="BA217" i="1"/>
  <c r="BB217" i="1"/>
  <c r="BC217" i="1"/>
  <c r="BD217" i="1"/>
  <c r="BE217" i="1"/>
  <c r="AZ221" i="1"/>
  <c r="BA221" i="1"/>
  <c r="BB221" i="1"/>
  <c r="BC221" i="1"/>
  <c r="BD221" i="1"/>
  <c r="BE221" i="1"/>
  <c r="AY225" i="1"/>
  <c r="AZ225" i="1"/>
  <c r="BA225" i="1"/>
  <c r="BB225" i="1"/>
  <c r="BC225" i="1"/>
  <c r="BD225" i="1"/>
  <c r="BE225" i="1"/>
  <c r="AY226" i="1"/>
  <c r="AZ226" i="1"/>
  <c r="BA226" i="1"/>
  <c r="BB226" i="1"/>
  <c r="BC226" i="1"/>
  <c r="BD226" i="1"/>
  <c r="BE226" i="1"/>
  <c r="AY227" i="1"/>
  <c r="AZ227" i="1"/>
  <c r="BA227" i="1"/>
  <c r="BB227" i="1"/>
  <c r="BC227" i="1"/>
  <c r="BD227" i="1"/>
  <c r="BE227" i="1"/>
  <c r="AY228" i="1"/>
  <c r="AZ228" i="1"/>
  <c r="BA228" i="1"/>
  <c r="BB228" i="1"/>
  <c r="BC228" i="1"/>
  <c r="BD228" i="1"/>
  <c r="BE228" i="1"/>
  <c r="AY229" i="1"/>
  <c r="AZ229" i="1"/>
  <c r="BA229" i="1"/>
  <c r="BB229" i="1"/>
  <c r="BC229" i="1"/>
  <c r="BD229" i="1"/>
  <c r="BE229" i="1"/>
  <c r="AY232" i="1"/>
  <c r="AZ232" i="1"/>
  <c r="BA232" i="1"/>
  <c r="BB232" i="1"/>
  <c r="BC232" i="1"/>
  <c r="BD232" i="1"/>
  <c r="BE232" i="1"/>
  <c r="AY230" i="1"/>
  <c r="AZ230" i="1"/>
  <c r="BA230" i="1"/>
  <c r="BB230" i="1"/>
  <c r="BC230" i="1"/>
  <c r="BD230" i="1"/>
  <c r="BE230" i="1"/>
  <c r="AY233" i="1"/>
  <c r="AZ233" i="1"/>
  <c r="BA233" i="1"/>
  <c r="BB233" i="1"/>
  <c r="BC233" i="1"/>
  <c r="BD233" i="1"/>
  <c r="BE233" i="1"/>
  <c r="AY231" i="1"/>
  <c r="AZ231" i="1"/>
  <c r="BA231" i="1"/>
  <c r="BB231" i="1"/>
  <c r="BC231" i="1"/>
  <c r="BD231" i="1"/>
  <c r="BE231" i="1"/>
  <c r="AY270" i="1"/>
  <c r="AZ270" i="1"/>
  <c r="BA270" i="1"/>
  <c r="BB270" i="1"/>
  <c r="BC270" i="1"/>
  <c r="BD270" i="1"/>
  <c r="BE270" i="1"/>
  <c r="AY271" i="1"/>
  <c r="AZ271" i="1"/>
  <c r="BA271" i="1"/>
  <c r="BB271" i="1"/>
  <c r="BC271" i="1"/>
  <c r="BD271" i="1"/>
  <c r="BE271" i="1"/>
  <c r="AY272" i="1"/>
  <c r="AZ272" i="1"/>
  <c r="BA272" i="1"/>
  <c r="BB272" i="1"/>
  <c r="BC272" i="1"/>
  <c r="BD272" i="1"/>
  <c r="BE272" i="1"/>
  <c r="AY275" i="1"/>
  <c r="AZ275" i="1"/>
  <c r="BA275" i="1"/>
  <c r="BB275" i="1"/>
  <c r="BC275" i="1"/>
  <c r="BD275" i="1"/>
  <c r="BE275" i="1"/>
  <c r="AY277" i="1"/>
  <c r="AZ277" i="1"/>
  <c r="BA277" i="1"/>
  <c r="BB277" i="1"/>
  <c r="BC277" i="1"/>
  <c r="BD277" i="1"/>
  <c r="BE277" i="1"/>
  <c r="AY280" i="1"/>
  <c r="AZ280" i="1"/>
  <c r="BA280" i="1"/>
  <c r="BB280" i="1"/>
  <c r="BC280" i="1"/>
  <c r="BD280" i="1"/>
  <c r="BE280" i="1"/>
  <c r="AY281" i="1"/>
  <c r="AZ281" i="1"/>
  <c r="BA281" i="1"/>
  <c r="BB281" i="1"/>
  <c r="BC281" i="1"/>
  <c r="BD281" i="1"/>
  <c r="BE281" i="1"/>
  <c r="AY286" i="1"/>
  <c r="AZ286" i="1"/>
  <c r="BA286" i="1"/>
  <c r="BB286" i="1"/>
  <c r="BC286" i="1"/>
  <c r="BD286" i="1"/>
  <c r="BE286" i="1"/>
  <c r="AY287" i="1"/>
  <c r="AZ287" i="1"/>
  <c r="BA287" i="1"/>
  <c r="BB287" i="1"/>
  <c r="BC287" i="1"/>
  <c r="BD287" i="1"/>
  <c r="BE287" i="1"/>
  <c r="AY288" i="1"/>
  <c r="AZ288" i="1"/>
  <c r="BA288" i="1"/>
  <c r="BB288" i="1"/>
  <c r="BC288" i="1"/>
  <c r="BD288" i="1"/>
  <c r="BE288" i="1"/>
  <c r="AY294" i="1"/>
  <c r="AZ294" i="1"/>
  <c r="BA294" i="1"/>
  <c r="BB294" i="1"/>
  <c r="BC294" i="1"/>
  <c r="BD294" i="1"/>
  <c r="BE294" i="1"/>
  <c r="AY295" i="1"/>
  <c r="AZ295" i="1"/>
  <c r="BA295" i="1"/>
  <c r="BB295" i="1"/>
  <c r="BC295" i="1"/>
  <c r="BD295" i="1"/>
  <c r="BE295" i="1"/>
  <c r="AY296" i="1"/>
  <c r="AZ296" i="1"/>
  <c r="BA296" i="1"/>
  <c r="BB296" i="1"/>
  <c r="BC296" i="1"/>
  <c r="BD296" i="1"/>
  <c r="BE296" i="1"/>
  <c r="AY297" i="1"/>
  <c r="AZ297" i="1"/>
  <c r="BA297" i="1"/>
  <c r="BB297" i="1"/>
  <c r="BC297" i="1"/>
  <c r="BD297" i="1"/>
  <c r="BE297" i="1"/>
  <c r="AY298" i="1"/>
  <c r="AZ298" i="1"/>
  <c r="BA298" i="1"/>
  <c r="BB298" i="1"/>
  <c r="BC298" i="1"/>
  <c r="BD298" i="1"/>
  <c r="BE298" i="1"/>
  <c r="AY299" i="1"/>
  <c r="AZ299" i="1"/>
  <c r="BA299" i="1"/>
  <c r="BB299" i="1"/>
  <c r="BC299" i="1"/>
  <c r="BD299" i="1"/>
  <c r="BE299" i="1"/>
  <c r="AY300" i="1"/>
  <c r="AZ300" i="1"/>
  <c r="BA300" i="1"/>
  <c r="BB300" i="1"/>
  <c r="BC300" i="1"/>
  <c r="BD300" i="1"/>
  <c r="BE300" i="1"/>
  <c r="AY303" i="1"/>
  <c r="AZ303" i="1"/>
  <c r="BA303" i="1"/>
  <c r="BB303" i="1"/>
  <c r="BC303" i="1"/>
  <c r="BD303" i="1"/>
  <c r="BE303" i="1"/>
  <c r="AY304" i="1"/>
  <c r="AZ304" i="1"/>
  <c r="BA304" i="1"/>
  <c r="BB304" i="1"/>
  <c r="BC304" i="1"/>
  <c r="BD304" i="1"/>
  <c r="BE304" i="1"/>
  <c r="AY306" i="1"/>
  <c r="AZ306" i="1"/>
  <c r="BA306" i="1"/>
  <c r="BB306" i="1"/>
  <c r="BC306" i="1"/>
  <c r="BD306" i="1"/>
  <c r="BE306" i="1"/>
  <c r="AY311" i="1"/>
  <c r="AZ311" i="1"/>
  <c r="BA311" i="1"/>
  <c r="BB311" i="1"/>
  <c r="BC311" i="1"/>
  <c r="BD311" i="1"/>
  <c r="BE311" i="1"/>
  <c r="AY312" i="1"/>
  <c r="AZ312" i="1"/>
  <c r="BA312" i="1"/>
  <c r="BB312" i="1"/>
  <c r="BC312" i="1"/>
  <c r="BD312" i="1"/>
  <c r="BE312" i="1"/>
  <c r="AY313" i="1"/>
  <c r="AZ313" i="1"/>
  <c r="BA313" i="1"/>
  <c r="BB313" i="1"/>
  <c r="BC313" i="1"/>
  <c r="BD313" i="1"/>
  <c r="BE313" i="1"/>
  <c r="AY314" i="1"/>
  <c r="AZ314" i="1"/>
  <c r="BA314" i="1"/>
  <c r="BB314" i="1"/>
  <c r="BC314" i="1"/>
  <c r="BD314" i="1"/>
  <c r="BE314" i="1"/>
  <c r="AY315" i="1"/>
  <c r="AZ315" i="1"/>
  <c r="BA315" i="1"/>
  <c r="BB315" i="1"/>
  <c r="BC315" i="1"/>
  <c r="BD315" i="1"/>
  <c r="BE315" i="1"/>
  <c r="AY316" i="1"/>
  <c r="AZ316" i="1"/>
  <c r="BA316" i="1"/>
  <c r="BB316" i="1"/>
  <c r="BC316" i="1"/>
  <c r="BD316" i="1"/>
  <c r="BE316" i="1"/>
  <c r="AY317" i="1"/>
  <c r="AZ317" i="1"/>
  <c r="BA317" i="1"/>
  <c r="BB317" i="1"/>
  <c r="BC317" i="1"/>
  <c r="BD317" i="1"/>
  <c r="BE317" i="1"/>
  <c r="AX5" i="1"/>
  <c r="AX6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68" i="1"/>
  <c r="AX69" i="1"/>
  <c r="AX70" i="1"/>
  <c r="AX71" i="1"/>
  <c r="AX72" i="1"/>
  <c r="AX73" i="1"/>
  <c r="AX74" i="1"/>
  <c r="AX75" i="1"/>
  <c r="AX77" i="1"/>
  <c r="AX78" i="1"/>
  <c r="AX79" i="1"/>
  <c r="AX80" i="1"/>
  <c r="AX81" i="1"/>
  <c r="AX82" i="1"/>
  <c r="AX83" i="1"/>
  <c r="AX84" i="1"/>
  <c r="AX86" i="1"/>
  <c r="AX88" i="1"/>
  <c r="AX89" i="1"/>
  <c r="AX90" i="1"/>
  <c r="AX91" i="1"/>
  <c r="AX92" i="1"/>
  <c r="AX93" i="1"/>
  <c r="AX94" i="1"/>
  <c r="AX95" i="1"/>
  <c r="AX96" i="1"/>
  <c r="AX97" i="1"/>
  <c r="AX98" i="1"/>
  <c r="AX99" i="1"/>
  <c r="AX100" i="1"/>
  <c r="AX101" i="1"/>
  <c r="AX102" i="1"/>
  <c r="AX103" i="1"/>
  <c r="AX104" i="1"/>
  <c r="AX105" i="1"/>
  <c r="AX106" i="1"/>
  <c r="AX107" i="1"/>
  <c r="AX108" i="1"/>
  <c r="AX109" i="1"/>
  <c r="AX110" i="1"/>
  <c r="AX111" i="1"/>
  <c r="AX112" i="1"/>
  <c r="AX113" i="1"/>
  <c r="AX114" i="1"/>
  <c r="AX115" i="1"/>
  <c r="AX116" i="1"/>
  <c r="AX117" i="1"/>
  <c r="AX118" i="1"/>
  <c r="AX119" i="1"/>
  <c r="AX120" i="1"/>
  <c r="AX121" i="1"/>
  <c r="AX122" i="1"/>
  <c r="AX123" i="1"/>
  <c r="AX124" i="1"/>
  <c r="AX125" i="1"/>
  <c r="AX126" i="1"/>
  <c r="AX127" i="1"/>
  <c r="AX128" i="1"/>
  <c r="AX129" i="1"/>
  <c r="AX130" i="1"/>
  <c r="AX131" i="1"/>
  <c r="AX132" i="1"/>
  <c r="AX133" i="1"/>
  <c r="AX134" i="1"/>
  <c r="AX135" i="1"/>
  <c r="AX136" i="1"/>
  <c r="AX137" i="1"/>
  <c r="AX138" i="1"/>
  <c r="AX139" i="1"/>
  <c r="AX140" i="1"/>
  <c r="AX141" i="1"/>
  <c r="AX142" i="1"/>
  <c r="AX143" i="1"/>
  <c r="AX144" i="1"/>
  <c r="AX145" i="1"/>
  <c r="AX146" i="1"/>
  <c r="AX147" i="1"/>
  <c r="AX148" i="1"/>
  <c r="AX149" i="1"/>
  <c r="AX150" i="1"/>
  <c r="AX151" i="1"/>
  <c r="AX152" i="1"/>
  <c r="AX153" i="1"/>
  <c r="AX154" i="1"/>
  <c r="AX155" i="1"/>
  <c r="AX156" i="1"/>
  <c r="AX157" i="1"/>
  <c r="AX158" i="1"/>
  <c r="AX159" i="1"/>
  <c r="AX160" i="1"/>
  <c r="AX161" i="1"/>
  <c r="AX162" i="1"/>
  <c r="AX163" i="1"/>
  <c r="AX164" i="1"/>
  <c r="AX165" i="1"/>
  <c r="AX166" i="1"/>
  <c r="AX167" i="1"/>
  <c r="AX168" i="1"/>
  <c r="AX169" i="1"/>
  <c r="AX170" i="1"/>
  <c r="AX171" i="1"/>
  <c r="AX172" i="1"/>
  <c r="AX173" i="1"/>
  <c r="AX174" i="1"/>
  <c r="AX180" i="1"/>
  <c r="AX181" i="1"/>
  <c r="AX182" i="1"/>
  <c r="AX183" i="1"/>
  <c r="AX184" i="1"/>
  <c r="AX187" i="1"/>
  <c r="AX188" i="1"/>
  <c r="AX189" i="1"/>
  <c r="AX190" i="1"/>
  <c r="AX191" i="1"/>
  <c r="AX192" i="1"/>
  <c r="AX193" i="1"/>
  <c r="AX194" i="1"/>
  <c r="AX195" i="1"/>
  <c r="AX196" i="1"/>
  <c r="AX197" i="1"/>
  <c r="AX198" i="1"/>
  <c r="AX199" i="1"/>
  <c r="AX200" i="1"/>
  <c r="AX201" i="1"/>
  <c r="AX202" i="1"/>
  <c r="AX203" i="1"/>
  <c r="AX204" i="1"/>
  <c r="AX205" i="1"/>
  <c r="AX206" i="1"/>
  <c r="AX207" i="1"/>
  <c r="AX209" i="1"/>
  <c r="AX210" i="1"/>
  <c r="AX212" i="1"/>
  <c r="AX213" i="1"/>
  <c r="AX214" i="1"/>
  <c r="AX215" i="1"/>
  <c r="AX216" i="1"/>
  <c r="AX217" i="1"/>
  <c r="AX221" i="1"/>
  <c r="AX225" i="1"/>
  <c r="AX226" i="1"/>
  <c r="AX227" i="1"/>
  <c r="AX228" i="1"/>
  <c r="AX229" i="1"/>
  <c r="AX232" i="1"/>
  <c r="AX230" i="1"/>
  <c r="AX233" i="1"/>
  <c r="AX231" i="1"/>
  <c r="AX270" i="1"/>
  <c r="AX271" i="1"/>
  <c r="AX272" i="1"/>
  <c r="AX275" i="1"/>
  <c r="AX277" i="1"/>
  <c r="AX280" i="1"/>
  <c r="AX281" i="1"/>
  <c r="AX286" i="1"/>
  <c r="AX287" i="1"/>
  <c r="AX288" i="1"/>
  <c r="AX294" i="1"/>
  <c r="AX295" i="1"/>
  <c r="AX296" i="1"/>
  <c r="AX297" i="1"/>
  <c r="AX298" i="1"/>
  <c r="AX299" i="1"/>
  <c r="AX300" i="1"/>
  <c r="AX303" i="1"/>
  <c r="AX304" i="1"/>
  <c r="AX306" i="1"/>
  <c r="AX311" i="1"/>
  <c r="AX312" i="1"/>
  <c r="AX313" i="1"/>
  <c r="AX314" i="1"/>
  <c r="AX315" i="1"/>
  <c r="AX316" i="1"/>
  <c r="AX317" i="1"/>
  <c r="AP5" i="1"/>
  <c r="AP6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7" i="1"/>
  <c r="AP78" i="1"/>
  <c r="AP79" i="1"/>
  <c r="AP80" i="1"/>
  <c r="AP81" i="1"/>
  <c r="AP82" i="1"/>
  <c r="AP83" i="1"/>
  <c r="AP84" i="1"/>
  <c r="AP86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14" i="1"/>
  <c r="AP115" i="1"/>
  <c r="AP116" i="1"/>
  <c r="AP117" i="1"/>
  <c r="AP118" i="1"/>
  <c r="AP119" i="1"/>
  <c r="AP120" i="1"/>
  <c r="AP121" i="1"/>
  <c r="AP122" i="1"/>
  <c r="AP123" i="1"/>
  <c r="AP124" i="1"/>
  <c r="AP125" i="1"/>
  <c r="AP126" i="1"/>
  <c r="AP127" i="1"/>
  <c r="AP128" i="1"/>
  <c r="AP129" i="1"/>
  <c r="AP130" i="1"/>
  <c r="AP131" i="1"/>
  <c r="AP132" i="1"/>
  <c r="AP133" i="1"/>
  <c r="AP134" i="1"/>
  <c r="AP135" i="1"/>
  <c r="AP136" i="1"/>
  <c r="AP137" i="1"/>
  <c r="AP138" i="1"/>
  <c r="AP139" i="1"/>
  <c r="AP140" i="1"/>
  <c r="AP141" i="1"/>
  <c r="AP142" i="1"/>
  <c r="AP143" i="1"/>
  <c r="AP144" i="1"/>
  <c r="AP145" i="1"/>
  <c r="AP146" i="1"/>
  <c r="AP147" i="1"/>
  <c r="AP148" i="1"/>
  <c r="AP149" i="1"/>
  <c r="AP150" i="1"/>
  <c r="AP151" i="1"/>
  <c r="AP152" i="1"/>
  <c r="AP153" i="1"/>
  <c r="AP154" i="1"/>
  <c r="AP155" i="1"/>
  <c r="AP156" i="1"/>
  <c r="AP157" i="1"/>
  <c r="AP158" i="1"/>
  <c r="AP159" i="1"/>
  <c r="AP160" i="1"/>
  <c r="AP161" i="1"/>
  <c r="AP162" i="1"/>
  <c r="AP163" i="1"/>
  <c r="AP164" i="1"/>
  <c r="AP165" i="1"/>
  <c r="AP166" i="1"/>
  <c r="AP167" i="1"/>
  <c r="AP168" i="1"/>
  <c r="AP169" i="1"/>
  <c r="AP170" i="1"/>
  <c r="AP171" i="1"/>
  <c r="AP172" i="1"/>
  <c r="AP173" i="1"/>
  <c r="AP174" i="1"/>
  <c r="AP180" i="1"/>
  <c r="AP181" i="1"/>
  <c r="AP182" i="1"/>
  <c r="AP183" i="1"/>
  <c r="AP184" i="1"/>
  <c r="AP188" i="1"/>
  <c r="AP189" i="1"/>
  <c r="AP190" i="1"/>
  <c r="AP191" i="1"/>
  <c r="AP192" i="1"/>
  <c r="AP193" i="1"/>
  <c r="AP194" i="1"/>
  <c r="AP195" i="1"/>
  <c r="AP196" i="1"/>
  <c r="AP197" i="1"/>
  <c r="AP198" i="1"/>
  <c r="AP199" i="1"/>
  <c r="AP200" i="1"/>
  <c r="AP201" i="1"/>
  <c r="AP202" i="1"/>
  <c r="AP203" i="1"/>
  <c r="AP204" i="1"/>
  <c r="AP205" i="1"/>
  <c r="AP206" i="1"/>
  <c r="AP207" i="1"/>
  <c r="AP209" i="1"/>
  <c r="AP210" i="1"/>
  <c r="AP212" i="1"/>
  <c r="AP213" i="1"/>
  <c r="AP214" i="1"/>
  <c r="AP215" i="1"/>
  <c r="AP216" i="1"/>
  <c r="AP217" i="1"/>
  <c r="AP221" i="1"/>
  <c r="AP225" i="1"/>
  <c r="AP226" i="1"/>
  <c r="AP227" i="1"/>
  <c r="AP228" i="1"/>
  <c r="AP229" i="1"/>
  <c r="AP232" i="1"/>
  <c r="AP230" i="1"/>
  <c r="AP233" i="1"/>
  <c r="AP231" i="1"/>
  <c r="AP270" i="1"/>
  <c r="AP271" i="1"/>
  <c r="AP272" i="1"/>
  <c r="AP275" i="1"/>
  <c r="AP277" i="1"/>
  <c r="AP280" i="1"/>
  <c r="AP281" i="1"/>
  <c r="AP286" i="1"/>
  <c r="AP287" i="1"/>
  <c r="AP288" i="1"/>
  <c r="AP294" i="1"/>
  <c r="AP295" i="1"/>
  <c r="AP296" i="1"/>
  <c r="AP297" i="1"/>
  <c r="AP298" i="1"/>
  <c r="AP299" i="1"/>
  <c r="AP300" i="1"/>
  <c r="AP303" i="1"/>
  <c r="AP304" i="1"/>
  <c r="AP306" i="1"/>
  <c r="AP311" i="1"/>
  <c r="AP312" i="1"/>
  <c r="AP313" i="1"/>
  <c r="AP314" i="1"/>
  <c r="AP315" i="1"/>
  <c r="AP316" i="1"/>
  <c r="AP317" i="1"/>
  <c r="AH5" i="1"/>
  <c r="AH6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7" i="1"/>
  <c r="AH78" i="1"/>
  <c r="AH79" i="1"/>
  <c r="AH80" i="1"/>
  <c r="AH81" i="1"/>
  <c r="AH82" i="1"/>
  <c r="AH83" i="1"/>
  <c r="AH84" i="1"/>
  <c r="AH86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80" i="1"/>
  <c r="AH181" i="1"/>
  <c r="AH182" i="1"/>
  <c r="AH183" i="1"/>
  <c r="AH184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9" i="1"/>
  <c r="AH210" i="1"/>
  <c r="AH212" i="1"/>
  <c r="AH213" i="1"/>
  <c r="AH214" i="1"/>
  <c r="AH215" i="1"/>
  <c r="AH216" i="1"/>
  <c r="AH217" i="1"/>
  <c r="AH221" i="1"/>
  <c r="AH225" i="1"/>
  <c r="AH226" i="1"/>
  <c r="AH227" i="1"/>
  <c r="AH228" i="1"/>
  <c r="AH229" i="1"/>
  <c r="AH232" i="1"/>
  <c r="AH230" i="1"/>
  <c r="AH233" i="1"/>
  <c r="AH231" i="1"/>
  <c r="AH270" i="1"/>
  <c r="AH271" i="1"/>
  <c r="AH272" i="1"/>
  <c r="AH275" i="1"/>
  <c r="AH277" i="1"/>
  <c r="AH280" i="1"/>
  <c r="AH281" i="1"/>
  <c r="AH286" i="1"/>
  <c r="AH287" i="1"/>
  <c r="AH288" i="1"/>
  <c r="AH294" i="1"/>
  <c r="AH295" i="1"/>
  <c r="AH296" i="1"/>
  <c r="AH297" i="1"/>
  <c r="AH298" i="1"/>
  <c r="AH299" i="1"/>
  <c r="AH300" i="1"/>
  <c r="AH303" i="1"/>
  <c r="AH304" i="1"/>
  <c r="AH306" i="1"/>
  <c r="AH311" i="1"/>
  <c r="AH312" i="1"/>
  <c r="AH313" i="1"/>
  <c r="AH314" i="1"/>
  <c r="AH315" i="1"/>
  <c r="AH316" i="1"/>
  <c r="AH317" i="1"/>
  <c r="Z5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7" i="1"/>
  <c r="Z78" i="1"/>
  <c r="Z79" i="1"/>
  <c r="Z80" i="1"/>
  <c r="Z81" i="1"/>
  <c r="Z83" i="1"/>
  <c r="Z84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80" i="1"/>
  <c r="Z181" i="1"/>
  <c r="Z182" i="1"/>
  <c r="Z183" i="1"/>
  <c r="Z184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9" i="1"/>
  <c r="Z210" i="1"/>
  <c r="Z212" i="1"/>
  <c r="Z213" i="1"/>
  <c r="Z214" i="1"/>
  <c r="Z215" i="1"/>
  <c r="Z216" i="1"/>
  <c r="Z217" i="1"/>
  <c r="AH89" i="5" l="1"/>
  <c r="AH83" i="5"/>
  <c r="AX83" i="5"/>
  <c r="AX89" i="5"/>
  <c r="BD89" i="5"/>
  <c r="BD83" i="5"/>
  <c r="BA83" i="5"/>
  <c r="BA89" i="5"/>
  <c r="AY83" i="5"/>
  <c r="AY89" i="5"/>
  <c r="Z89" i="5"/>
  <c r="Z83" i="5"/>
  <c r="AP89" i="5"/>
  <c r="BC89" i="5"/>
  <c r="BC83" i="5"/>
  <c r="BE89" i="5"/>
  <c r="BE83" i="5"/>
  <c r="AZ83" i="5"/>
  <c r="AZ89" i="5"/>
  <c r="BB89" i="5"/>
  <c r="Q36" i="6"/>
  <c r="O36" i="6"/>
  <c r="S29" i="6"/>
  <c r="T29" i="6"/>
  <c r="P36" i="6"/>
  <c r="BE330" i="1"/>
  <c r="BC330" i="1"/>
  <c r="AZ330" i="1"/>
  <c r="Y318" i="1"/>
  <c r="AW326" i="1"/>
  <c r="AZ326" i="1"/>
  <c r="AH90" i="5"/>
  <c r="AZ90" i="5"/>
  <c r="BB90" i="5"/>
  <c r="BD90" i="5"/>
  <c r="BA90" i="5"/>
  <c r="BC90" i="5"/>
  <c r="BE90" i="5"/>
  <c r="BF91" i="5"/>
  <c r="AX90" i="5"/>
  <c r="Z90" i="5"/>
  <c r="BD333" i="1"/>
  <c r="BD324" i="1"/>
  <c r="BD235" i="1"/>
  <c r="AV318" i="1"/>
  <c r="AV326" i="1"/>
  <c r="Z236" i="1"/>
  <c r="AU236" i="1" s="1"/>
  <c r="AX236" i="1" s="1"/>
  <c r="BF331" i="1"/>
  <c r="BB333" i="1"/>
  <c r="AZ333" i="1"/>
  <c r="BE332" i="1"/>
  <c r="BC332" i="1"/>
  <c r="BA332" i="1"/>
  <c r="BB330" i="1"/>
  <c r="BE329" i="1"/>
  <c r="BC329" i="1"/>
  <c r="BA329" i="1"/>
  <c r="BB328" i="1"/>
  <c r="BE328" i="1"/>
  <c r="BC328" i="1"/>
  <c r="BA328" i="1"/>
  <c r="BE327" i="1"/>
  <c r="BC327" i="1"/>
  <c r="BA327" i="1"/>
  <c r="BC325" i="1"/>
  <c r="BE325" i="1"/>
  <c r="BA325" i="1"/>
  <c r="BE323" i="1"/>
  <c r="BC323" i="1"/>
  <c r="BA326" i="1"/>
  <c r="AW318" i="1"/>
  <c r="BD332" i="1"/>
  <c r="BD330" i="1"/>
  <c r="BD329" i="1"/>
  <c r="AZ329" i="1"/>
  <c r="BD328" i="1"/>
  <c r="BD327" i="1"/>
  <c r="AZ327" i="1"/>
  <c r="BD325" i="1"/>
  <c r="AZ325" i="1"/>
  <c r="BC324" i="1"/>
  <c r="BA324" i="1"/>
  <c r="AY318" i="1"/>
  <c r="AY324" i="1"/>
  <c r="Y326" i="1"/>
  <c r="Z235" i="1"/>
  <c r="AU235" i="1" s="1"/>
  <c r="BB242" i="1"/>
  <c r="BB326" i="1" s="1"/>
  <c r="AT318" i="1"/>
  <c r="AT326" i="1"/>
  <c r="BE333" i="1"/>
  <c r="BC333" i="1"/>
  <c r="BA333" i="1"/>
  <c r="BB332" i="1"/>
  <c r="AZ332" i="1"/>
  <c r="BB329" i="1"/>
  <c r="AZ328" i="1"/>
  <c r="BB327" i="1"/>
  <c r="BB325" i="1"/>
  <c r="AZ323" i="1"/>
  <c r="BE324" i="1"/>
  <c r="BB324" i="1"/>
  <c r="AZ92" i="5"/>
  <c r="E3" i="6" s="1"/>
  <c r="BB92" i="5"/>
  <c r="BF4" i="5"/>
  <c r="BD92" i="5"/>
  <c r="E7" i="6" s="1"/>
  <c r="BA92" i="5"/>
  <c r="BA330" i="1"/>
  <c r="BB323" i="1"/>
  <c r="BD323" i="1"/>
  <c r="BE15" i="5"/>
  <c r="Y92" i="5"/>
  <c r="BF51" i="5"/>
  <c r="BF53" i="5"/>
  <c r="BF7" i="5"/>
  <c r="BF9" i="5"/>
  <c r="BF12" i="5"/>
  <c r="BF14" i="5"/>
  <c r="BF17" i="5"/>
  <c r="BF18" i="5"/>
  <c r="BF24" i="5"/>
  <c r="BF26" i="5"/>
  <c r="BF28" i="5"/>
  <c r="BF30" i="5"/>
  <c r="BF32" i="5"/>
  <c r="BF34" i="5"/>
  <c r="BF36" i="5"/>
  <c r="BF38" i="5"/>
  <c r="BF40" i="5"/>
  <c r="BF42" i="5"/>
  <c r="BF46" i="5"/>
  <c r="BF48" i="5"/>
  <c r="BF49" i="5"/>
  <c r="BF5" i="5"/>
  <c r="BF268" i="1"/>
  <c r="BF240" i="1"/>
  <c r="BF244" i="1"/>
  <c r="BF247" i="1"/>
  <c r="BF249" i="1"/>
  <c r="BF251" i="1"/>
  <c r="BF253" i="1"/>
  <c r="BF255" i="1"/>
  <c r="BF260" i="1"/>
  <c r="BF258" i="1"/>
  <c r="BF281" i="1"/>
  <c r="BF237" i="1"/>
  <c r="BF263" i="1"/>
  <c r="BF265" i="1"/>
  <c r="BF267" i="1"/>
  <c r="BF178" i="1"/>
  <c r="AY325" i="1"/>
  <c r="BF179" i="1"/>
  <c r="BF177" i="1"/>
  <c r="BF175" i="1"/>
  <c r="BF176" i="1"/>
  <c r="BF241" i="1"/>
  <c r="BF243" i="1"/>
  <c r="BF245" i="1"/>
  <c r="BF248" i="1"/>
  <c r="BF250" i="1"/>
  <c r="BF252" i="1"/>
  <c r="BF254" i="1"/>
  <c r="BF256" i="1"/>
  <c r="BF259" i="1"/>
  <c r="BF261" i="1"/>
  <c r="BF262" i="1"/>
  <c r="BF264" i="1"/>
  <c r="BF266" i="1"/>
  <c r="BF269" i="1"/>
  <c r="BE238" i="1"/>
  <c r="BF238" i="1" s="1"/>
  <c r="AX238" i="1"/>
  <c r="BF257" i="1"/>
  <c r="BE246" i="1"/>
  <c r="BF246" i="1" s="1"/>
  <c r="AX246" i="1"/>
  <c r="BE235" i="1"/>
  <c r="BE236" i="1"/>
  <c r="BE239" i="1"/>
  <c r="BF239" i="1" s="1"/>
  <c r="AX242" i="1"/>
  <c r="AX257" i="1"/>
  <c r="BF44" i="5"/>
  <c r="BF55" i="5"/>
  <c r="BF6" i="5"/>
  <c r="BF8" i="5"/>
  <c r="BF10" i="5"/>
  <c r="Z16" i="5"/>
  <c r="BF16" i="5" s="1"/>
  <c r="BF23" i="5"/>
  <c r="BF25" i="5"/>
  <c r="BF27" i="5"/>
  <c r="BF29" i="5"/>
  <c r="BF31" i="5"/>
  <c r="BF33" i="5"/>
  <c r="BF35" i="5"/>
  <c r="BF37" i="5"/>
  <c r="BF39" i="5"/>
  <c r="BF41" i="5"/>
  <c r="BF43" i="5"/>
  <c r="BF45" i="5"/>
  <c r="BF47" i="5"/>
  <c r="BF50" i="5"/>
  <c r="BF52" i="5"/>
  <c r="BF54" i="5"/>
  <c r="Z15" i="5"/>
  <c r="BF15" i="5" s="1"/>
  <c r="BF288" i="1"/>
  <c r="BF286" i="1"/>
  <c r="BF316" i="1"/>
  <c r="BF314" i="1"/>
  <c r="BF312" i="1"/>
  <c r="BF304" i="1"/>
  <c r="BF300" i="1"/>
  <c r="BF298" i="1"/>
  <c r="BF296" i="1"/>
  <c r="BF294" i="1"/>
  <c r="BF287" i="1"/>
  <c r="BF184" i="1"/>
  <c r="BF194" i="1"/>
  <c r="BF192" i="1"/>
  <c r="BF190" i="1"/>
  <c r="BF188" i="1"/>
  <c r="BF182" i="1"/>
  <c r="BF317" i="1"/>
  <c r="BF315" i="1"/>
  <c r="BF313" i="1"/>
  <c r="BF311" i="1"/>
  <c r="BF306" i="1"/>
  <c r="BF303" i="1"/>
  <c r="BF299" i="1"/>
  <c r="BF297" i="1"/>
  <c r="BF295" i="1"/>
  <c r="BF280" i="1"/>
  <c r="BF199" i="1"/>
  <c r="BF197" i="1"/>
  <c r="BF195" i="1"/>
  <c r="BF193" i="1"/>
  <c r="BF191" i="1"/>
  <c r="BF189" i="1"/>
  <c r="BF183" i="1"/>
  <c r="BF200" i="1"/>
  <c r="BF198" i="1"/>
  <c r="BF196" i="1"/>
  <c r="BF277" i="1"/>
  <c r="BF272" i="1"/>
  <c r="BF231" i="1"/>
  <c r="BF230" i="1"/>
  <c r="BF229" i="1"/>
  <c r="BF227" i="1"/>
  <c r="BF217" i="1"/>
  <c r="BF215" i="1"/>
  <c r="BF213" i="1"/>
  <c r="BF210" i="1"/>
  <c r="BF206" i="1"/>
  <c r="BF204" i="1"/>
  <c r="BF202" i="1"/>
  <c r="BF181" i="1"/>
  <c r="BF174" i="1"/>
  <c r="BF172" i="1"/>
  <c r="BF170" i="1"/>
  <c r="BF168" i="1"/>
  <c r="BF166" i="1"/>
  <c r="BF164" i="1"/>
  <c r="BF162" i="1"/>
  <c r="BF160" i="1"/>
  <c r="BF158" i="1"/>
  <c r="BF156" i="1"/>
  <c r="BF154" i="1"/>
  <c r="BF152" i="1"/>
  <c r="BF150" i="1"/>
  <c r="BF148" i="1"/>
  <c r="BF146" i="1"/>
  <c r="BF144" i="1"/>
  <c r="BF142" i="1"/>
  <c r="BF140" i="1"/>
  <c r="BF138" i="1"/>
  <c r="BF136" i="1"/>
  <c r="BF134" i="1"/>
  <c r="BF132" i="1"/>
  <c r="BF130" i="1"/>
  <c r="BF128" i="1"/>
  <c r="BF126" i="1"/>
  <c r="BF124" i="1"/>
  <c r="BF122" i="1"/>
  <c r="BF120" i="1"/>
  <c r="BF118" i="1"/>
  <c r="BF116" i="1"/>
  <c r="BF114" i="1"/>
  <c r="BF112" i="1"/>
  <c r="BF110" i="1"/>
  <c r="BF108" i="1"/>
  <c r="BF106" i="1"/>
  <c r="BF104" i="1"/>
  <c r="BF102" i="1"/>
  <c r="BF100" i="1"/>
  <c r="BF98" i="1"/>
  <c r="BF96" i="1"/>
  <c r="BF94" i="1"/>
  <c r="BF92" i="1"/>
  <c r="BF233" i="1"/>
  <c r="BF232" i="1"/>
  <c r="BF228" i="1"/>
  <c r="BF226" i="1"/>
  <c r="BF225" i="1"/>
  <c r="BF221" i="1"/>
  <c r="BF216" i="1"/>
  <c r="BF214" i="1"/>
  <c r="BF212" i="1"/>
  <c r="BF209" i="1"/>
  <c r="BF207" i="1"/>
  <c r="BF205" i="1"/>
  <c r="BF203" i="1"/>
  <c r="BF180" i="1"/>
  <c r="BF173" i="1"/>
  <c r="BF171" i="1"/>
  <c r="BF169" i="1"/>
  <c r="BF167" i="1"/>
  <c r="BF165" i="1"/>
  <c r="BF163" i="1"/>
  <c r="BF161" i="1"/>
  <c r="BF159" i="1"/>
  <c r="BF157" i="1"/>
  <c r="BF155" i="1"/>
  <c r="BF153" i="1"/>
  <c r="BF151" i="1"/>
  <c r="BF149" i="1"/>
  <c r="BF147" i="1"/>
  <c r="BF145" i="1"/>
  <c r="BF143" i="1"/>
  <c r="BF141" i="1"/>
  <c r="BF139" i="1"/>
  <c r="BF137" i="1"/>
  <c r="BF135" i="1"/>
  <c r="BF133" i="1"/>
  <c r="BF131" i="1"/>
  <c r="BF129" i="1"/>
  <c r="BF127" i="1"/>
  <c r="BF125" i="1"/>
  <c r="BF123" i="1"/>
  <c r="BF121" i="1"/>
  <c r="BF119" i="1"/>
  <c r="BF117" i="1"/>
  <c r="BF115" i="1"/>
  <c r="BF113" i="1"/>
  <c r="BF111" i="1"/>
  <c r="BF109" i="1"/>
  <c r="BF107" i="1"/>
  <c r="BF105" i="1"/>
  <c r="BF103" i="1"/>
  <c r="BF101" i="1"/>
  <c r="BF99" i="1"/>
  <c r="BF97" i="1"/>
  <c r="BF95" i="1"/>
  <c r="BF93" i="1"/>
  <c r="BF275" i="1"/>
  <c r="BF271" i="1"/>
  <c r="BF270" i="1"/>
  <c r="BF201" i="1"/>
  <c r="BF5" i="1"/>
  <c r="BF91" i="1"/>
  <c r="BF89" i="1"/>
  <c r="BF86" i="1"/>
  <c r="BF83" i="1"/>
  <c r="BF81" i="1"/>
  <c r="BF79" i="1"/>
  <c r="BF77" i="1"/>
  <c r="BF74" i="1"/>
  <c r="BF72" i="1"/>
  <c r="BF70" i="1"/>
  <c r="BF68" i="1"/>
  <c r="BF66" i="1"/>
  <c r="BF64" i="1"/>
  <c r="BF62" i="1"/>
  <c r="BF60" i="1"/>
  <c r="BF58" i="1"/>
  <c r="BF56" i="1"/>
  <c r="BF54" i="1"/>
  <c r="BF52" i="1"/>
  <c r="BF50" i="1"/>
  <c r="BF48" i="1"/>
  <c r="BF46" i="1"/>
  <c r="BF44" i="1"/>
  <c r="BF42" i="1"/>
  <c r="BF40" i="1"/>
  <c r="BF38" i="1"/>
  <c r="BF36" i="1"/>
  <c r="BF34" i="1"/>
  <c r="BF32" i="1"/>
  <c r="BF30" i="1"/>
  <c r="BF28" i="1"/>
  <c r="BF26" i="1"/>
  <c r="BF24" i="1"/>
  <c r="BF22" i="1"/>
  <c r="BF20" i="1"/>
  <c r="BF18" i="1"/>
  <c r="BF16" i="1"/>
  <c r="BF14" i="1"/>
  <c r="BF12" i="1"/>
  <c r="BF10" i="1"/>
  <c r="BF8" i="1"/>
  <c r="BF90" i="1"/>
  <c r="BF88" i="1"/>
  <c r="BF84" i="1"/>
  <c r="BF80" i="1"/>
  <c r="BF78" i="1"/>
  <c r="BF75" i="1"/>
  <c r="BF73" i="1"/>
  <c r="BF71" i="1"/>
  <c r="BF69" i="1"/>
  <c r="BF67" i="1"/>
  <c r="BF65" i="1"/>
  <c r="BF63" i="1"/>
  <c r="BF61" i="1"/>
  <c r="BF59" i="1"/>
  <c r="BF57" i="1"/>
  <c r="BF55" i="1"/>
  <c r="BF53" i="1"/>
  <c r="BF51" i="1"/>
  <c r="BF49" i="1"/>
  <c r="BF47" i="1"/>
  <c r="BF45" i="1"/>
  <c r="BF43" i="1"/>
  <c r="BF41" i="1"/>
  <c r="BF39" i="1"/>
  <c r="BF37" i="1"/>
  <c r="BF35" i="1"/>
  <c r="BF33" i="1"/>
  <c r="BF31" i="1"/>
  <c r="BF29" i="1"/>
  <c r="BF27" i="1"/>
  <c r="BF25" i="1"/>
  <c r="BF23" i="1"/>
  <c r="BF21" i="1"/>
  <c r="BF19" i="1"/>
  <c r="BF17" i="1"/>
  <c r="BF15" i="1"/>
  <c r="BF13" i="1"/>
  <c r="BF11" i="1"/>
  <c r="BF9" i="1"/>
  <c r="BF6" i="1"/>
  <c r="BF83" i="5" l="1"/>
  <c r="BF89" i="5"/>
  <c r="BF242" i="1"/>
  <c r="BB318" i="1"/>
  <c r="V29" i="6"/>
  <c r="BC236" i="1"/>
  <c r="BF236" i="1" s="1"/>
  <c r="Y93" i="5"/>
  <c r="N35" i="6"/>
  <c r="N36" i="6" s="1"/>
  <c r="BF90" i="5"/>
  <c r="AU318" i="1"/>
  <c r="AU326" i="1"/>
  <c r="BC235" i="1"/>
  <c r="BF235" i="1" s="1"/>
  <c r="AX235" i="1"/>
  <c r="BD326" i="1"/>
  <c r="BE326" i="1"/>
  <c r="BD318" i="1"/>
  <c r="BE318" i="1"/>
  <c r="BF325" i="1"/>
  <c r="E5" i="6"/>
  <c r="BB93" i="5"/>
  <c r="AX92" i="5"/>
  <c r="AX93" i="5" s="1"/>
  <c r="AZ93" i="5"/>
  <c r="AH92" i="5"/>
  <c r="AH93" i="5" s="1"/>
  <c r="AY92" i="5"/>
  <c r="E2" i="6" s="1"/>
  <c r="BA93" i="5"/>
  <c r="E4" i="6"/>
  <c r="AP92" i="5"/>
  <c r="AP93" i="5" s="1"/>
  <c r="BD93" i="5"/>
  <c r="BC92" i="5"/>
  <c r="Z92" i="5"/>
  <c r="Z93" i="5" s="1"/>
  <c r="Z68" i="4"/>
  <c r="AH68" i="4"/>
  <c r="AX68" i="4"/>
  <c r="R68" i="4"/>
  <c r="Y68" i="4" s="1"/>
  <c r="Y69" i="4" s="1"/>
  <c r="Y70" i="4" s="1"/>
  <c r="AA333" i="1"/>
  <c r="AH333" i="1" s="1"/>
  <c r="AI333" i="1"/>
  <c r="AP333" i="1" s="1"/>
  <c r="AQ333" i="1"/>
  <c r="AX333" i="1" s="1"/>
  <c r="AA332" i="1"/>
  <c r="AH332" i="1" s="1"/>
  <c r="AI332" i="1"/>
  <c r="AP332" i="1" s="1"/>
  <c r="AQ332" i="1"/>
  <c r="AX332" i="1" s="1"/>
  <c r="S332" i="1"/>
  <c r="Z332" i="1" s="1"/>
  <c r="AA330" i="1"/>
  <c r="AH330" i="1" s="1"/>
  <c r="AI330" i="1"/>
  <c r="AP330" i="1" s="1"/>
  <c r="AQ330" i="1"/>
  <c r="AX330" i="1" s="1"/>
  <c r="S330" i="1"/>
  <c r="Z330" i="1" s="1"/>
  <c r="AA329" i="1"/>
  <c r="AH329" i="1" s="1"/>
  <c r="AI329" i="1"/>
  <c r="AP329" i="1" s="1"/>
  <c r="AQ329" i="1"/>
  <c r="AX329" i="1" s="1"/>
  <c r="S329" i="1"/>
  <c r="Z329" i="1" s="1"/>
  <c r="AA328" i="1"/>
  <c r="AH328" i="1" s="1"/>
  <c r="AI328" i="1"/>
  <c r="AP328" i="1" s="1"/>
  <c r="AQ328" i="1"/>
  <c r="AX328" i="1" s="1"/>
  <c r="AA327" i="1"/>
  <c r="AH327" i="1" s="1"/>
  <c r="AI327" i="1"/>
  <c r="AP327" i="1" s="1"/>
  <c r="AQ327" i="1"/>
  <c r="AX327" i="1" s="1"/>
  <c r="B4" i="9" l="1"/>
  <c r="AY93" i="5"/>
  <c r="BC326" i="1"/>
  <c r="BC318" i="1"/>
  <c r="BC93" i="5"/>
  <c r="E6" i="6"/>
  <c r="BE92" i="5"/>
  <c r="AO68" i="4"/>
  <c r="AO69" i="4" s="1"/>
  <c r="AO70" i="4" s="1"/>
  <c r="AH69" i="4"/>
  <c r="AH70" i="4" s="1"/>
  <c r="AG68" i="4"/>
  <c r="AG69" i="4" s="1"/>
  <c r="AG70" i="4" s="1"/>
  <c r="Z69" i="4"/>
  <c r="Z70" i="4" s="1"/>
  <c r="BE68" i="4"/>
  <c r="BE69" i="4" s="1"/>
  <c r="BE70" i="4" s="1"/>
  <c r="AX69" i="4"/>
  <c r="BF92" i="5"/>
  <c r="BF93" i="5" s="1"/>
  <c r="AA326" i="1"/>
  <c r="AH326" i="1" s="1"/>
  <c r="AI326" i="1"/>
  <c r="AP326" i="1" s="1"/>
  <c r="AQ326" i="1"/>
  <c r="AX326" i="1" s="1"/>
  <c r="AA323" i="1"/>
  <c r="AH323" i="1" s="1"/>
  <c r="AI323" i="1"/>
  <c r="AP323" i="1" s="1"/>
  <c r="AQ323" i="1"/>
  <c r="AX323" i="1" s="1"/>
  <c r="S326" i="1"/>
  <c r="Z326" i="1" s="1"/>
  <c r="BE93" i="5" l="1"/>
  <c r="E8" i="6"/>
  <c r="AX70" i="4"/>
  <c r="AY323" i="1"/>
  <c r="W334" i="1"/>
  <c r="AY326" i="1"/>
  <c r="AY333" i="1"/>
  <c r="AY330" i="1"/>
  <c r="AY329" i="1"/>
  <c r="BF4" i="1"/>
  <c r="AY332" i="1"/>
  <c r="AY328" i="1"/>
  <c r="AY327" i="1"/>
  <c r="R69" i="4"/>
  <c r="R70" i="4" s="1"/>
  <c r="W335" i="1" l="1"/>
  <c r="B33" i="6"/>
  <c r="R33" i="6" s="1"/>
  <c r="BF327" i="1"/>
  <c r="BF332" i="1"/>
  <c r="BF333" i="1"/>
  <c r="BF326" i="1"/>
  <c r="E9" i="6"/>
  <c r="D9" i="6"/>
  <c r="BF328" i="1"/>
  <c r="BF330" i="1"/>
  <c r="BF329" i="1"/>
  <c r="AE334" i="1"/>
  <c r="C33" i="6" s="1"/>
  <c r="S33" i="6" s="1"/>
  <c r="O142" i="1"/>
  <c r="P142" i="1" s="1"/>
  <c r="Q142" i="1" s="1"/>
  <c r="N142" i="1"/>
  <c r="O296" i="1"/>
  <c r="P296" i="1" s="1"/>
  <c r="Q296" i="1" s="1"/>
  <c r="O270" i="1"/>
  <c r="P270" i="1" s="1"/>
  <c r="Q270" i="1" s="1"/>
  <c r="M206" i="1"/>
  <c r="N205" i="1"/>
  <c r="P194" i="1"/>
  <c r="Q194" i="1" s="1"/>
  <c r="P193" i="1"/>
  <c r="Q193" i="1" s="1"/>
  <c r="O192" i="1"/>
  <c r="P192" i="1" s="1"/>
  <c r="Q192" i="1" s="1"/>
  <c r="P188" i="1"/>
  <c r="Q188" i="1" s="1"/>
  <c r="AJ187" i="1"/>
  <c r="AP187" i="1" s="1"/>
  <c r="AB187" i="1"/>
  <c r="AR186" i="1"/>
  <c r="AX186" i="1" s="1"/>
  <c r="O186" i="1"/>
  <c r="T186" i="1" s="1"/>
  <c r="AR185" i="1"/>
  <c r="O185" i="1"/>
  <c r="O183" i="1"/>
  <c r="P183" i="1" s="1"/>
  <c r="Q183" i="1" s="1"/>
  <c r="Z4" i="1"/>
  <c r="AH4" i="1"/>
  <c r="AP4" i="1"/>
  <c r="AX4" i="1"/>
  <c r="N99" i="1"/>
  <c r="O113" i="1"/>
  <c r="P113" i="1"/>
  <c r="Q113" i="1"/>
  <c r="R113" i="1"/>
  <c r="N216" i="1"/>
  <c r="N217" i="1"/>
  <c r="AO334" i="1"/>
  <c r="AL334" i="1"/>
  <c r="D32" i="6" s="1"/>
  <c r="T32" i="6" s="1"/>
  <c r="AG334" i="1"/>
  <c r="V334" i="1"/>
  <c r="S333" i="1"/>
  <c r="Z333" i="1" s="1"/>
  <c r="S328" i="1"/>
  <c r="Z328" i="1" s="1"/>
  <c r="S327" i="1"/>
  <c r="Z327" i="1" s="1"/>
  <c r="AK334" i="1"/>
  <c r="AC334" i="1"/>
  <c r="X334" i="1"/>
  <c r="B34" i="6" s="1"/>
  <c r="AA334" i="1"/>
  <c r="AS334" i="1"/>
  <c r="AD334" i="1"/>
  <c r="R34" i="6" l="1"/>
  <c r="AC335" i="1"/>
  <c r="C31" i="6"/>
  <c r="S31" i="6" s="1"/>
  <c r="AO335" i="1"/>
  <c r="D35" i="6"/>
  <c r="T35" i="6" s="1"/>
  <c r="AS335" i="1"/>
  <c r="E31" i="6"/>
  <c r="U31" i="6" s="1"/>
  <c r="AK335" i="1"/>
  <c r="D31" i="6"/>
  <c r="T31" i="6" s="1"/>
  <c r="AG335" i="1"/>
  <c r="C35" i="6"/>
  <c r="S35" i="6" s="1"/>
  <c r="AD335" i="1"/>
  <c r="C32" i="6"/>
  <c r="S32" i="6" s="1"/>
  <c r="V335" i="1"/>
  <c r="B32" i="6"/>
  <c r="R32" i="6" s="1"/>
  <c r="U318" i="1"/>
  <c r="U323" i="1"/>
  <c r="Z323" i="1" s="1"/>
  <c r="AR318" i="1"/>
  <c r="AR324" i="1"/>
  <c r="AA335" i="1"/>
  <c r="AL335" i="1"/>
  <c r="AE335" i="1"/>
  <c r="X335" i="1"/>
  <c r="S334" i="1"/>
  <c r="S335" i="1" s="1"/>
  <c r="BA82" i="1"/>
  <c r="Z82" i="1"/>
  <c r="AX185" i="1"/>
  <c r="AX324" i="1" s="1"/>
  <c r="Z186" i="1"/>
  <c r="AZ187" i="1"/>
  <c r="BF187" i="1" s="1"/>
  <c r="AH187" i="1"/>
  <c r="AI334" i="1"/>
  <c r="AI335" i="1" s="1"/>
  <c r="AN334" i="1"/>
  <c r="AQ334" i="1"/>
  <c r="AQ335" i="1" s="1"/>
  <c r="T185" i="1"/>
  <c r="P185" i="1"/>
  <c r="P186" i="1"/>
  <c r="AR334" i="1"/>
  <c r="E30" i="6" s="1"/>
  <c r="Y334" i="1"/>
  <c r="B35" i="6" s="1"/>
  <c r="R35" i="6" s="1"/>
  <c r="AY334" i="1"/>
  <c r="B2" i="6" s="1"/>
  <c r="F2" i="6" s="1"/>
  <c r="U30" i="6" l="1"/>
  <c r="AN335" i="1"/>
  <c r="D34" i="6"/>
  <c r="T34" i="6" s="1"/>
  <c r="T324" i="1"/>
  <c r="T318" i="1"/>
  <c r="BA323" i="1"/>
  <c r="BF323" i="1" s="1"/>
  <c r="BA318" i="1"/>
  <c r="U334" i="1"/>
  <c r="B31" i="6" s="1"/>
  <c r="R31" i="6" s="1"/>
  <c r="AX318" i="1"/>
  <c r="U335" i="1"/>
  <c r="AR335" i="1"/>
  <c r="Y335" i="1"/>
  <c r="AY335" i="1"/>
  <c r="Z185" i="1"/>
  <c r="Z324" i="1" s="1"/>
  <c r="BF82" i="1"/>
  <c r="AB186" i="1"/>
  <c r="Q186" i="1"/>
  <c r="AJ186" i="1" s="1"/>
  <c r="AP186" i="1" s="1"/>
  <c r="AB185" i="1"/>
  <c r="Q185" i="1"/>
  <c r="AJ185" i="1" s="1"/>
  <c r="T334" i="1"/>
  <c r="B30" i="6" s="1"/>
  <c r="V31" i="6" l="1"/>
  <c r="B7" i="9" s="1"/>
  <c r="R30" i="6"/>
  <c r="B36" i="6"/>
  <c r="AB318" i="1"/>
  <c r="AB324" i="1"/>
  <c r="AB334" i="1" s="1"/>
  <c r="AJ318" i="1"/>
  <c r="AJ324" i="1"/>
  <c r="AJ334" i="1" s="1"/>
  <c r="D30" i="6" s="1"/>
  <c r="BA334" i="1"/>
  <c r="B4" i="6" s="1"/>
  <c r="F4" i="6" s="1"/>
  <c r="Z318" i="1"/>
  <c r="BA335" i="1"/>
  <c r="T335" i="1"/>
  <c r="AH185" i="1"/>
  <c r="AH186" i="1"/>
  <c r="AZ186" i="1"/>
  <c r="BF186" i="1" s="1"/>
  <c r="AP185" i="1"/>
  <c r="AZ185" i="1"/>
  <c r="AU334" i="1"/>
  <c r="AF334" i="1"/>
  <c r="C34" i="6" s="1"/>
  <c r="Z334" i="1"/>
  <c r="R36" i="6" l="1"/>
  <c r="S34" i="6"/>
  <c r="AU335" i="1"/>
  <c r="E33" i="6"/>
  <c r="U33" i="6" s="1"/>
  <c r="T30" i="6"/>
  <c r="AB335" i="1"/>
  <c r="C30" i="6"/>
  <c r="AJ335" i="1"/>
  <c r="AP324" i="1"/>
  <c r="AP318" i="1"/>
  <c r="AH324" i="1"/>
  <c r="AH318" i="1"/>
  <c r="AZ318" i="1"/>
  <c r="AZ324" i="1"/>
  <c r="AZ334" i="1" s="1"/>
  <c r="B3" i="6" s="1"/>
  <c r="F3" i="6" s="1"/>
  <c r="Z335" i="1"/>
  <c r="AF335" i="1"/>
  <c r="BF185" i="1"/>
  <c r="AH334" i="1"/>
  <c r="S30" i="6" l="1"/>
  <c r="C36" i="6"/>
  <c r="V30" i="6"/>
  <c r="B5" i="9" s="1"/>
  <c r="BF324" i="1"/>
  <c r="BF334" i="1" s="1"/>
  <c r="BF318" i="1"/>
  <c r="AZ335" i="1"/>
  <c r="AH335" i="1"/>
  <c r="AM334" i="1"/>
  <c r="D33" i="6" s="1"/>
  <c r="BD334" i="1"/>
  <c r="AV334" i="1"/>
  <c r="BC334" i="1"/>
  <c r="AM335" i="1"/>
  <c r="S36" i="6" l="1"/>
  <c r="AV335" i="1"/>
  <c r="E34" i="6"/>
  <c r="T33" i="6"/>
  <c r="D36" i="6"/>
  <c r="B6" i="6"/>
  <c r="F6" i="6" s="1"/>
  <c r="BD335" i="1"/>
  <c r="B7" i="6"/>
  <c r="F7" i="6" s="1"/>
  <c r="BC335" i="1"/>
  <c r="AP334" i="1"/>
  <c r="U34" i="6" l="1"/>
  <c r="V33" i="6"/>
  <c r="B8" i="9" s="1"/>
  <c r="T36" i="6"/>
  <c r="AP335" i="1"/>
  <c r="AT334" i="1"/>
  <c r="E32" i="6" s="1"/>
  <c r="BE334" i="1"/>
  <c r="AW334" i="1"/>
  <c r="V34" i="6" l="1"/>
  <c r="B6" i="9" s="1"/>
  <c r="B13" i="9" s="1"/>
  <c r="B17" i="9" s="1"/>
  <c r="AW335" i="1"/>
  <c r="E35" i="6"/>
  <c r="U35" i="6" s="1"/>
  <c r="V35" i="6" s="1"/>
  <c r="B10" i="9" s="1"/>
  <c r="U32" i="6"/>
  <c r="E36" i="6"/>
  <c r="BE335" i="1"/>
  <c r="B8" i="6"/>
  <c r="F8" i="6" s="1"/>
  <c r="AT335" i="1"/>
  <c r="BF335" i="1"/>
  <c r="AX334" i="1"/>
  <c r="BB334" i="1"/>
  <c r="V32" i="6" l="1"/>
  <c r="V36" i="6" s="1"/>
  <c r="U36" i="6"/>
  <c r="B5" i="6"/>
  <c r="AX335" i="1"/>
  <c r="BB335" i="1"/>
  <c r="B9" i="9" l="1"/>
  <c r="B11" i="9" s="1"/>
  <c r="B14" i="9" s="1"/>
  <c r="B9" i="6"/>
  <c r="F5" i="6"/>
  <c r="F9" i="6" l="1"/>
</calcChain>
</file>

<file path=xl/sharedStrings.xml><?xml version="1.0" encoding="utf-8"?>
<sst xmlns="http://schemas.openxmlformats.org/spreadsheetml/2006/main" count="2338" uniqueCount="1671">
  <si>
    <t>Proyecto ampliaciòn àrea del cultivo de cacao.</t>
  </si>
  <si>
    <t>Inclusiòn del Magdalena en el programa Ola Agro en cacao y sus derivados</t>
  </si>
  <si>
    <t>Apuesta productiva de ganadería bovina</t>
  </si>
  <si>
    <t>Plan ganadero de abastecimiento alimentario del Departamento del Magdalena.</t>
  </si>
  <si>
    <t>Plantas de Beneficio y Ferias Ganderas</t>
  </si>
  <si>
    <t>Fomento al desarrollo ovino caprino.</t>
  </si>
  <si>
    <t>Apriscos establecidos</t>
  </si>
  <si>
    <t>Apuesta productiva forestal - maderas</t>
  </si>
  <si>
    <t>Aumento del àrea de especies maderables de corte protector-productor.</t>
  </si>
  <si>
    <t>Has sembradas</t>
  </si>
  <si>
    <t>Fomentos de actividades agrosilvopastoriles con inclusiòn de pequeños productores.</t>
  </si>
  <si>
    <t>has sembradas</t>
  </si>
  <si>
    <t>Apuesta productiva de aceites y grasas vegetales - biocombustibles</t>
  </si>
  <si>
    <t>Promociòn del cultivo de palma de aceite y biocombustible en asocio con pequeños productores e industria transformadora.</t>
  </si>
  <si>
    <t>Area has</t>
  </si>
  <si>
    <t>Apuesta productiva de cafés especiales</t>
  </si>
  <si>
    <t>Aumento del àrea de cafè y banano</t>
  </si>
  <si>
    <t>Has sembradas de café y Banano</t>
  </si>
  <si>
    <t>Mejoramiento del desarrollo productivo y competitivo del banano.</t>
  </si>
  <si>
    <t>Has Mejoradas de Banano</t>
  </si>
  <si>
    <t>Diversificaciòn productiva en el Departamento del Magdalena.</t>
  </si>
  <si>
    <t>Has Diversificadas</t>
  </si>
  <si>
    <t>Programas nacionales</t>
  </si>
  <si>
    <t>Apoyo para el desarrollo agropecuario, acuìcola y forestal, a travès de pogramas nacionales, departamentales y municipales. (DRE, Alianzas Productivas, Oportunidades Rurales, Brigadas de Crèditos, Fondo de Adaptaciòn, Convocatorias y Otros</t>
  </si>
  <si>
    <t>Proyectos con recursos aignados</t>
  </si>
  <si>
    <t>Titulaciòn de predios</t>
  </si>
  <si>
    <t>Niñas y niños de 4 y 5 años atendidos en educación Grado Cero - Transición</t>
  </si>
  <si>
    <t>Número de niñas y niños atendidos en transición</t>
  </si>
  <si>
    <t>Incremento de la tasa de cobertura neta en educación Primaria (niños de 6 a 10 años)</t>
  </si>
  <si>
    <t>% de niños y niñas de 6 a 10 años atendidos en educación primaria</t>
  </si>
  <si>
    <t>Niñas y niños de 6 a 10 años atendidos en educación primaria</t>
  </si>
  <si>
    <t>Número de niñas y niños atendidos en primaria</t>
  </si>
  <si>
    <t>Incremento de la tasa de cobertura neta en educación Secundaria (adolescentes de 11 a 14 años)</t>
  </si>
  <si>
    <t>% de adolescentes de 11 a 14 años atendidos en educación Secundaria</t>
  </si>
  <si>
    <t>Incremento de la tasa de cobertura neta en educación media (jóvenes de 15 a 17 años)</t>
  </si>
  <si>
    <t>% de jóvenes de 15 a 17 años atendidos en educación Media</t>
  </si>
  <si>
    <t>Adolescentes de 11 a 14 años atendidos en educación secundaria</t>
  </si>
  <si>
    <t>adolescentes atendidos en secundaria</t>
  </si>
  <si>
    <t>Jóvenes de 15 a 17 años atendidos en educación Media</t>
  </si>
  <si>
    <t>Número de jóvenes atendidos en media</t>
  </si>
  <si>
    <t>Implementación de modelos flexibles</t>
  </si>
  <si>
    <t>Número de instituciones educativas con modelos flexibles implementados</t>
  </si>
  <si>
    <t>Implementación de proyectos transversales: 1) Educación para la sexualidad y construcción de ciudadanía, 2) educación ambiental, 3) entornos saludables y 4) derechos humanos</t>
  </si>
  <si>
    <t>Número de IE con proyectos transversales implementados</t>
  </si>
  <si>
    <t>Implementación del proyecto de educación inclusiva con calidad</t>
  </si>
  <si>
    <t>número de IE con el proyecto implementado</t>
  </si>
  <si>
    <t>Disminuir el índice de deserción escolar</t>
  </si>
  <si>
    <t>Índice de deserción escolar</t>
  </si>
  <si>
    <t>Formación de docentes en estandares de competencias básicas de calidad</t>
  </si>
  <si>
    <t>número de docentes formados</t>
  </si>
  <si>
    <t>Apropiación y uso de medios y nuevas tecnologías -MTICS en el aula</t>
  </si>
  <si>
    <t>Número de docentes usando MTICS en el aula</t>
  </si>
  <si>
    <t>Número de docentes apropiados del inglés como segunda lengua</t>
  </si>
  <si>
    <t>Resignificación de los Proyectos Educativos Institucionales - PEI</t>
  </si>
  <si>
    <t>Número de IE con PEI resignificado</t>
  </si>
  <si>
    <t xml:space="preserve">Realización de Foros Educativos Departamentales </t>
  </si>
  <si>
    <t>Número de Foros realizados por año</t>
  </si>
  <si>
    <t>Articulación de la educación media con la superior</t>
  </si>
  <si>
    <t>Número de IE con educación media articuladas con la educación superior</t>
  </si>
  <si>
    <t>Implementación de escuelas de padres y madres en cada institución educativa</t>
  </si>
  <si>
    <t>Número de escuelas de padres implementadas</t>
  </si>
  <si>
    <t>Elaboración e implementación del Plan de Apoyo al Mejoramiento -PAM</t>
  </si>
  <si>
    <t>Número de PAM elaborados e implementados anualmente</t>
  </si>
  <si>
    <t>Subir la escala de resultados en las pruebas SABER</t>
  </si>
  <si>
    <t>% de estudiantes que suben de escala en las pruebas SABER</t>
  </si>
  <si>
    <t>Instituciones Educativas ubicadas en nivel medio en las Pruebas SABER</t>
  </si>
  <si>
    <t>Número de IE en nivel medio</t>
  </si>
  <si>
    <t>Instituciones Educativas ubicadas en nivel alto en las pruebas SABER</t>
  </si>
  <si>
    <t>Número de IE en nivel alto</t>
  </si>
  <si>
    <t>Número de Planes de mejoramiento elaborados  por IE anualmente y migrados al SIGCE</t>
  </si>
  <si>
    <t>Implementar los Comités Municipales de Gestión de cobertura y calidad como estrategia de acompañamiento al sector educativo municipal</t>
  </si>
  <si>
    <t>Número de Comites implementados por municipio</t>
  </si>
  <si>
    <t>Implementaciónde proyectos pedagógicos productivos</t>
  </si>
  <si>
    <t>Número de proyectos implementados</t>
  </si>
  <si>
    <t>Número de estudiantes beneficiados</t>
  </si>
  <si>
    <t>Número de instituciones educativas beneficiadas</t>
  </si>
  <si>
    <t>Atención a victimas de la violencia en el sistema educativo</t>
  </si>
  <si>
    <t>Número de personas con discapacidad atendidas</t>
  </si>
  <si>
    <t>Atención a población con capacidades excepcionales en el sistema educativo</t>
  </si>
  <si>
    <t>Número de personas con capacidades excepcionales atendidas</t>
  </si>
  <si>
    <t>Atención de indigenas  en el sistema educativo</t>
  </si>
  <si>
    <t>Número de indígenas atendidos</t>
  </si>
  <si>
    <t>INIDIGENAS</t>
  </si>
  <si>
    <t>Atención de afrodescendientes  en el sistema educativo</t>
  </si>
  <si>
    <t xml:space="preserve">Número de afrodescendientes atendidos </t>
  </si>
  <si>
    <t>1.1.6</t>
  </si>
  <si>
    <t>Educación de adultos en ciclo primaria y secundaria</t>
  </si>
  <si>
    <t>Número de adultos atendidos en ciclos de primaria y secundaria</t>
  </si>
  <si>
    <t>Programa de Alfabetización</t>
  </si>
  <si>
    <t>Descripción</t>
  </si>
  <si>
    <t>Certificación de Gestiónde Calidad a macropocesos de la Secretaria de Educación</t>
  </si>
  <si>
    <t>% de macropocesos certificados</t>
  </si>
  <si>
    <t>Cualificar la ejecución de las actividades que integran los subprocesos como soporte de los macroprocesos</t>
  </si>
  <si>
    <t xml:space="preserve">Número de Macroprocesos cualificados </t>
  </si>
  <si>
    <t>Asignar el talento humano que demanda la nueva estructura (Se requieren adicionales 18 profesionales y 9 técnicos)</t>
  </si>
  <si>
    <t>Traslado de la sede de la Secretaria de Educación Departamental</t>
  </si>
  <si>
    <t>Nueva sede adecuada a la demanda de la estructura Si=1 No=0</t>
  </si>
  <si>
    <t>Generar cultura de mejoramiento continuo, para la sostenibilidad de la gestión de calidad</t>
  </si>
  <si>
    <t>Número de funcionarios capacitados</t>
  </si>
  <si>
    <t>Renovación del componente tecnológico de la Secretaria</t>
  </si>
  <si>
    <t>Número de equipos de computo adquiridos</t>
  </si>
  <si>
    <t>Número de eventos de socialización realizados por municipio</t>
  </si>
  <si>
    <t xml:space="preserve">número de Municipios con Unidades Generadoras de Datos -UGD implementadas </t>
  </si>
  <si>
    <t>Fortalecimiento del Banco de Ayudas Técnicas del Departamento</t>
  </si>
  <si>
    <t>Número de ayudas técnicas adquiridas y entregadas por año</t>
  </si>
  <si>
    <t>Conformación y operatividad de Comités de Discapacidad en cada municipio</t>
  </si>
  <si>
    <t>Número de comités operando</t>
  </si>
  <si>
    <t>Impulsar estrategia de Rehabilitación Basada en Comunidad -RBC en los municipios del departamento</t>
  </si>
  <si>
    <t>Número de municipios con estrategia implementada</t>
  </si>
  <si>
    <t>Educación</t>
  </si>
  <si>
    <t>Salud</t>
  </si>
  <si>
    <t>Número de adultos mayores atendidos</t>
  </si>
  <si>
    <t>Elaboración de los Planes de Salvaguarda en las diferentes comunidades indígenas del departamento</t>
  </si>
  <si>
    <t>Número de Planes Salvaguardas elaborados</t>
  </si>
  <si>
    <t>Atención a población inimputable</t>
  </si>
  <si>
    <t>Garantizar la continuidad y la cobertura universal en el Sistema de Seguridad Social en Salud -SGSSS</t>
  </si>
  <si>
    <t>% de cobertura del SGSSS</t>
  </si>
  <si>
    <t>97,8%</t>
  </si>
  <si>
    <t>Mantener el número de personas afiliadas al RSS</t>
  </si>
  <si>
    <t>Número de personas afiliadas al RSS</t>
  </si>
  <si>
    <t>Ejercer acciones oportunas y efectivas de Inspección, Vigilancia y Control -IVC del Aseguramiento en Salud a EPS y municipios</t>
  </si>
  <si>
    <t>Número de visitas realizadas por año</t>
  </si>
  <si>
    <t>Asistencia técnica en campo a los municipios sobre la operatividad del RSS</t>
  </si>
  <si>
    <t>Número de visitas de asistencia técnica por año</t>
  </si>
  <si>
    <t>Garantizar el acceso, optimizar el uso de los recursos y mejorar la calidad de los servicios que se prestan  a la población.</t>
  </si>
  <si>
    <t xml:space="preserve">% de personas atendidas con oportunidad en consulta externa y urgencias en la Baja Complejidad. </t>
  </si>
  <si>
    <t>% de personas atendidas con oportunidad en consulta especializada en  Medicina Interna, Pediatria y Ginecologia, en mediana complejidad</t>
  </si>
  <si>
    <t>% de personas atendidas con oportunidad en UCI total adulto y neonatal y medicina interna en alta complejidad</t>
  </si>
  <si>
    <t>% de personas que demandan el servicio de salud y son atendidas</t>
  </si>
  <si>
    <t>Mantener Habilitados los servicios de hospitalizacion, UCI adultos, pediatrica y neonatal y medicina interna en la ESE del tercer nivel</t>
  </si>
  <si>
    <t>Servicios de hospitalizacion, UCI adultos, pediatrica y neonatal y medicina interna en ESE de tercer nivel habilitada</t>
  </si>
  <si>
    <t>Construir los estandares de calidad en referencia a seguridad del paciente y eventos adversos</t>
  </si>
  <si>
    <t>Linea base construida</t>
  </si>
  <si>
    <t xml:space="preserve">Fortalecimiento del CRUE. Construccion y dotacion </t>
  </si>
  <si>
    <t>Fortalecido el CRUE SI 1   No 0</t>
  </si>
  <si>
    <t>Implementacion software para CRUE y autorizaciones</t>
  </si>
  <si>
    <t>Software implementado</t>
  </si>
  <si>
    <t>Implementacion de sotware para Plan Integral de Auditoria</t>
  </si>
  <si>
    <t>Implementacion de programas de telemedicina en ESES del Dpto</t>
  </si>
  <si>
    <t>Programa implementado en ESE</t>
  </si>
  <si>
    <t>Sistema de comunicaciones en las ESES del departamento, incluye antenas repetidoras, radio base por cada ESE y 3 radio base para zona rural, radio base para ambulancias, pago de la frecuencia, sistema Avantel y sistema de Posicionamiento Global para las Ambulancias</t>
  </si>
  <si>
    <t>Sistema Implementado por Subregión</t>
  </si>
  <si>
    <t>Sistema implementado en todas las subregiones</t>
  </si>
  <si>
    <t>Sistema Implementado en Subregión Rio y Sur</t>
  </si>
  <si>
    <t>Sistema Implementado en Subregión Centro y Norte</t>
  </si>
  <si>
    <t>Adquisición de Ambulacias medicalizadas</t>
  </si>
  <si>
    <t>Número de ambulancias medicalizadas adquiridas</t>
  </si>
  <si>
    <t>Adquisición de Ambulacias acuaticas</t>
  </si>
  <si>
    <t>ATENCION INTEGRAL EN SALUD A LA POBLACION</t>
  </si>
  <si>
    <t>Aseguramiento Social</t>
  </si>
  <si>
    <t>Prestación de Servicios</t>
  </si>
  <si>
    <t>Laboratorio de Salud Pública</t>
  </si>
  <si>
    <t>Promoción y Prevención</t>
  </si>
  <si>
    <t>Promoción Social</t>
  </si>
  <si>
    <t>MUJER SALUDABLE</t>
  </si>
  <si>
    <t>ATENCION INTEGRAL A LA POBLACION EN   CONDICION DE DISCAPACIDAD</t>
  </si>
  <si>
    <t>Promoción, Vigilancia y Control de Riesgos Profesionales</t>
  </si>
  <si>
    <t>Respeto a los jóvenes Magdalenenses (Atención Integral a la Juventud)</t>
  </si>
  <si>
    <t>Respeto a la Mujer</t>
  </si>
  <si>
    <t>Respeto a la Población en condición de Discapacidad</t>
  </si>
  <si>
    <t>Respeto a los Adultos Mayores</t>
  </si>
  <si>
    <t>Respeto por los niños, niñas y adolescentes del Magdalena</t>
  </si>
  <si>
    <t xml:space="preserve">Número de hospitales dotados </t>
  </si>
  <si>
    <t>Contenida en 9.62 x 100000 hab. la Tasa de Mortalidad por SIDA</t>
  </si>
  <si>
    <t>Taller  a las IPS , EPS,y ESE en la implementacion del modelo VHI-SIDA y guia de atencion integral, sifilis gestacional y congenita, y demas ITS.  Plan de respuesta intersectorial y transmision perinatal</t>
  </si>
  <si>
    <t xml:space="preserve">Contenida  en 5.44 x 100.000 habitantes la tasa de mortalidad por suicidio </t>
  </si>
  <si>
    <t xml:space="preserve">Movilizacion Social sobre la  promocion de  la salud mental, prevencion del suicidio, No violencia contra la mujer, SPA, derechos humanos </t>
  </si>
  <si>
    <t>Contenida en 37 x 100.000 habitantes  la tasa de mortalidad por enfermedad cerebrovascular</t>
  </si>
  <si>
    <t xml:space="preserve">Movilizacion Social sobre la prevencion de la hipertension, diabetes, IRC, alimentacion balanceada  y libres de humo con enfoque diferencial, salud visual, cognitiva y auditiva 
</t>
  </si>
  <si>
    <t>No. de municipios con actividades de movilizacion social</t>
  </si>
  <si>
    <t>Contenida  la Tasa de Mortalidad por Tuberculosis  2.37 X 100.000 Hab.</t>
  </si>
  <si>
    <t xml:space="preserve">Capacitacion del Talento Humano en  tuberculosis en los temas de   gestion, diagnostico, sistema de informacion, analisis y seguimiento de indicadores y prevencion y manejo de la coinfeccion TB/VIH y manejo programatico de TB-MDR
</t>
  </si>
  <si>
    <t>Movilizacion social para Involucrar pacientes y expacientes por medio de procesos de capacitación sobre diferentes aspectos del control de la TB para que participen en actividades educativas dirigidas a la comunidad.</t>
  </si>
  <si>
    <t>Fortalecimiento del sistema de Informacion de  Programa TB</t>
  </si>
  <si>
    <t xml:space="preserve">Nª de municipios  con sisitema de informacion del programa TB </t>
  </si>
  <si>
    <t>Realizar Busqueda activa de Sintomaticos respiratorios en poblacion vulnerable y poblacion indigena</t>
  </si>
  <si>
    <t xml:space="preserve">Taller de normas tecnicas, guias de atencion y Plan Estrategico de Lepra a los actores sociales </t>
  </si>
  <si>
    <t>movilizacion social con enfoque etnocultural, para promocion de estilos de vida saludable, busqueda de sintomaticos de piel y prevencion de las enfermedades transmisibles  29 municipios del departamento.</t>
  </si>
  <si>
    <t>N° de municipios donde se ejecutan las acciones de movilizacion</t>
  </si>
  <si>
    <t>Fortalecimiento del sistema de Informacion de  Programa Lepra</t>
  </si>
  <si>
    <t xml:space="preserve">Nª de municipios  con sisitema de informacion del programa Lepra </t>
  </si>
  <si>
    <t>Realizar Busqueda activa de sintomaticos de piel y sistema nervioso Periferico en poblacion vulnerable y comunidades indigenas  de los  municipios del departamento</t>
  </si>
  <si>
    <t>Movilizaciòn social en salud sexual y reproductiva en los municipios</t>
  </si>
  <si>
    <t>Formacion del Talento Humano en Servicios Amigables Para Adolescentes y Jovenes</t>
  </si>
  <si>
    <t xml:space="preserve">Conformacion de redes sociales de adolescentes para servicios amigables  con articulacion del sector educativo en los 29 municipios </t>
  </si>
  <si>
    <t>Nùmero de municipios con redes conformadas</t>
  </si>
  <si>
    <t>Dotacion a Municipios con Servicios amigables y Psicoprofilaxis obstetrica</t>
  </si>
  <si>
    <t>N° de municipios con dotacion</t>
  </si>
  <si>
    <t xml:space="preserve">Taller de atencion integral protocolizada del modelo biosicosocial, Morbilidad materna Extrema Grave </t>
  </si>
  <si>
    <t xml:space="preserve">Fortalecimiento a la operativizacion  de las redes sociales del derecho a la proteccion de la salud infantil en los 29 municipios </t>
  </si>
  <si>
    <t xml:space="preserve">Movilizacion social de las politicas de la niñez , AIEPI integral </t>
  </si>
  <si>
    <t xml:space="preserve">No. de municipios que promuevan la estrategia </t>
  </si>
  <si>
    <t xml:space="preserve">Concurrir a los municipios para censos de canalización en áreas de población dispersa y alcanzar coberturas utiles de vacunacion
</t>
  </si>
  <si>
    <t>Numero de municipios concurridos para PAI</t>
  </si>
  <si>
    <t xml:space="preserve">Mantenida en 2.2   mes la mediana de duración de la lactancia materna exclusiva </t>
  </si>
  <si>
    <t xml:space="preserve">Reducida  la tasa a  18  de mortalidad por desnutrición crónica en menores de 5 años </t>
  </si>
  <si>
    <t xml:space="preserve">Fortalecimiento para la certificacion  de  IAMI INTEGRAL en las insittuciones de los municipios priorizados </t>
  </si>
  <si>
    <t>N° de municipios certificados como IAMI Integral</t>
  </si>
  <si>
    <t>Continuar con el comité  de Lactancia Materna region caribe</t>
  </si>
  <si>
    <t xml:space="preserve">N° reuniones del comité </t>
  </si>
  <si>
    <t>Curso de consejeria en lactancia materna Institucional y comunitario a los municipios priorizados.</t>
  </si>
  <si>
    <t>N° de municipios con el curso</t>
  </si>
  <si>
    <t xml:space="preserve">Movilizacion social sobre el fortalecimiento de nutricion </t>
  </si>
  <si>
    <t>Taller  de  IAMI integral a los 29 municipios.</t>
  </si>
  <si>
    <t>Mantener la Implementacion  el plan de salud oral  en los 29 municipios</t>
  </si>
  <si>
    <t xml:space="preserve">Numero de municipios con plan implementado </t>
  </si>
  <si>
    <t xml:space="preserve">Continuar con el levantamiento de la línea de base de salud bucal </t>
  </si>
  <si>
    <t>Taller de actualizacion al talento humano en el cumplimiento de las politicas, normas y guias de atencion en salud oral</t>
  </si>
  <si>
    <t>Movilizacion Social en la Promocion  higiénicos y factores protectores en salud bucal</t>
  </si>
  <si>
    <t xml:space="preserve">Taller de politicas publicas en SSR, normas tecnicas y guias de atencion 
</t>
  </si>
  <si>
    <t>Movilizacion social acerca de Prevencion del CCU y mama por medio del Tamizaje e induccion a la demanda</t>
  </si>
  <si>
    <t xml:space="preserve">Otras fuentes </t>
  </si>
  <si>
    <t>Elaborar Planes de Mejoramiento  migrados en el Sistema de Información de Gestión de la Calidad Educativa -SIGCE</t>
  </si>
  <si>
    <t>Número de sedes intervenidas</t>
  </si>
  <si>
    <t>Dotación de mobiliario y material pedagógico a instituciones educativas</t>
  </si>
  <si>
    <t>Número de escuelas de formación deportiva avaladas</t>
  </si>
  <si>
    <t>Número de jornadas realizadas por año</t>
  </si>
  <si>
    <t>Número de escenarios adecuados</t>
  </si>
  <si>
    <t>Acceso a educación post-secundaria</t>
  </si>
  <si>
    <t>número de personas atendidas</t>
  </si>
  <si>
    <t>Deportistas de alto rendimiento apoyados</t>
  </si>
  <si>
    <t>Número de deportistas apoyados</t>
  </si>
  <si>
    <t>Realización de juegos deportivos intercolegiados</t>
  </si>
  <si>
    <t>Número de deportistas que pariticpan en los juegos por año</t>
  </si>
  <si>
    <t>Apoyo a la participación de los jóvenes en eventos deportivos nacionales, regionales y locales</t>
  </si>
  <si>
    <t>Número de jóvenes apoyados por año</t>
  </si>
  <si>
    <t>Realización de campamento juvenil</t>
  </si>
  <si>
    <t>Campamento realizado       Si=1 No=0</t>
  </si>
  <si>
    <t>Número de analfabetas atendidos</t>
  </si>
  <si>
    <t>Jornadas recreativas para la promoción de estillos de vida saludables</t>
  </si>
  <si>
    <t xml:space="preserve">Número de jornadas realizadas </t>
  </si>
  <si>
    <t>1.1.7</t>
  </si>
  <si>
    <t>4 excepto el primer año que son 3</t>
  </si>
  <si>
    <t xml:space="preserve">Ejecutado un plan de visitas a establecimientos que manipulan alimentos y monitoreo de alimentos en los municipios </t>
  </si>
  <si>
    <t>Numero de reuniones del consejo seccional de plaguicidas  por año</t>
  </si>
  <si>
    <t>% de ejecución del plan anual</t>
  </si>
  <si>
    <t>Abogacia en los 29 municipios para propiciar la disminucion de BACA</t>
  </si>
  <si>
    <t xml:space="preserve">Equipo tecnico capacitado </t>
  </si>
  <si>
    <t xml:space="preserve">% de profesioanles y tecnicos de IVC capacitadfos </t>
  </si>
  <si>
    <t xml:space="preserve">Ejecutado un plan de  vigilancia de entornos saludables en los 29 municipios </t>
  </si>
  <si>
    <t xml:space="preserve">% de cumplimeinto del plan </t>
  </si>
  <si>
    <t xml:space="preserve"> Fortalecida la vigilancia entomológica y serológica en el 100% de zraeas priorizadas </t>
  </si>
  <si>
    <t xml:space="preserve">% de zonas priorizadas beneficiadas </t>
  </si>
  <si>
    <t>% cumplimiento del plan de prevencion</t>
  </si>
  <si>
    <t>2.5.3</t>
  </si>
  <si>
    <t>2.5.4</t>
  </si>
  <si>
    <t>2.5.6</t>
  </si>
  <si>
    <t>2.5.5</t>
  </si>
  <si>
    <t>Caracterización de los riesgos que presentan las ESES, IPS Y EPS del departamento</t>
  </si>
  <si>
    <t>Número de Planes hospitalarios de prevención y mitigación de riesgos elaborados anualmente</t>
  </si>
  <si>
    <t>Asistencia técnica para la elaboración de los Planes Hospitalarios de prevención y mitigación de riesgos hospitalarios</t>
  </si>
  <si>
    <t>Número de asesorías realizadas por año</t>
  </si>
  <si>
    <t>Elaboración del mapa de riesgos hospitalarios anualmente</t>
  </si>
  <si>
    <t>Mapa de riesgo elaborado y difundido anualmente Si=1 No=0</t>
  </si>
  <si>
    <t>Desarrollar la política de salud ambiental</t>
  </si>
  <si>
    <t>Compromiso suscrito por alcaldías municipales para la incorporación de la gestión del riesgo en la planeación local</t>
  </si>
  <si>
    <t>Difusión del conocimiento acerca de los escenarios de riesgo existentes en el departamento</t>
  </si>
  <si>
    <t>No. de publicaciones realizadas para la difusión del conocimiento de amenazas, vulnerabilidades y riesgos</t>
  </si>
  <si>
    <t>No. de eventos académicos y sociales para la socialización del conocimiento</t>
  </si>
  <si>
    <t>Estudio realizado          Si=1 No=0</t>
  </si>
  <si>
    <t>Red de información sobre gestión del riesgo funcionando</t>
  </si>
  <si>
    <t>No. de instituciones que se vinculan a la red de información con insumos y/o datos técnicos</t>
  </si>
  <si>
    <t>Profundización del programa de investigación en erosión costera</t>
  </si>
  <si>
    <t>Diseñado y funcionando una red de alertas tempranas para el departamento</t>
  </si>
  <si>
    <t>Incrementadas las condiciones de seguridad de la población y el territorio</t>
  </si>
  <si>
    <t>Instituciones educativas incorporan la gestión del riesgo en el proceso formativo</t>
  </si>
  <si>
    <t>Número de instituciones educativas públicas con programas de gestión del riesgo implementados</t>
  </si>
  <si>
    <t>Número de investigaciones y/o trabajos académicos en gestión del riesgo</t>
  </si>
  <si>
    <t>Creación y funcionamiento del Banco de Apoyo Humanitario de Emergencia</t>
  </si>
  <si>
    <t>Número de sitios acondicionados y dotados de ayuda humanitaria de emergencia</t>
  </si>
  <si>
    <t>4.1.</t>
  </si>
  <si>
    <t>Buen Gobierno en el Departamento</t>
  </si>
  <si>
    <t>Rediseño de la Red Pública Departamental de Prestación de Servicios de Salud</t>
  </si>
  <si>
    <t>Fortalecimiento del Sistema de Referencia y Contrarreferencia</t>
  </si>
  <si>
    <t>4.1.1</t>
  </si>
  <si>
    <t>4.1.2</t>
  </si>
  <si>
    <t>4.1.3</t>
  </si>
  <si>
    <t xml:space="preserve"> Reestructuración y/o reorganización administrativa</t>
  </si>
  <si>
    <t>Adecuación de infraestructura física y tecnológica</t>
  </si>
  <si>
    <t>Unificación del Archivo General del Departamento y sistematización de archivo y correspondencia</t>
  </si>
  <si>
    <t xml:space="preserve"> Implementar el inventario de bienes muebles e inmuebles</t>
  </si>
  <si>
    <t xml:space="preserve">Implementación de un modelo gerencial de ingresos </t>
  </si>
  <si>
    <t>Implementar un Sistema Integrado de Información Estadística para la planeación</t>
  </si>
  <si>
    <t xml:space="preserve">Implementación de un Sistema de Información Geográfica –SIG </t>
  </si>
  <si>
    <t xml:space="preserve">Implementar un sistema de seguimiento y evaluación al cumplimiento de metas del Plan de Desarrollo </t>
  </si>
  <si>
    <t>Fortalecer el Banco de Programas y Proyectos de Inversión del Departamento</t>
  </si>
  <si>
    <t xml:space="preserve">Creación una Unidad o Grupo de Trabajo para la gestión de los Servicios Públicos Domiciliarios: </t>
  </si>
  <si>
    <t xml:space="preserve">Implementado el proceso de peticiones, quejas y reclamos </t>
  </si>
  <si>
    <t>Creado  el Sistema de Atención al Ciudadano</t>
  </si>
  <si>
    <t>Implementado el Sistema Integrado de gestión</t>
  </si>
  <si>
    <t>Gestión de la calidad y modelo estándar de control interno –MECI en el sector Central</t>
  </si>
  <si>
    <t>4.1.4</t>
  </si>
  <si>
    <t>4.2.</t>
  </si>
  <si>
    <t>Desempeño integral de los Municipios</t>
  </si>
  <si>
    <t>4.2.1</t>
  </si>
  <si>
    <t xml:space="preserve">% de implementación  del modelo Gerencial de ingresos  </t>
  </si>
  <si>
    <t>Ejecutar Programa de Fortalecimiento Institucional de la Secretaría de Hacienda</t>
  </si>
  <si>
    <t xml:space="preserve">% ejecutado del Programa de Fortalecimiento Institucional </t>
  </si>
  <si>
    <t>% de implementación dell Sistema de información Estadística</t>
  </si>
  <si>
    <t>Número de funcionarios capacitados en SIG</t>
  </si>
  <si>
    <t>Sistema Implementado    Si=1 No=0</t>
  </si>
  <si>
    <t>Número de  equipos adquiridos para el funcionamiento del Banco</t>
  </si>
  <si>
    <t>Unidad o Grupo de Trabajo para la Gestión de Servicios Públicos Domiciliarios incluida en la estructura administrativa</t>
  </si>
  <si>
    <t>% de implementación del Sistema Integrado de Gestión</t>
  </si>
  <si>
    <t>Número de equipos adquiridos</t>
  </si>
  <si>
    <t>Proceso implementado Si=1 No=0</t>
  </si>
  <si>
    <t>Sistema Creado Si=1 No=1</t>
  </si>
  <si>
    <t>Asistencia técnica y asesoría a los municipios en Formulación de Planes de Desarrollo, Planes de OrdenamientoTerritorial, Planes Indicativos y Planes de Acción, implementación de los Bancos de Programas y Proyectos de Inversión, en la formulación y gestión de proyectos. Asesoría para la implementación del SISBENNET y para la depuración de las bases de datos.</t>
  </si>
  <si>
    <t xml:space="preserve">Asesoría y acompañamiento a los procesos de presupuestación, para que se  implementen todas las herramientas de planeación financiera como el Marco Fiscal de Mediano Plazo, Plan Financiero, Presupuesto, Plan Anual Mensualizado de Caja –PAC y Plan Operativo Anual de Inversiones –POAI. 
</t>
  </si>
  <si>
    <t xml:space="preserve">Número de municipio beneficiados </t>
  </si>
  <si>
    <t>Acompañamiento y Asistencia técnica para el reporte de la información de ejecución financiera a entidades a nivel nacional,  específicamente a través del Formato Único Territorial –FUT.</t>
  </si>
  <si>
    <t>Número de eventos de capacitación realizados por año</t>
  </si>
  <si>
    <t xml:space="preserve">Número de  equipos adquiridos </t>
  </si>
  <si>
    <t>4.2.2</t>
  </si>
  <si>
    <t xml:space="preserve">Programa de Asistencia Técnica que incluya entre otros aspectos los siguientes: Planificación y organización institucional de los diferentes sectores, implementación de sistemas de información sectorial,  formulación y gestión de proyectos sectoriales e 
implementación de programas nacionales
</t>
  </si>
  <si>
    <t>Implementación de la estrategia anualmente      Si=1 No=0</t>
  </si>
  <si>
    <t>Reducir un punto porcentual por vigencia el gasto de funcionamiento con respecto a los ICLD</t>
  </si>
  <si>
    <t>Porcentaje de reducción del gasto de funcionamiento sobre los ICLD</t>
  </si>
  <si>
    <t>Cancelar los flujos de pagos estimados en el escenario financiero.</t>
  </si>
  <si>
    <t>Pagos acumulados de la Masa de Acreedores conforme al escenario (millones $)</t>
  </si>
  <si>
    <t>Mantener el gasto de funcionamiento en los límites de la Ley 617 de 2000</t>
  </si>
  <si>
    <t>Porcentaje de ingresos corrientes de libre destinación dedicados a gastos de funcionamiento</t>
  </si>
  <si>
    <t>Ejecutar el porcentaje de pagos de la Masa de Acreedores conforme al acuerdo firmado.</t>
  </si>
  <si>
    <t>Porcentaje de acreencias pagadas en cada vigencia respecto a la programación inicial</t>
  </si>
  <si>
    <t>Generar $7.040 millones adicionales para financiar los pasivos pensionales.</t>
  </si>
  <si>
    <t>Monto de cartera por cuotas partes recuperado</t>
  </si>
  <si>
    <t xml:space="preserve">Generar actuaciones administrativas que permitan la recuperación de $4.050 millones </t>
  </si>
  <si>
    <t>Monto de cartera de vahículos recuperada</t>
  </si>
  <si>
    <t>Generar actuaciones administrativas que permitan la recuperación de $6.750 Millones del Stock de cartera actual.</t>
  </si>
  <si>
    <t>Monto de cartera de multas y comparendos recuperada</t>
  </si>
  <si>
    <t>Avanzar en la recuperación de la cartera morosa por distintos conceptos</t>
  </si>
  <si>
    <t>Porcentaje de la cartera morosa recuperada en vehículos</t>
  </si>
  <si>
    <t>Porcentaje de la cartera morosa recuperada en tasa, multas y derechos</t>
  </si>
  <si>
    <t xml:space="preserve">Porcentaje de la cartera morosa recuperada en cuotas partes pensionales </t>
  </si>
  <si>
    <t>Tasa de crecimiento promedio anual de los ingresos tributarios</t>
  </si>
  <si>
    <t>porcentaje promedio anual de crecimiento de los ingresos tributarios</t>
  </si>
  <si>
    <t>Comunicaciones estratégicas</t>
  </si>
  <si>
    <t>Implementar y consolidar la estrategia de Gobierno en Línea (GEL)</t>
  </si>
  <si>
    <t>% de cumplimiento de la estrategia GEL (Fase Información)</t>
  </si>
  <si>
    <t>Dotación de equipos audiovisuales a la Oficina de Comunicaciones</t>
  </si>
  <si>
    <t>Número de nuevos equipos dotados</t>
  </si>
  <si>
    <t>Número de programas emitidos al año</t>
  </si>
  <si>
    <t>Número de ediciones anuales</t>
  </si>
  <si>
    <t>% de adopción de lineamientos del Manual</t>
  </si>
  <si>
    <t>Banco de imágenes en operación. SI=1; NO=0</t>
  </si>
  <si>
    <t>Tasa de Mortalidad por TB x 100000 hab</t>
  </si>
  <si>
    <t xml:space="preserve">Continuar con la adapcion de los planes territoriales armonizados a la política nacional de salud mental y de reducción del consumo de sustancias psicoactivas </t>
  </si>
  <si>
    <t>Incremento en la cobertura de niños y niñas de 0 a 4 años atendidos con Programa de Atención Integral a la Primera Infancia -PAIPI - De Cero a Siempre sin incluir los programas del ICBF</t>
  </si>
  <si>
    <t>Niñas y niños de 0 a 4 años atendidos con el Programa de Atención Integral a la Primera Infancia -  de Cero a Siempre, sin incluir los programas del ICBF</t>
  </si>
  <si>
    <t>% de unificación y sistematización de archivo y correspondencia</t>
  </si>
  <si>
    <t xml:space="preserve">% del inverntario Impllementado </t>
  </si>
  <si>
    <t>Mejorada la capacidad técnica de los municipios para la incorporación de la gestión del riesgo en los POT</t>
  </si>
  <si>
    <t>Número de municipios que incorporan la gestión del riesgo en los POT</t>
  </si>
  <si>
    <t>Documento técnico concertado de directrices para la incorporación de la gestión del riesgo de desastres en la planeación local y regional.</t>
  </si>
  <si>
    <t>Número de talleres y/o reuniones técnicas de construcción y socialización de las directrices para su incorporación en la planeación local y regional</t>
  </si>
  <si>
    <t>Número de alcaldes municipales comprometidos con la gestión del riesgo de desastres</t>
  </si>
  <si>
    <t>Gestión del riesgo de desastres para la reducción de la vulnerabilidad de la población y el territorio ante amenazas naturales y de origen antrópico.</t>
  </si>
  <si>
    <t>Proyecto de investigaciòn  para el análisis y valoración de las amenazas, vulnerabilidades y escenarios de riesgo</t>
  </si>
  <si>
    <t>Suscrito convenio para la segunda fase del programa. SI=1, NO=0</t>
  </si>
  <si>
    <t>Estudio básico para el control de la erosión costera en el Magdalena</t>
  </si>
  <si>
    <t xml:space="preserve">Estudio realizado
SI=1; NO=0
</t>
  </si>
  <si>
    <t>Formación en gestión del riesgo de desastres</t>
  </si>
  <si>
    <t>Diseño y puesta en marcha de programa académico de gestión del riesgo en alianza con entidades reconocidas</t>
  </si>
  <si>
    <t>Fortalecimiento de la investigación en riesgos por fenómenos naturales</t>
  </si>
  <si>
    <t>Nùmero de instituciones y organizaciones activas en la red de alertas tempranas</t>
  </si>
  <si>
    <t>Planes de Gestión del Riesgo formulados y adoptados</t>
  </si>
  <si>
    <t>Número de municipios con el Plan Municipal de Gestión del Riesgo formulado y adoptado</t>
  </si>
  <si>
    <t xml:space="preserve">28%
(67.604)
</t>
  </si>
  <si>
    <t xml:space="preserve">15%
(36.373)
</t>
  </si>
  <si>
    <t>No. de obras de protección, mitigación y/o de control construidas en el litoral con recursos nacionales</t>
  </si>
  <si>
    <t>Los municipios, instituciones y comunidad están mejor preparadas ante los riesgos por fenómenos naturales</t>
  </si>
  <si>
    <t>Número de procesos de gestiòn de riesgo instalados en las instituciones y comunidad para el fortalecimiento de la capacidad de respuesta ante fenómenos naturales</t>
  </si>
  <si>
    <t>Capacitación a funcionarios de instituciones en Gestión de Alojamientos Temporales</t>
  </si>
  <si>
    <t xml:space="preserve">Creación y funcionamiento de la Red de Radiocomunicaciones Departamental de Emergencias </t>
  </si>
  <si>
    <t>No. de simulacros realizados</t>
  </si>
  <si>
    <t>Atención de familias damnificadas por fenómenos naturales</t>
  </si>
  <si>
    <t>Superadas las condiciones de deterioro social y económico ocasionadas por la ocurrencia del fenómeno La Niña 2010-2011</t>
  </si>
  <si>
    <t>Nùmero de familias beneficiadas con los programas de recuperación</t>
  </si>
  <si>
    <t>Número de viviendas reparadas</t>
  </si>
  <si>
    <t>Número de Empleos de emergencia generados</t>
  </si>
  <si>
    <t>Número de municipios beneficiados con la recuperación de sistemas de acueducto</t>
  </si>
  <si>
    <t>Mejoramiento de la red vial terciaria afectada por el Fenómeno La Niña 2010-2011</t>
  </si>
  <si>
    <t>Número de vías terciarias mejoradas en sectores críticos</t>
  </si>
  <si>
    <t>Entidades departamentales de salud están preparadas para la atención de desastres causados por fenómenos naturales</t>
  </si>
  <si>
    <t>Número de ESEs, IPS y EPS con Planes de gestión del riesgo hospitalarios en marcha</t>
  </si>
  <si>
    <t>Gestión del riesgo de desastres</t>
  </si>
  <si>
    <t>3.1</t>
  </si>
  <si>
    <t>Apuestas productivas y enfoque de encadenamientos</t>
  </si>
  <si>
    <t>3.1.2</t>
  </si>
  <si>
    <t>Apuesta productiva acuícola y pesquera</t>
  </si>
  <si>
    <t xml:space="preserve">Cultivo de Camaron en jaulas flotantes en la Cienaga Grande de Santa Marta </t>
  </si>
  <si>
    <t xml:space="preserve">Acuicultura Marina </t>
  </si>
  <si>
    <t>Apuesta productiva hortifrutícultura y cacao</t>
  </si>
  <si>
    <t>Investigaciòn sobre potencialidades de zonas y suelos</t>
  </si>
  <si>
    <t>Desarrollo hortofruticola y agroindustrial en el departamento del Magdalena</t>
  </si>
  <si>
    <t>Número de ambulancias acuaticas adquiridas</t>
  </si>
  <si>
    <t>Diseño de un sistema de información integral para la gestión del sistema de salud del departamento del Magdalena</t>
  </si>
  <si>
    <t>Implementación del sistema de información integral</t>
  </si>
  <si>
    <t>Sistema implementado  Si=1 No=0</t>
  </si>
  <si>
    <t>Plan de Auditoria de Mejoramiento de la Calidad PAMEC de la Secretaria de Salud y ESES del Departamento</t>
  </si>
  <si>
    <t>Numero de auditorias realizadas por año</t>
  </si>
  <si>
    <t>Implementación de la estrategia de Atención Primaria en Salud -APS</t>
  </si>
  <si>
    <t>Estrategia implementada Si=1 No=0</t>
  </si>
  <si>
    <t>Habilitacion, cierre temporal o cierre definitivo de los servicios inscritos en el Registro Unico de Habilitación que fueron verificados en el 2011</t>
  </si>
  <si>
    <t>Numero de desiciones jurídico administrativas adoptadas en relación a la habilitación</t>
  </si>
  <si>
    <t>Visitas de verificación de las condiciones de Habilitación en IPS privadas que soliciten inscripción a partir de la vigencia 2012</t>
  </si>
  <si>
    <t>Número de visitas y de actos administrativos expedidas</t>
  </si>
  <si>
    <t>Número de hospitales reubicados</t>
  </si>
  <si>
    <t>Número de hospitales adecuados</t>
  </si>
  <si>
    <t>Puesto de Salud adecuado</t>
  </si>
  <si>
    <t>Servicio de Urgencias y consulta externa habilitado en las ESES del Departamento</t>
  </si>
  <si>
    <t>Numero de ESES con los servicios de urgencia y consulta externa habilitados</t>
  </si>
  <si>
    <t>Habilitados los servicios de urgencias, hospitalacion de obstetricia,  consulta externa de ginecologia, medicina interna y pediatria en las ESES de segundo nivel</t>
  </si>
  <si>
    <t>Numero de servicios habilitados en ESES de segundo nivel</t>
  </si>
  <si>
    <t>% de implementación del nuevo esquema de red</t>
  </si>
  <si>
    <t>Actualización de documento de reorganización y modernización de redes</t>
  </si>
  <si>
    <t>Documento actualizado y aprobado por el Ministerio de Salud</t>
  </si>
  <si>
    <t>Mantener vigilancia activa de todos los eventos de interés en salud pública, factores de riesgo y protectores dirigido a las personas y el ambiente</t>
  </si>
  <si>
    <t>% de municipios con vigilancia activa por parte del Laboratorio de Salud Pública del Departamento y la Red de Laboratorios</t>
  </si>
  <si>
    <t>Vigilancia de la calidad del agua para consumo humano de conformidad con los parámetros normativos: a partir del 2012 además de acueductos rurales y urbanos se vigilarán pozos y los establecimientos de alto riesgo epidemiológico</t>
  </si>
  <si>
    <t>Número de pruebas efectuadas por año</t>
  </si>
  <si>
    <t xml:space="preserve">Iniciar el proceso de vigilancia en agua para consumo humano de dos nuevos agentes: en criptosproridium y giardias </t>
  </si>
  <si>
    <t>% de municipios vigilados en los dos nuevos agentes</t>
  </si>
  <si>
    <t>Gestión del proyecto para la implementación de la vigilancia en agua para consumo humano con nueva tecnología y capacitación del talento humano</t>
  </si>
  <si>
    <t>Proyecto formulado y gestionado Si= 1 No=0</t>
  </si>
  <si>
    <t>Vigilancia y control de alimentos de alto y bajo riesgo epidemiológico</t>
  </si>
  <si>
    <t>% de muestras por municipio que son procesadas oportunamente</t>
  </si>
  <si>
    <t>Vigilancia y control de las enfermedades de interés en salud pública por el Laboratorio de Salud Pública Departamental y la Red de Laboratorios</t>
  </si>
  <si>
    <t>Acreditación del Laboratorio de Salud Pública con ISO 17025</t>
  </si>
  <si>
    <t>% de pruebas del Laboratorio acreditadas</t>
  </si>
  <si>
    <t>Adecuación de la infraestructura del Laboratorio de Salud Pública del Departamento</t>
  </si>
  <si>
    <t>Laboratorio adecuado Si= 1 No=0</t>
  </si>
  <si>
    <t>Construcción y dotación de las nuevas unidades de vigilancia en medicamentos y entomología</t>
  </si>
  <si>
    <t>Control de calidad a la Red Departamental de Laboratorios y bancos de sangre</t>
  </si>
  <si>
    <t>Número de laboratorios, bancos de sangre y centros transfusionales con evaluación externa de desempeño</t>
  </si>
  <si>
    <t>Asistencia técnica en campo a los laboratorios de la red en la estandarización de los diagnósticos, normatividad, protocolos de vigilancia en salud pública y en el sistema de gestión de calidad</t>
  </si>
  <si>
    <t>Número de visitas de asistencia técnica a los laboratorios de la red y a los bancos de sangre por año</t>
  </si>
  <si>
    <t>Capacitación en vigilancia en salud pública, en sistema de referencia y contrareferencia, sistemas de información, diagnóstico y control de calidad de los eventos de interés en salud pública</t>
  </si>
  <si>
    <t xml:space="preserve">Número de capacitaciones realizadas por año </t>
  </si>
  <si>
    <t>Control de calidad indirecta a los resultados de los análisis de las patologías de interés en salud pública</t>
  </si>
  <si>
    <t>% de control de calidad indirecta de los resultados de la pruebas recibidas</t>
  </si>
  <si>
    <t>Numero  de municipios con actividades de promoción de la inclusión laboral realizadas.</t>
  </si>
  <si>
    <t>Construcción obras civiles acueducto de Aracataca</t>
  </si>
  <si>
    <t>% de cobertura</t>
  </si>
  <si>
    <t>Construcción obras civiles acueducto de Ariguaní</t>
  </si>
  <si>
    <t>Construcción obras civiles acueducto de Cerro de San Antonio</t>
  </si>
  <si>
    <t>Construcción obras civiles acueducto de Palermo, municipio de Sitionuevo</t>
  </si>
  <si>
    <t>Construcción obras civiles acueducto de Pijiño del Carmen</t>
  </si>
  <si>
    <t>Construcción obras civiles acueducto de Pivijay</t>
  </si>
  <si>
    <t>Construcción obras civiles acueducto de Plato</t>
  </si>
  <si>
    <t>Construcción obras civiles acueducto de Sabanas de San Angel</t>
  </si>
  <si>
    <t>Construcción obras civiles acueducto de Santa Marta</t>
  </si>
  <si>
    <t>Construcción obras civiles acueducto de Santa Rosa de Lima, municipio de Fundación</t>
  </si>
  <si>
    <t>Construcción obras civiles acueducto de Guacamayal, municipio de Zona Bananera</t>
  </si>
  <si>
    <t>Construcción obras civiles acueducto de Guamachito, municipio de Zona Bananera</t>
  </si>
  <si>
    <t>Construcción obras civiles acueducto de La Gran Vía, municipio de Zona Bananera</t>
  </si>
  <si>
    <t>Construcción obras civiles acueducto de Orihueca, municipio de Zona Bananera</t>
  </si>
  <si>
    <t>Construcción obras civiles acueducto de Palomar, municipio de Zona Bananera</t>
  </si>
  <si>
    <t>Construcción obras civiles acueducto de Prado Sevilla, municipio de Zona Bananera</t>
  </si>
  <si>
    <t>Construcción obras civiles acueducto de Rio Frío, municipio de Zona Bananera</t>
  </si>
  <si>
    <t>Construcción obras civiles acueducto de Sevilla, municipio de Zona Bananera</t>
  </si>
  <si>
    <t>Construcción obras civiles acueducto de Soplador, municipio de Zona Bananera</t>
  </si>
  <si>
    <t>Construcción obras civiles acueducto de Tucurinca, municipio de Zona Bananera</t>
  </si>
  <si>
    <t>Construcción obras civiles acueducto de Varela, municipio de Zona Bananera</t>
  </si>
  <si>
    <t>Construcción obras civiles alcantarillado municipio de Algarrobo</t>
  </si>
  <si>
    <t>Construcción obras civiles alcantarillado municipio de Aracataca</t>
  </si>
  <si>
    <t>Construcción obras civiles alcantarillado municipio de Ariguaní</t>
  </si>
  <si>
    <t>Construcción obras civiles alcantarillado municipio de Cerro de San Antonio</t>
  </si>
  <si>
    <t>Construcción obras civiles optimización alcantarillado municipio de Chivolo</t>
  </si>
  <si>
    <t>Construcción obras civiles optimización acueducto de Nueva Granada</t>
  </si>
  <si>
    <t>Construcción obras civiles alcantarillado municipio de Concordia</t>
  </si>
  <si>
    <t>Construcción obras civiles alcantarillado municipio de Fundación</t>
  </si>
  <si>
    <t>Construcción obras civiles alcantarillado Guaimaro, municipio de Salamina</t>
  </si>
  <si>
    <t>Construcción obras civiles alcantarillado municipio de Nueva Granada</t>
  </si>
  <si>
    <t>Construcción obras civiles alcantarillado de Palermo, municipio de Sitionuevo</t>
  </si>
  <si>
    <t>Construcción obras civiles alcantarillado municipio de Plato</t>
  </si>
  <si>
    <t>Construcción obras civiles alcantarillado municipio de Pueblo Viejo</t>
  </si>
  <si>
    <t>Construcción obras civiles alcantarillado municipio de San Sebastián de Buenavista</t>
  </si>
  <si>
    <t>Construcción obras civiles alcantarillado municipio de Santa Bárbara de Pinto</t>
  </si>
  <si>
    <t>Construcción obras civiles alcantarillado distrito de Santa Marta</t>
  </si>
  <si>
    <t>Construcción obras civiles alcantarillado municipio de Sitionuevo</t>
  </si>
  <si>
    <t>Construcción obras civiles alcantarillado municipio de Zapayán</t>
  </si>
  <si>
    <t>Construcción obras civiles alcantarillado municipio de Zona Bananera</t>
  </si>
  <si>
    <t>Servicio de Aseo           Si=1 No=0</t>
  </si>
  <si>
    <t>Cierre de botaderos e implementado Servicio de Aseo municipio de Algarrobo</t>
  </si>
  <si>
    <t>Cierre de botaderos e implementado Servicio de Aseo municipio de Aracataca</t>
  </si>
  <si>
    <t>Cierre de botaderos e implementado Servicio de Aseo municipio de Ariguaní</t>
  </si>
  <si>
    <t>Cierre de botaderos e implementado Servicio de Aseo municipio de Chivolo</t>
  </si>
  <si>
    <t>Cierre de botaderos e implementado Servicio de Aseo municipio de Cerro de San Antonio</t>
  </si>
  <si>
    <t>Cierre de botaderos e implementado Servicio de Aseo municipio de Concordia</t>
  </si>
  <si>
    <t>Cierre de botaderos e implementado Servicio de Aseo municipio de El Retén</t>
  </si>
  <si>
    <t>Cierre de botaderos e implementado Servicio de Aseo municipio de Fundación</t>
  </si>
  <si>
    <t>Cierre de botaderos e implementado Servicio de Aseo municipio de Guamal</t>
  </si>
  <si>
    <t>Cierre de botaderos e implementado Servicio de Aseo municipio de Nueva Granada</t>
  </si>
  <si>
    <t>Cierre de botaderos e implementado Servicio de Aseo municipio de Pedraza</t>
  </si>
  <si>
    <t>Cierre de botaderos e implementado Servicio de Aseo municipio de Pijiño del Carmen</t>
  </si>
  <si>
    <t>Cierre de botaderos e implementado Servicio de Aseo municipio de Pivijay</t>
  </si>
  <si>
    <t>Cierre de botaderos e implementado Servicio de Aseo municipio de Plato</t>
  </si>
  <si>
    <t>Cierre de botaderos e implementado Servicio de Aseo municipio de Sabanas de San Angel</t>
  </si>
  <si>
    <t>Cierre de botaderos e implementado Servicio de Aseo municipio de San Sebastián de Buenavista</t>
  </si>
  <si>
    <t>Cierre de botaderos e implementado Servicio de Aseo municipio de Santa Bárbara de Pinto</t>
  </si>
  <si>
    <t>Cierre de botaderos e implementado Servicio de Aseo municipio de Sitionuevo</t>
  </si>
  <si>
    <t>Cierre de botaderos e implementado Servicio de Aseo municipio de Tenerife</t>
  </si>
  <si>
    <t>Cierre de botaderos e implementado Servicio de Aseo municipio de Zapayán</t>
  </si>
  <si>
    <t>Cierre de botaderos e implementado Servicio de Aseo municipio de Zona Bananera</t>
  </si>
  <si>
    <t>Construcción Relleno Sanitario en el municipio de Concordia</t>
  </si>
  <si>
    <t>Relleno construido Si=1 No=0</t>
  </si>
  <si>
    <t>Construcción Relleno Sanitario en el municipio de Plato</t>
  </si>
  <si>
    <t xml:space="preserve">Construcción Relleno Sanitario en el municipio de San Sebastián </t>
  </si>
  <si>
    <t>Construcción Relleno Sanitario en el municipio de Sitionuevo</t>
  </si>
  <si>
    <t>Meta            2012-2015</t>
  </si>
  <si>
    <t>% notificacion de eventos y sucesos de interes en salud publica</t>
  </si>
  <si>
    <t xml:space="preserve">% notificacion semanal </t>
  </si>
  <si>
    <t>Atención Integral a la Familia</t>
  </si>
  <si>
    <t>Levantamiento línea de base del estado del Goce Efectivo de derechos de niños, niñas, adolescentes y jóvenes víctimas del desplazamiento residentes en el Magdalena</t>
  </si>
  <si>
    <t>Plan departamental de seguridad alimentaria para población víctima del desplazamiento ubicada en la zona rural del Magdalena.</t>
  </si>
  <si>
    <t>Creación de Centros Regionales de Atención a la Población Víctima</t>
  </si>
  <si>
    <t>Número de Centros creados</t>
  </si>
  <si>
    <t>Alfabetización de Adultos Víctimas del Conflicto con los modelos flexibles existentes en el portafolio del Ministerio de Educación Nacional.</t>
  </si>
  <si>
    <t>Formulación e implementación de un Modelo Atención psicosocial a la población Victima del conflicto armado.</t>
  </si>
  <si>
    <t>Observatorio  de Derechos Humanos para Población víctima</t>
  </si>
  <si>
    <t>Creación de la sala permanente de Memoria Histórica sobre el conflicto armado interno en el Departamento del Magdalena.</t>
  </si>
  <si>
    <t>Sistema de información de víctimas del conflicto armado del departamento del magdalena.</t>
  </si>
  <si>
    <t>Creada sala permanente de memotía histórica sobre conflicto armado interno Si=1 No=0</t>
  </si>
  <si>
    <t>Línea base construida       Si=1 No=0</t>
  </si>
  <si>
    <t>Numero de familias victimas beneficiadas</t>
  </si>
  <si>
    <t>Número de victimas alfabetizadas por año</t>
  </si>
  <si>
    <t>nd</t>
  </si>
  <si>
    <t>Municipios con  protocolo socializado</t>
  </si>
  <si>
    <t>Número de victimas atendidos</t>
  </si>
  <si>
    <t>Desarrollo de la empresa femenina artesanal y tradicional de los indígenas de la Sierra Nevada de Santa Marta</t>
  </si>
  <si>
    <t>Fortalecimiento de las unidades productivas en funcionamiento de la población víctima del desplazamiento ubicada en la zona rural del Magdalena, por medio de capital y asistencia técnica en administración, mercadeo, redes de comercialización y tecnificación para aumentar ingresos familiares y utilidad de los recursos naturales de sus parcelas.</t>
  </si>
  <si>
    <t>Apoyo a la gestión efectiva de la mesa departamental de víctimas.</t>
  </si>
  <si>
    <t>Apoyo a la divulgación de información concerniente a las víctimas a través de medios masivos de comunicación.</t>
  </si>
  <si>
    <t>Socialización del protocolo de participación de las víctimas</t>
  </si>
  <si>
    <t>Garantizar que las empresas legalmente constituidas en el Departamento mantengan activos los programas de salud ocupacional</t>
  </si>
  <si>
    <t>% de empresas con programas activos de salud ocupacional</t>
  </si>
  <si>
    <t>ND</t>
  </si>
  <si>
    <t>Lograr que las ESEs del Dpto cumplan con los programas de salud ocupacional</t>
  </si>
  <si>
    <t>Numero de ESES con los programas de salud ocupacional implementados</t>
  </si>
  <si>
    <t>Desarrollar actividades de promocion de la salud y reorientacion de servicios de prevención de riesgos de la salud y riesgos profesionales en poblacion afilada a ARP</t>
  </si>
  <si>
    <t>No  de ARP involucradas en Acciones de IEC ,derechos y deberes en salud y riesgos profesionales.</t>
  </si>
  <si>
    <t>Realizar  visitas de Inspección Vigilancia y Control de  Riesgos  Profesionales en ambientes laborales a las empresas del Dpto</t>
  </si>
  <si>
    <t>Número de visitas de Inspección Vigilancia y Control de Riesgos profesionales realizadas a las empresas del departamento</t>
  </si>
  <si>
    <t>Fortalecer los 29 Comites Locales de Salud Ocupacional del Departamento.</t>
  </si>
  <si>
    <t>Numero de Comites de Salud Ocupaciona funcionando con reuniones y actas y compromisos.</t>
  </si>
  <si>
    <t>Estudio cualitativo de las condiciones y proyecciones de la población retornada y reubicada en el Magdalena.</t>
  </si>
  <si>
    <t>Número de municipios con estudio de las condiciones de la población retornada y reubicada en el Magdalena</t>
  </si>
  <si>
    <t>Número de municipios beneficiados con el fortalecimiento de unidades productivas para población victima</t>
  </si>
  <si>
    <t>Número de pescadores víctimas beneficiados</t>
  </si>
  <si>
    <t>Formación Empresarial para población Victima del Conflicto en convenio con el SENA</t>
  </si>
  <si>
    <t>Número de victimas beneficiadas</t>
  </si>
  <si>
    <t>Número de organizaciones beneficiadas anualmente</t>
  </si>
  <si>
    <t>Número de eventos de socialización realizados</t>
  </si>
  <si>
    <t>Número de hogares beneficiados</t>
  </si>
  <si>
    <t>Capacitación permanente a funcionarios municipales sobre planeación, evaluación y seguimiento a la política pública de víctimas.</t>
  </si>
  <si>
    <t>Número de funcionarios capacitados por año</t>
  </si>
  <si>
    <t>Apoyo y promoción a la operación del Comité de Justicia Transicional Departamental.</t>
  </si>
  <si>
    <t>Número de Comités de Justicia Transicional apoyados por año</t>
  </si>
  <si>
    <t>Número de mujeres indígenas beneficiadas</t>
  </si>
  <si>
    <t>EDUCACION DE ADULTOS</t>
  </si>
  <si>
    <t>Mejoramiento y construcción de VIS</t>
  </si>
  <si>
    <t>Aumentar la oferta de VIS gestionada por el Departamento</t>
  </si>
  <si>
    <t>Hogares en déficit cuantitativo de vivienda</t>
  </si>
  <si>
    <t>40.725 (2005)</t>
  </si>
  <si>
    <t>Titulación masiva de vivienda</t>
  </si>
  <si>
    <t>Lograr la legalización y actualización catastral del 100% predios fiscales identificados de propiedad del Departamento</t>
  </si>
  <si>
    <t>N.D.</t>
  </si>
  <si>
    <t>-</t>
  </si>
  <si>
    <t>Gestión de proyectos para reubicación de viviendas</t>
  </si>
  <si>
    <t>Reubicar viviendas localizadas en zonas de alto riesgo</t>
  </si>
  <si>
    <t>5.221 (2010)</t>
  </si>
  <si>
    <t>Porcentaje de vacunación &gt;=95%</t>
  </si>
  <si>
    <t>&gt;=95%</t>
  </si>
  <si>
    <t>Desarrollo de estrategia de formacion para la sexualidad, construccion de ciudadania y habilidades para la vida en  los municipios del departamento</t>
  </si>
  <si>
    <t xml:space="preserve">Notificacion de eventos y sucesos de interes en salud publica </t>
  </si>
  <si>
    <t>Numero de municipios con plan de respuesta intersectorial implementado</t>
  </si>
  <si>
    <t>Movilizacion Social Dia de Lucha contra el VIH  con entrega de preservativos para promover la prevencion del VIH</t>
  </si>
  <si>
    <t>Desarrollo e implementacion del plan de respuesta intersectorial en VIH/SIDA vigente, en coordinacion con las entidades promotoras de salud en los municipios del departamento</t>
  </si>
  <si>
    <t>Tasa de desnutrición Crónica * 100,000 en menores de 5 años</t>
  </si>
  <si>
    <t xml:space="preserve">Contener en 7 por cien mil mujeres, la tasa de mortalidad por cáncer de cuello uterino </t>
  </si>
  <si>
    <t xml:space="preserve">Tasa de mortalidad por cancer  de utero </t>
  </si>
  <si>
    <t>Taller  a los actores de la red, EPSs/EPSc y ESE, en la actualizacion de politicas,  protocolos y guias de atencion en salud mental</t>
  </si>
  <si>
    <t>Taller  a los jovenes de  escuelas saludables mediante estrategia Inter Participativa sobre prevencion del consumo y fortalecimiento de factores protectores en los 29 municipios</t>
  </si>
  <si>
    <t>No. de municipios que promuevan la estrategia de habitos de autocuidados, estilos de vida saludable y proteccion de la vida</t>
  </si>
  <si>
    <t>No. de municipios con campañas de diagnostico precoz y prevencion de riesgos implementados</t>
  </si>
  <si>
    <t>Aumentar  el Numero de Municipios que cumplen con la meta de eliminacion de lepra</t>
  </si>
  <si>
    <t xml:space="preserve">N° de municipios donde se realiza busqueda activa </t>
  </si>
  <si>
    <t>Tasa de Mortalidad Materna</t>
  </si>
  <si>
    <t>Lograr y mantener coberturas útiles de vacunación</t>
  </si>
  <si>
    <t>Fortalecimiento de la Cadena de Frio del Departamento del Magdalena.</t>
  </si>
  <si>
    <t xml:space="preserve">Suministro de Micronutrientes y desparasitante a niños y niñas menores de 5 años no afiliados al SGSSS en los 29 municipios </t>
  </si>
  <si>
    <t>No. de menores de 5 años desparasitados y suplemementados sin SGSSS</t>
  </si>
  <si>
    <t>Fortalecimiento del sistema de Informacion del Plan Ampliado de Inmunización (PAI) del Departamento del Magdalena.</t>
  </si>
  <si>
    <t>Nuevas áreas construidas y dotadas          Si=1 No=0</t>
  </si>
  <si>
    <t>Tasa de mortalidad por SIDA x 100000 hab</t>
  </si>
  <si>
    <t>Tasa de mortalidad por suicidio x 100000 hab</t>
  </si>
  <si>
    <t>Tasa de mortalidad por Enfermedad cerebrovascular  por 100000 hab</t>
  </si>
  <si>
    <t>Reducida a 92,18 x 100.000 nacidos vivos la razon de mortalidad materna   en el Departamento del Magdalena al año 2015</t>
  </si>
  <si>
    <t>Reducida a 14,7 x 1000 nacidos vivos la tasa de mortalidad en menores de un año en el  Departamento del Magdalena   al año  2015</t>
  </si>
  <si>
    <t>Tasa Mortalidad Infantil  por 1000 NV</t>
  </si>
  <si>
    <t>Numero de municipios donde se desarrolla la politica de Salud Ambiental</t>
  </si>
  <si>
    <t xml:space="preserve">Vigilada y monitoreada la calidad del agua en el 100% de los sistemas de suministro e implementados planes de mejoramiento en los que incumplen BPS </t>
  </si>
  <si>
    <t xml:space="preserve">% de sistemas inspeccionados y monitoreados </t>
  </si>
  <si>
    <t>Articulación interinstitucional de la Mesa de Calidad del Agua del COTSA</t>
  </si>
  <si>
    <t>Número de reuniones al año</t>
  </si>
  <si>
    <t>Información, educación y comunicación en calidad del agua a la comunidad de los 29 municipios</t>
  </si>
  <si>
    <t>Número de municipios beneficiados con IEC en calidad de agua</t>
  </si>
  <si>
    <t xml:space="preserve">Visitados el 100% de establecimientos priorizados con enfoque de riesgo </t>
  </si>
  <si>
    <t>% de establecimientos y manipuladores visitados con enfoque de riesgo</t>
  </si>
  <si>
    <t>Número de municipios donde se realiza muestreo</t>
  </si>
  <si>
    <t>Ejecutadas acciones de movilización en los 29 municipios</t>
  </si>
  <si>
    <t xml:space="preserve">Numero de municipios beneficiados </t>
  </si>
  <si>
    <t xml:space="preserve">Ejecutado plan de fortalecimiento interinstitucional </t>
  </si>
  <si>
    <t xml:space="preserve">% de ejecución del plan </t>
  </si>
  <si>
    <t>2.4.3</t>
  </si>
  <si>
    <t xml:space="preserve">Ejecutadas acciones de movilización social sobre normas sanitarias de manejo de plaguicidas en los 29 municipios </t>
  </si>
  <si>
    <t xml:space="preserve">% de establecimientos priorizados visitados </t>
  </si>
  <si>
    <t xml:space="preserve">Fortalecida la coordinación intersectorial para mejorar los procesos en la cadena de comercialización </t>
  </si>
  <si>
    <t>2.4.4</t>
  </si>
  <si>
    <t>Aumentar en un 30% el número de establecimientos que mejoran la gestión interna y externa</t>
  </si>
  <si>
    <t>% de incremento de implementación de PGIRS</t>
  </si>
  <si>
    <t>Ejecutar  anualmente el 100% del plan de fortalecimiento institucional</t>
  </si>
  <si>
    <t>% de cumplimiento anual del Plan de capacitación</t>
  </si>
  <si>
    <t>2.4.5</t>
  </si>
  <si>
    <t>Ejecutado plan de visitas de verificación y asistencia técnica  a fuentes fijas priorizadas y  condiciones de inmisión en áreas priorizadas</t>
  </si>
  <si>
    <t>% de fuentes de emision vigiladas y controladas / % de áreas priorizadas monitoreadas</t>
  </si>
  <si>
    <t>Mesa de calidad del aire operando</t>
  </si>
  <si>
    <t xml:space="preserve">Caracterizadas e intervenidas practicas culturales en zonas priorizadas </t>
  </si>
  <si>
    <t>Numero de municipios encuestados, Numero de municipios intervenidos</t>
  </si>
  <si>
    <t>2.4.6</t>
  </si>
  <si>
    <t xml:space="preserve">Fomentado el manejo adecuado de carga en el 100% de puntos de entrada </t>
  </si>
  <si>
    <t>% de puntos de entrada con manejo adecuado de carga</t>
  </si>
  <si>
    <t>Socializadas las normas de sanidad portuaria en el 100% de los puntos de entrada</t>
  </si>
  <si>
    <t xml:space="preserve">% de puntos de entrada donde se socializan normas  </t>
  </si>
  <si>
    <t xml:space="preserve">Ejecutado un plan de coordinación intersectorial  para garantizar el vertido de aguas de lastre en zonas permitidas </t>
  </si>
  <si>
    <t>% de ejecución del plan</t>
  </si>
  <si>
    <t>Desarrollado un plan de fortalecimiento institucional</t>
  </si>
  <si>
    <t>2.4.7</t>
  </si>
  <si>
    <t xml:space="preserve">Ejecutado un plan de promoción de espacios saludables </t>
  </si>
  <si>
    <t>Mantenida la cobertura de vacunación canina y felina</t>
  </si>
  <si>
    <t>% de  cobertura de vacunación</t>
  </si>
  <si>
    <t xml:space="preserve">Ejecutado un plan de capacitación en guías y  protocolos </t>
  </si>
  <si>
    <t>% de cumplimiento del plan de capacitación</t>
  </si>
  <si>
    <t>Capacitados los 29 municipios en sistema de información de zoonosis</t>
  </si>
  <si>
    <t>Numero de municipios capacitados</t>
  </si>
  <si>
    <t>Ejecutado un plan de IVC</t>
  </si>
  <si>
    <t>% de ejecución de acciones programadas</t>
  </si>
  <si>
    <t>Capacitado el recurso humano  de los 29 municipios  que hace IVC</t>
  </si>
  <si>
    <t>Numero de municipios  beneficiados</t>
  </si>
  <si>
    <t>2.4.9</t>
  </si>
  <si>
    <t>Vigilar y controlar el 100% de los servicios farmacéuticos con enfoque de riesgo</t>
  </si>
  <si>
    <t xml:space="preserve">% de  cobertura de visitas </t>
  </si>
  <si>
    <t xml:space="preserve">Garantizar la idoneidad de los Directores técnicos de los servicios farmacéuticos </t>
  </si>
  <si>
    <t xml:space="preserve">% de cumplimiento   de actividades programadas </t>
  </si>
  <si>
    <t>Capacitar el 100% de los técnico que ejecutan acciones de IVC</t>
  </si>
  <si>
    <t xml:space="preserve">% mínimo de cumplimiento anual del   plan de capacitación </t>
  </si>
  <si>
    <t>2.4.10</t>
  </si>
  <si>
    <t xml:space="preserve"> Fortalecido el plan  de prevención y control integral de las ETV</t>
  </si>
  <si>
    <t>Realizar actividades de Promoción de la Inclusión laboral a población en condición de discapacidad en los 29 municipios del Magdalena</t>
  </si>
  <si>
    <t>Atención en salud a población víctimas  a través de la red pública hospitalaria con enfoque diferencial</t>
  </si>
  <si>
    <t>Nùmero de talleres realizados</t>
  </si>
  <si>
    <t xml:space="preserve">N° de Municipios que desarrollan estas estrategias </t>
  </si>
  <si>
    <t xml:space="preserve">Taller de normas tecnicas y guias de atencion en Enfermedades Crònicas No Trasmisibles -ECNT y sobre estrategias de instituciones libres de humo, entorno saludable, ejercicio, dieta balanceada a los actores de los 29 municipios </t>
  </si>
  <si>
    <t>Nùmero de talleres realizados por año</t>
  </si>
  <si>
    <t>Implementacion  de campañas de diagnostico precoz y prevencion de riesgos, enfermedad renal, hipertensiòn arterial -HTA, diabetes, salud visual y auditiva  y otras no transmisibles</t>
  </si>
  <si>
    <t>Nùmero de municipios con busqueda activa de sintomaticos</t>
  </si>
  <si>
    <t xml:space="preserve">Nùmero Municipios que cumplen con la meta de eliminacion de LEPRA </t>
  </si>
  <si>
    <t>Nùmero  de municipios  con adopcion de la Politica de Salud Mental</t>
  </si>
  <si>
    <t>Jornada realizas por municipio</t>
  </si>
  <si>
    <t>Número  de tallers con actualizacion de protocolos a los actores por año</t>
  </si>
  <si>
    <t>Fortalecimiento de las redes sociales de los 29 municipios en prevenciòn del consumo de sustancias sicoactivas y factores protectores</t>
  </si>
  <si>
    <t>Nùmero de municipios con redes fortalecidas</t>
  </si>
  <si>
    <t>Adopcion, implementacion, seguimiento y evaluacion de los planes de salud mental</t>
  </si>
  <si>
    <t>Nùmero de Planes Adoptados e Implementados</t>
  </si>
  <si>
    <t xml:space="preserve">Desarrollo de estrategias en instituciones educativas, espacios de trabajo y publicos en  zonas libres de humo, combustibles solidos y entornos saludables en los municipios </t>
  </si>
  <si>
    <t xml:space="preserve">Nùmero de jornadas realizadas por municipio </t>
  </si>
  <si>
    <t>Nùmero de Talleres realizados por año</t>
  </si>
  <si>
    <t>Nùmero de municipios con acciones de movilizaciòn social implementadas</t>
  </si>
  <si>
    <t xml:space="preserve">Nùmeo de taleres desarrollados por año </t>
  </si>
  <si>
    <t>Promover las Políticas Nacionales de Primera Infancia y Plan Nacional de la niñez  en  los municipios del departamento</t>
  </si>
  <si>
    <t>Fortalecimiento  de la Estrategia de Atención Integral de las Enfermedades Prevalentes de la Infancia-AIEPI- Integral en los  municipios</t>
  </si>
  <si>
    <t>N° de los Municipios del Departamento desarrollan componentes de la estrategia  AIEPI Integral</t>
  </si>
  <si>
    <t>Implementar las Salas de Enfermedad Respiratoria Aguda -ERA en las ESES priorizadas</t>
  </si>
  <si>
    <t>Nùmero de ESES con Salas ERA implementadas</t>
  </si>
  <si>
    <t>Dotación a las Unidades de Rehidratación Oral Comunitarias -UROCS y de Unidades de Atención Integral de Respiración Aguda Comunitarias -UAIRACS</t>
  </si>
  <si>
    <t>Número de Unidades dotadas</t>
  </si>
  <si>
    <t xml:space="preserve">Nª de municipios  con sisitema de informacion del programa PAI  </t>
  </si>
  <si>
    <t>Difundir y promocionar las politicas publicas en salud, normas tecnicas y guias de atencion del PAI en el Departmento del Magdalena.</t>
  </si>
  <si>
    <t>Nùmero de talleres de difusiòn por año</t>
  </si>
  <si>
    <t>Número de ESES con dotaciòn para el PAI</t>
  </si>
  <si>
    <t>Movilizaciòn social para la prevenciòn de la enfermedad inmuno prevenibles</t>
  </si>
  <si>
    <t>Implementaciòn del Banco de Leche Materna con Redes Sociales</t>
  </si>
  <si>
    <t>Banco Implementado SI=1 No=0</t>
  </si>
  <si>
    <t xml:space="preserve">Taller de actualizaciòn a las redes de apoyo integral a la lactancia materna en los municipios </t>
  </si>
  <si>
    <t>Nùmero de Talleres realizados por municipio</t>
  </si>
  <si>
    <t>Nùmero de talleres por año</t>
  </si>
  <si>
    <t>Número de Inimputables con atenciòn integral anualmente</t>
  </si>
  <si>
    <t>Documento de caracterización elaborado Si=1 No=0</t>
  </si>
  <si>
    <t>Implementación del registro electrónico de localización y caracterización de la población en condiciòn de discapacidad</t>
  </si>
  <si>
    <t>Realizar actividades de Promoción de la Inclusión laboral de la poblaciòn en condiciòn de discapacidad en los 29 municipios del Magdalena, en coordinación con otras entidades</t>
  </si>
  <si>
    <t>Número de adultos mayores vulnerables atendidos en salud en los 29 municipios</t>
  </si>
  <si>
    <t xml:space="preserve">Garantizar cobertura en salud a la población pobre no asegurada adulta mayor vulnerable </t>
  </si>
  <si>
    <t>Atención, identificación y caracterización de adultos mayores en asilos del departamento</t>
  </si>
  <si>
    <t>Concertación del modelo intercultural basado en la cosmovisiòn para la atención en salud en los pueblos indígenas con enfoque diferencial</t>
  </si>
  <si>
    <t>Concertaciòn para la construcciòn del modelo         Si=1 No=0</t>
  </si>
  <si>
    <t>Socialización  en deberes y derechos en salud a la población victima</t>
  </si>
  <si>
    <t xml:space="preserve">Gestiòn para la unificaciòn de los servicios no POS </t>
  </si>
  <si>
    <t>Documento de Plan de servicios a unificar gestionado   SI=1 No=0</t>
  </si>
  <si>
    <t>COMBATE A LA POBREZA EXTREMA Y LA DESIGUALDAD</t>
  </si>
  <si>
    <t>Definida estrategia interinstitucional para combatir la pobreza extrema y la desigualdad</t>
  </si>
  <si>
    <t>Estrategia formalizada. SI=1; NO=0</t>
  </si>
  <si>
    <t>Formulaciòn e implementaciòn de Plan de Acciòn interinstitucional con metas y acciones especìficas en las dimensiones de lucha contra la pobreza extrema y la desigualdad</t>
  </si>
  <si>
    <t>Identificar con registro civil de nacimiento, tarjeta de identidad, cèdula de ciudadanìa y libreta militar a población vulnerable</t>
  </si>
  <si>
    <t>Número de personas documentadas</t>
  </si>
  <si>
    <t>Presencia de la Fuerza Pública. SI=1; NO=O</t>
  </si>
  <si>
    <t>Presencia permanente de la Fuerza Pública en zonas de retorno</t>
  </si>
  <si>
    <t>Objetivo</t>
  </si>
  <si>
    <t>Eje Estratégico</t>
  </si>
  <si>
    <t>Programa</t>
  </si>
  <si>
    <t>Subprograma</t>
  </si>
  <si>
    <t>Producto</t>
  </si>
  <si>
    <t>Indicador</t>
  </si>
  <si>
    <t>Línea Base</t>
  </si>
  <si>
    <t>Meta 2012-2015</t>
  </si>
  <si>
    <t>Meta de Resultado</t>
  </si>
  <si>
    <t>Meta de Producto</t>
  </si>
  <si>
    <t>Meta de Producto Anualizada</t>
  </si>
  <si>
    <t>SGP</t>
  </si>
  <si>
    <t>Rentas Cedidas</t>
  </si>
  <si>
    <t>IVA Telefonía móvil</t>
  </si>
  <si>
    <t>SGR</t>
  </si>
  <si>
    <t>PGN</t>
  </si>
  <si>
    <t>Total Año</t>
  </si>
  <si>
    <t>Total 2012 - 2015</t>
  </si>
  <si>
    <t>PARTE ESTRATEGICA DEL PLAN DE DESARROLLO DEPARTAMENTAL 2012 - 2015</t>
  </si>
  <si>
    <t>Indicador Trazador</t>
  </si>
  <si>
    <t>VIVIENDA</t>
  </si>
  <si>
    <t>PLAN DEPARTAMENTAL DE AGUAS</t>
  </si>
  <si>
    <t>SEGURIDAD ALIMENTARIA Y NUTRICIONAL</t>
  </si>
  <si>
    <t>Infancia y Adolescencia</t>
  </si>
  <si>
    <t>DERECHOS DE EXISTENCIA</t>
  </si>
  <si>
    <t>DERECHOS DE DESARROLLO</t>
  </si>
  <si>
    <t>Todos bien Nutridos</t>
  </si>
  <si>
    <t>Todos con Educación</t>
  </si>
  <si>
    <t>Todos Jugando</t>
  </si>
  <si>
    <t>Todos afectivamente estables</t>
  </si>
  <si>
    <t>DERECHOS DE CIUDADANIA</t>
  </si>
  <si>
    <t>Todos Registrados</t>
  </si>
  <si>
    <t>Todos Participando</t>
  </si>
  <si>
    <t>DERECHOS DE PROTECCION</t>
  </si>
  <si>
    <t>Ninguno en actividad perjudicial</t>
  </si>
  <si>
    <t>Ninguno impulsado a violar la Ley</t>
  </si>
  <si>
    <t>Porcentaje (%) de niños y niñas vinculados a programas de educación inicial</t>
  </si>
  <si>
    <t>Número de casos denunciados de maltrato en niños, niñas y adolescentes entre 0 y 17 años</t>
  </si>
  <si>
    <t>Número de adolescentes entre 14 y 17 años infractores de la Ley Penal vinculados a procesos judiciales</t>
  </si>
  <si>
    <t>EDUCACION Y FORMACION PARA EL TRABAJO</t>
  </si>
  <si>
    <t>EXPRESIONES CULTURALES DE LOS Y LAS JOVENES</t>
  </si>
  <si>
    <t>OPORTUNIDADES PARA EL EMPRENDIMIENTO Y LA EMPLEABILIDAD</t>
  </si>
  <si>
    <t>RECREACION Y DEPORTE</t>
  </si>
  <si>
    <t>ETNIAS DE LA SIERRA NEVADA DE SANTA MARTA</t>
  </si>
  <si>
    <t>ETNIA ETTE ENAKKA (CHIMILA)</t>
  </si>
  <si>
    <t>POBLACION AFRODESCENDIENTE</t>
  </si>
  <si>
    <t>COMUNIDAD ROM (GITANOS)</t>
  </si>
  <si>
    <t>Mujer</t>
  </si>
  <si>
    <t>ATENCION A LA MUJER CABEZA DE HOGAR POBRE</t>
  </si>
  <si>
    <t>FOMENTO EMPRENDEDOR DE LA MUJER</t>
  </si>
  <si>
    <t>Población con Discapacidad</t>
  </si>
  <si>
    <t>ATENCION INTEGRAL A LA POBLACION ADULTA MAYOR</t>
  </si>
  <si>
    <t>Respeto por la Diferencia: Población LGBTI</t>
  </si>
  <si>
    <t>FORTALECIMIENTO ORGANIZACIONAL</t>
  </si>
  <si>
    <t>DISMINUCION DE LA DISCRIMINACION</t>
  </si>
  <si>
    <t>PREVENCION Y ATENCION EN SALUD</t>
  </si>
  <si>
    <t>Educación y Práctica de los Derechos Humanos</t>
  </si>
  <si>
    <t>IMPLEMENTACION DEL SISTEMA TERRITORIAL DE DERECHOS HUMANOS</t>
  </si>
  <si>
    <t>DERECHOS HUMANOS EN EL SISTEMA DE EDUCACION (PLANEDH) Y GENERACION DE CULTURA DE DERECHOS HUMANOS</t>
  </si>
  <si>
    <t>PROMOCION DE LA IGUALDAD ANTE LOS DERECHOS Y ATENCION Y PREVENCION DE TODAS LAS FORMAS DE DISCRIMINACION</t>
  </si>
  <si>
    <t>PLAN DE PREVENCION Y PROTECCION A PERSONAS Y POBLACIONES EN RIESGO DE VIOLACION DE DERECHOS HUMANOS Y DEL DERECHO INTERNACIONAL HUMANITARIO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</si>
  <si>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</si>
  <si>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</si>
  <si>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</si>
  <si>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</si>
  <si>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</si>
  <si>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</si>
  <si>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</si>
  <si>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</si>
  <si>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</si>
  <si>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</si>
  <si>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1.1.1</t>
  </si>
  <si>
    <t>1.1.2</t>
  </si>
  <si>
    <t>1.1.3</t>
  </si>
  <si>
    <t>1.1.4</t>
  </si>
  <si>
    <t>1.1.5</t>
  </si>
  <si>
    <t>1.2.1</t>
  </si>
  <si>
    <t>1.2.2</t>
  </si>
  <si>
    <t>1.2.3</t>
  </si>
  <si>
    <t>1.2.4</t>
  </si>
  <si>
    <t>1.3.1</t>
  </si>
  <si>
    <t>1.3.2</t>
  </si>
  <si>
    <t>1.3.3</t>
  </si>
  <si>
    <t>1.3.4</t>
  </si>
  <si>
    <t>1.4.1</t>
  </si>
  <si>
    <t>1.4.2</t>
  </si>
  <si>
    <t>1.4.3</t>
  </si>
  <si>
    <t>1.4.4</t>
  </si>
  <si>
    <t>1.5.1</t>
  </si>
  <si>
    <t>1.5.2</t>
  </si>
  <si>
    <t>1.5.3</t>
  </si>
  <si>
    <t>1.5.4</t>
  </si>
  <si>
    <t>1.6.1</t>
  </si>
  <si>
    <t>1.6.2</t>
  </si>
  <si>
    <t>1.6.3</t>
  </si>
  <si>
    <t>1.6.4</t>
  </si>
  <si>
    <t>1.7.1</t>
  </si>
  <si>
    <t>1.8.1</t>
  </si>
  <si>
    <t>1.10.1</t>
  </si>
  <si>
    <t>1.10.2</t>
  </si>
  <si>
    <t>1.10.3</t>
  </si>
  <si>
    <t>Meta      2012-2015</t>
  </si>
  <si>
    <t>Atención integral a la Juventud</t>
  </si>
  <si>
    <t>Pueblos originarios, afrodescendientes y Comunidad ROM</t>
  </si>
  <si>
    <t>Población de Adultos Mayores</t>
  </si>
  <si>
    <t>Respeto por la diferencia: Población LGBTI</t>
  </si>
  <si>
    <t>TOTAL</t>
  </si>
  <si>
    <t>Total por Producto</t>
  </si>
  <si>
    <t>Total por Eje Estratégico</t>
  </si>
  <si>
    <t>EJES ESTRATEGICOS</t>
  </si>
  <si>
    <t>OBJETIVO 1: LA POBLACION</t>
  </si>
  <si>
    <t>2.1</t>
  </si>
  <si>
    <t>Subregionalización Nodal</t>
  </si>
  <si>
    <t>2.2</t>
  </si>
  <si>
    <t>Proceso Región Caribe</t>
  </si>
  <si>
    <t>2.2.1</t>
  </si>
  <si>
    <t>REGION ADMINISTRATIVA Y DE PLANIFICACION DEL CARIBE COLOMBIANO</t>
  </si>
  <si>
    <t>PARTICIPACION DEL MAGDALENA EN REGIONES DE PLANEACION Y GESTION</t>
  </si>
  <si>
    <t>2.2.2</t>
  </si>
  <si>
    <t>2.3</t>
  </si>
  <si>
    <t>Lineamientos de Ordenamiento Territorial</t>
  </si>
  <si>
    <t>2.3.1</t>
  </si>
  <si>
    <t>2.4</t>
  </si>
  <si>
    <t>Salud ambiental</t>
  </si>
  <si>
    <t>2.4.1</t>
  </si>
  <si>
    <t>2.4.2</t>
  </si>
  <si>
    <t>2.5</t>
  </si>
  <si>
    <t>2.5.1</t>
  </si>
  <si>
    <t>2.5.2</t>
  </si>
  <si>
    <t>5 Ejes Estratégicos</t>
  </si>
  <si>
    <t>Proceso de Región Caribe</t>
  </si>
  <si>
    <t>Salud Ambiental</t>
  </si>
  <si>
    <t xml:space="preserve">Descripción </t>
  </si>
  <si>
    <t>Todos Vivos y Saludables</t>
  </si>
  <si>
    <t>Número de municipios atendidos</t>
  </si>
  <si>
    <t>Jornadas de capacitación por municipio</t>
  </si>
  <si>
    <t>Todos saludables</t>
  </si>
  <si>
    <t>capacitación a jóvenes y adolescentes sobre prevención del consumo de sustancias psicoactivas, alcohol y tabaco</t>
  </si>
  <si>
    <t>Construcción de ciudadanía y habilidades sociales para la convivencia, dirigido a docentes</t>
  </si>
  <si>
    <t>Número de docentes capacitados anualmente</t>
  </si>
  <si>
    <t>Número de niñas y niños atendidos</t>
  </si>
  <si>
    <t>Construcción de centros infantiles por subregión</t>
  </si>
  <si>
    <t>Número de centros infantiles construidos</t>
  </si>
  <si>
    <t>Incremento de la tasa de cobertura en educación  Grado  Cero (niños de 4 y 5 años) - Transición</t>
  </si>
  <si>
    <t>% de niños y niñas de 4 y 5 años atendidos en Transición</t>
  </si>
  <si>
    <t>VERDAD HISTORICA</t>
  </si>
  <si>
    <t>Construcción, Difusión y apropiación de la memoria histórica</t>
  </si>
  <si>
    <t>Construcción y preservación de memoria historica de casos emblematicos derivados del conflicto armado interno en el Departamento del Magdalena</t>
  </si>
  <si>
    <t xml:space="preserve"> Protección y preservación de la memoria histórica</t>
  </si>
  <si>
    <t>ASISTENCIA Y 
ATENCION  INTEGRAL</t>
  </si>
  <si>
    <t>Asistencia integral a Victímas</t>
  </si>
  <si>
    <t>Dotación de kits de atencion inmediata a ocurrencia de hechos victimizantes en municipios priorizados por niveles de riesgo</t>
  </si>
  <si>
    <t>Numero de kits de atencion inmediata entregados</t>
  </si>
  <si>
    <t>Socialización Protocolo de atención integral en salud con enfoque psicosocial. según lineamientos del Ministerio de Salud</t>
  </si>
  <si>
    <t>Fortalecimiento a pescadores artesanales del Magdalena desplazados residentes en el municipio de Soledad –Atlántico.</t>
  </si>
  <si>
    <t xml:space="preserve">Fortalecimiento empresarial a mujeres victimas indigenas </t>
  </si>
  <si>
    <t>Numero de mujeres victimas indigenas beneficiadas</t>
  </si>
  <si>
    <t>Gestión de campañas de documentacion a victimas en convenio con la Registraduria Nacional</t>
  </si>
  <si>
    <t>Número de jornadas desarrolladas</t>
  </si>
  <si>
    <t>Atención integral a Victímas</t>
  </si>
  <si>
    <t>REPARACION INTEGRAL Y MEDIDAS DE SATISFACCION</t>
  </si>
  <si>
    <t>Medidas de restitucion a victimas</t>
  </si>
  <si>
    <t>Numero de retornos acompañados</t>
  </si>
  <si>
    <t>Medidas de rehabilitacion y satisfaccion a victímas</t>
  </si>
  <si>
    <t>PREVENCION Y PROTECCION</t>
  </si>
  <si>
    <t>Prevención de las  violaciones a los DDHH e infracciones  al DIH</t>
  </si>
  <si>
    <t>Estrategias de prevencion temprana y urgente de violaciones a los DDHH y DIH</t>
  </si>
  <si>
    <t>Numero de estrategias implementadas</t>
  </si>
  <si>
    <t>Estrategias de proteccion individual y colectiva desarrolladas</t>
  </si>
  <si>
    <t xml:space="preserve">Divulgación de medidas de proteccion de personas y comunidades </t>
  </si>
  <si>
    <t>Numero de personas capacitadas</t>
  </si>
  <si>
    <t>Protección de  tierras y territorios</t>
  </si>
  <si>
    <t>Divulgación de medidas de proteccion de tierras y territorios</t>
  </si>
  <si>
    <t>2.6</t>
  </si>
  <si>
    <t>Identidad Cultural</t>
  </si>
  <si>
    <t>2.6.1</t>
  </si>
  <si>
    <t>Edición de (15) títulos anuales de la Colección Dorada de Autores del Magdalena</t>
  </si>
  <si>
    <t>Número de títulos editados</t>
  </si>
  <si>
    <t>15 (2011)</t>
  </si>
  <si>
    <t>Dotación de mínimo  (15) títulos anuales para las bibliotecas de los municipios del Departamento del Magdalena.</t>
  </si>
  <si>
    <t>Institucionalizar programa de capacitación para mínimo (1) bibliotecario por municipio por el cuatrienio.</t>
  </si>
  <si>
    <t>Número de bibliotecarios formados</t>
  </si>
  <si>
    <t>Realizar (2) concursos anuales de literatura para jóvenes, Realizar (1) Concurso anual para poetas populares.</t>
  </si>
  <si>
    <t>Numero de concursos anuales</t>
  </si>
  <si>
    <t>Dotación de mínimo (1) Ludoteca en el Departamento del Magdalena.</t>
  </si>
  <si>
    <t>Número de dotaciones a bibliotecas y/o centros integrales de atención a la primera infancia, con material bibliográfico, audiovisual, musical y lúdico</t>
  </si>
  <si>
    <t>Desarrollar mínimo (1) programa de rescate y recreación lúdica con juegos didácticos tradicionales dirigido a mínimo (7) municipios por año.</t>
  </si>
  <si>
    <t>Número de municipios vinculadas a programas de formación con la primera infancia</t>
  </si>
  <si>
    <t>Vincular a mínimo (400) niños por cuatrienio a los talleres de danza, pintura, teatro y música.</t>
  </si>
  <si>
    <t>Número de niños vinculados a programas de formación cultural (escuelas de danza, pintura, teatro, música)</t>
  </si>
  <si>
    <t>2.6.2</t>
  </si>
  <si>
    <t>Realizar mínimo (7) Inventarios municipales por año de los bienes de interés cultural.</t>
  </si>
  <si>
    <t>Número de municipios con inventario anual</t>
  </si>
  <si>
    <t>Apoyar económicamente a fiestas y festivales de  mínimo (5) municipios por año.</t>
  </si>
  <si>
    <t>Número municipios apoyados en fiestas y festivales económicamente.</t>
  </si>
  <si>
    <t>20 (2008-2011)</t>
  </si>
  <si>
    <t>Meta               2012-2015</t>
  </si>
  <si>
    <t>2.4.8</t>
  </si>
  <si>
    <t>3.2</t>
  </si>
  <si>
    <t>Ciencia, tecnología e innovación: motor hacia una nueva economía</t>
  </si>
  <si>
    <t>3.3</t>
  </si>
  <si>
    <t>Productividad de la oferta laboral y trabajo decente</t>
  </si>
  <si>
    <t>3.4</t>
  </si>
  <si>
    <t>Emprendimiento, desarrollo empresarial e internacionalización de la economía</t>
  </si>
  <si>
    <t>3.5</t>
  </si>
  <si>
    <t>Infraestructura estratégica</t>
  </si>
  <si>
    <t>3.5.1</t>
  </si>
  <si>
    <t>3.5.2</t>
  </si>
  <si>
    <t>3.5.3</t>
  </si>
  <si>
    <t>3.5.4</t>
  </si>
  <si>
    <t>3.5.5</t>
  </si>
  <si>
    <t>4.1.5</t>
  </si>
  <si>
    <t>DEPORTE Y RECREACION PARA TODOS</t>
  </si>
  <si>
    <t>Repoblamiento con especies nativas mediante salvamento y residencia</t>
  </si>
  <si>
    <t xml:space="preserve">Número de estaciones piloto de acuicultura </t>
  </si>
  <si>
    <t>Implementación del Plan Departamental de Seguridad Alimentaria y Nutricional (PSAN) y de la Estrategia regional Caribe sin Hambre</t>
  </si>
  <si>
    <t>% de entidades articuladas con acciones al plan de acción del PSAN</t>
  </si>
  <si>
    <t>Incremento de la producción  local de alimentos para apoyo de la seguridad alimentaria y nutricional de las familias</t>
  </si>
  <si>
    <t>Número de municipios con proyectos de producción agrícola para seguridad alimentaria y nutricional</t>
  </si>
  <si>
    <t>Mejoramiento de escenarios deportivos y parques de propiedad del departamento</t>
  </si>
  <si>
    <t>Otras fuentes</t>
  </si>
  <si>
    <t>Meta                2012-2015</t>
  </si>
  <si>
    <t>OBJETIVO 3: LA ECONOMIA</t>
  </si>
  <si>
    <t>4.1</t>
  </si>
  <si>
    <t>4.2</t>
  </si>
  <si>
    <t>6 Ejes Estratégicos</t>
  </si>
  <si>
    <t>Identidad cultural</t>
  </si>
  <si>
    <t>Acompañamiento integral a víctimas del conflicto armado</t>
  </si>
  <si>
    <t>1.11</t>
  </si>
  <si>
    <t>Población desmovilizada en procesos de reinserción</t>
  </si>
  <si>
    <t>Acompañamiento integral a vìctimas del conflicto armado</t>
  </si>
  <si>
    <t xml:space="preserve">Lactancia materna exclusiva </t>
  </si>
  <si>
    <t>Programas de cultura dirigidos a población de 18 a 26 años de edad</t>
  </si>
  <si>
    <t>Número de programas culturales en los que participan jóvenes</t>
  </si>
  <si>
    <t>En funcionamiento programa de apoyo al emprendimiento con participación de jóvenes. SI=1; NO=0</t>
  </si>
  <si>
    <t>Número de jornadas de socialización-capacitación en Ley 1429 a empleadores</t>
  </si>
  <si>
    <t>Fomento y apoyo al emprendimiento y absorción de empleo juvenil</t>
  </si>
  <si>
    <t>Educación y Formación Deportiva</t>
  </si>
  <si>
    <t>Mejoramiento de las actividades en el deporte asociado</t>
  </si>
  <si>
    <t>1.3.5</t>
  </si>
  <si>
    <t>PROMOCION DE LA PARTICIPACION</t>
  </si>
  <si>
    <t>Consejo Departamental de Juventud en actividad</t>
  </si>
  <si>
    <t>Número de sesiones por año</t>
  </si>
  <si>
    <t>Creación y consolidación de organismos operativos de socorro (Cuerpo de Bomberos, Defensa Civil y Cruz Roja)</t>
  </si>
  <si>
    <t>Número de organismos creados y/o fortalecidos en Departamento y Municipios</t>
  </si>
  <si>
    <t>Número de centros y puestos de salud reubicados</t>
  </si>
  <si>
    <t>Número de centros y puestos de salud adecuados</t>
  </si>
  <si>
    <t xml:space="preserve">Auxilios funerarios de atención a victimas del conflicto </t>
  </si>
  <si>
    <t>Fortalecimiento a Organizaciones y Líderes de Población victima Departamental.</t>
  </si>
  <si>
    <t>Recursos disponibles anualmente     Si=1  No=0</t>
  </si>
  <si>
    <t>Adquisición del software y harware          Si=1 No=0</t>
  </si>
  <si>
    <t>Recursos asignados anualmente                Si=1 No=0</t>
  </si>
  <si>
    <t>Plan de acciòn implementado.          SI=1, NO=0</t>
  </si>
  <si>
    <t>Talento humano asignado de acuerdo a  nueva estructura        Si=1 No=0</t>
  </si>
  <si>
    <t>Ninguno sin familia</t>
  </si>
  <si>
    <t>Diseñar la Politica Departamental de atencion integral a la familia</t>
  </si>
  <si>
    <t>Politica diseñada        Si=1; No=0</t>
  </si>
  <si>
    <t>Diseñar e implementar estrategias  de comunicación y educación  en  pautas de crianza</t>
  </si>
  <si>
    <t>Estrategia implementada anualmente                Si=1; No=0</t>
  </si>
  <si>
    <t>Programa de apoyo a la educacion familiar diseñado e implementado               Si=1; No=0</t>
  </si>
  <si>
    <t>Diseño e implementación, con  alianza del ICBF, de programas de apoyo a la educación familiar, dirigidos a prevenir y detectar situaciones de riesgo por abandono familiar</t>
  </si>
  <si>
    <t>Implementación y articulación con el Instituto de Bienestar Familiar, para promover jornadas de alimentación a niños y adolescentes ubicados en la calle (desayunos)</t>
  </si>
  <si>
    <t>Numero de jornadas realizadas por año</t>
  </si>
  <si>
    <t>Diseño e implementación con  alianza del ICBF de programas de apoyo para hogares sustitutos para los NNA  que viven en la calle</t>
  </si>
  <si>
    <t>Programa de apoyo para hogares sustitutos diseñado e implementado               Si=1; No=0</t>
  </si>
  <si>
    <t>Creación de redes sociales y comunitarias, incluidos padres de familia y cuidadores para el manejo de conceptos, normas y buenas practicas en pedagogía de los afectos, las emociones y la sexualidad.</t>
  </si>
  <si>
    <t>Número de redes sociales y comunitarias implementadas</t>
  </si>
  <si>
    <t>Participacion de NNA en los Consejos de Politica Social</t>
  </si>
  <si>
    <t>Porcentaje (%) de Consejos de Política Social en los que participan NNA</t>
  </si>
  <si>
    <t>Coordinacion interintstitucional para el acompañamiento integral a retornos en municipios priorizados</t>
  </si>
  <si>
    <t>Implementado Sistema de Información de Victimas                             Si=1 No=0</t>
  </si>
  <si>
    <t>Censo y caracterizaciòn de la población victima por minas antipersonas</t>
  </si>
  <si>
    <t>Caracterizacion de victimas por minas antipersona                         Si=1 No=0</t>
  </si>
  <si>
    <t>Capacitacion en sectores rurales en riesgo de presencia de campos minados, sobre medidas de proteccion</t>
  </si>
  <si>
    <t xml:space="preserve">Numero de eventos de capacitacion </t>
  </si>
  <si>
    <t>Atención a Población en condición de discapacidad en el sistema educativo</t>
  </si>
  <si>
    <t>1.11.1</t>
  </si>
  <si>
    <t>1.11.2</t>
  </si>
  <si>
    <t>1.11.3</t>
  </si>
  <si>
    <t>1.11.4</t>
  </si>
  <si>
    <t>Atención a personas en procesos de reintegración en el sistema educativo</t>
  </si>
  <si>
    <t>Número de personas atendidos en el sistema</t>
  </si>
  <si>
    <t>Atención en salud a población en procesos de reintegración  a través de la red pública hospitalaria con enfoque sicosocial</t>
  </si>
  <si>
    <t>Número de personas atendidos</t>
  </si>
  <si>
    <t>Formación Empresarial para población en procesos de reinserción en convenio con el SENA</t>
  </si>
  <si>
    <t>Número de personas beneficiadas</t>
  </si>
  <si>
    <t>Gestión de campañas de documentacion a personas en procesos de reinserción en convenio con la Registraduria Nacional</t>
  </si>
  <si>
    <t>Construcción e implementación del sistema territorial de derechos humanos con el apoyo del Ministerio del Interior y Programa Presidencial de Derechos Humanos</t>
  </si>
  <si>
    <t>Implementada cátedra de derechos humanos en todas las instituciones educativas del departamento con recursos del Ministerio de Educación Nacional</t>
  </si>
  <si>
    <t>Jornadas de sensibilización para disminuir los indices de discriminación con el apoyo del Mininterior y Programa Presidencial de Derechos Humanos</t>
  </si>
  <si>
    <t>Número de intituciones que implementan la cátedra de derechos humanos</t>
  </si>
  <si>
    <t>Implementado el Plan de Prevención y protección a personas y poblaciones en riesgo de violación de derechos humanos y del derecho internacional humanitario</t>
  </si>
  <si>
    <t>% de acciones en atencion temprana, urgente y garantias de no repeticion definidas en el plan implementadas</t>
  </si>
  <si>
    <t>156 Lab, 3 bancos de sangre y 21 servicios transf.</t>
  </si>
  <si>
    <t>Número de rutas de atención activadas</t>
  </si>
  <si>
    <t xml:space="preserve">Número de jornadas de control apoyadas </t>
  </si>
  <si>
    <t>Fortalecer  el trabajo interinstitucional e intersectorial  que permita la atención con la calidad y  oportunidad a los niños explotados laboralmente, víctimas de maltrato infantil y abuso sexual a través de la activación de las rutas de atención</t>
  </si>
  <si>
    <t>Apoyo a la realización de controles  a actividades productivas no formales, con riesgo de vinculación y explotación económica a menores de 18 años y reintegrarlos a la familia</t>
  </si>
  <si>
    <t xml:space="preserve">Coordinación interinstitucional para la desvinculación   del trabajo a niños  y adolescentes y su inclusión en establecimientos educativos </t>
  </si>
  <si>
    <t>Acompañamiento interinstitucional a los municipios para la desvinculación de NNA del trabajo  Si=1; No=0</t>
  </si>
  <si>
    <t>Atención integral al menor en maltrato, abuso, abandono, explotación sexual, laboral y víctima del desplazamiento forzado</t>
  </si>
  <si>
    <t xml:space="preserve">Ninguno víctima de violencia </t>
  </si>
  <si>
    <t>Definida estrategia de atención integral interinstitucional e intersectorial al menor en maltrato, abuso, abandono, explotación sexual, laboral y víctima del desplazamiento forzado. Si=1; No=0</t>
  </si>
  <si>
    <t>Reducción de los casos de maltrato psicológico, físico, al niño en gestación, por negligencia y de abuso sexual.</t>
  </si>
  <si>
    <t>Apoyo para el diseño grafico de los protocolos de atención de violencia sexual, violencia familiar, maltrato infantil</t>
  </si>
  <si>
    <t xml:space="preserve">Dieño gráfico de los protocolos de atención   Si=1; No=0   </t>
  </si>
  <si>
    <t>Acompañamiento a los municipios para el fortalecimiento de las Comisarias de Familia para la prevención y atención de la violencia intrafamiliar.</t>
  </si>
  <si>
    <t>Número de municipios acompañados</t>
  </si>
  <si>
    <t>Reducir el número de casos de adolescentes infractores de la Ley Penal vinculados a procesos judiciales</t>
  </si>
  <si>
    <t>Número de adolescentes infractores reincidentes de la ley penal</t>
  </si>
  <si>
    <t xml:space="preserve">Reducir el número de adolescentes infractores reinsidentes de la ley penal </t>
  </si>
  <si>
    <t>Definición de programas de nivelación escolar para los niños, niñas y adolescentes  que se encuentran reincidentes de la ley</t>
  </si>
  <si>
    <t>Implementados Programas de nivelación escolar para NNA reincidentes de la ley Si=1; No=0</t>
  </si>
  <si>
    <t>Formación de líderes y autoridades en derechos como medio de protección y pervivencia, la construcción de la memoria colectiva y el restablecimiento del tejido organizativo, social y cultural</t>
  </si>
  <si>
    <t xml:space="preserve">Generar un modelo de intervención en seguridad alimentaria y nutricional acordado con los pueblos indígenas que contemple los componentes de Disponibilidad de alimentos, Acceso a los alimentos, Consumo, Aprovechamiento biológico y Calidad e inocuidad. </t>
  </si>
  <si>
    <t>Modelo de Intervención y Seguridad alimentaria y nutricional generado     Si=1; No=0</t>
  </si>
  <si>
    <t>1.5.5</t>
  </si>
  <si>
    <t>Apoyar la producción y comercialización de productos agroalimentarios y de cría de pequeños animales, artesanías y actividades de etnoturismo</t>
  </si>
  <si>
    <t>Apoyar la gestión de adquisición de terrenos para resguardos ante el Gobierno Nacional.</t>
  </si>
  <si>
    <t xml:space="preserve">Número de proyectos gestionados para la adquisición de predios para Resguardos Indígenas </t>
  </si>
  <si>
    <t>Número de alianzas con el Gobierno Nacional, organismos de cooperación internacional, entidades públicas y alianzas público-privadas, para apoyo a comunidades indígenas.</t>
  </si>
  <si>
    <t>Número de líderes y autoridades formados</t>
  </si>
  <si>
    <t xml:space="preserve">Coordinacion interintstitucional para el acompañamiento integral al retorno de las familias víctimas del desplazamiento forzado del Pueblo Ette Ennaka. </t>
  </si>
  <si>
    <t>Coordinación interinstitucional para la atención integral a las familias victimas del pueblo Ette Ennaka   Si=1; No=0</t>
  </si>
  <si>
    <t xml:space="preserve">El Departamento gestionará la compra y legalización de predios para el Pueblo Ette Ennaka, teniendo como prioridad la unión de los asentamientos Issa Oristunna y Ette Butteriya.  </t>
  </si>
  <si>
    <t>Proyecto gestionado para la compra de predios para el Pueblo Ette Ennaka</t>
  </si>
  <si>
    <t>Respeto a los Pueblos Originarios,  Afrodescendientes y Comunidad ROM</t>
  </si>
  <si>
    <t>Plan de vida concertado con comunidad Rom      Si=1; No=0</t>
  </si>
  <si>
    <t>Establecer enfoque de genero y diferencial en los distintos programas y/o proyectos implementados por el departamento en aseguramiento, alfabetización, acceso a vivienda, proyectos productivos, entre otros</t>
  </si>
  <si>
    <t>Implementado enfoque de genero y diferencial   Si=1;  No=0</t>
  </si>
  <si>
    <t>PROMOCION DE LA IGUALDAD Y DE LA EQUIDAD DE LA MUJER</t>
  </si>
  <si>
    <t xml:space="preserve">Campañas de sensibilización sobre la No violencia en contra de la mujer 
</t>
  </si>
  <si>
    <t xml:space="preserve">Número de campañas de sensibilización de  la No Violencia contra la Mujer por año </t>
  </si>
  <si>
    <t>Capacitación a funcionarios municipales sobre ley 1257 para a Prevención Eliminación y sanción de la Violencia contra la Mujer</t>
  </si>
  <si>
    <t xml:space="preserve">Capacitación de mujeres lideres municipales para la prevención de la violencia basada en genero </t>
  </si>
  <si>
    <t>Número de mujeres de los diferentes municipios capacitadas en liderazgo hacia la prevención de la violencia</t>
  </si>
  <si>
    <t>Caracterizaciòn de la población afrodescendiente especialmente para la atención en salud</t>
  </si>
  <si>
    <t>Construcción participativa de la política pública departamental de afrodescendientes</t>
  </si>
  <si>
    <t>Construida y adoptada política pública departamental de afrodescendientes       Si=1; No=0</t>
  </si>
  <si>
    <t>`</t>
  </si>
  <si>
    <t>Gestionar ante el Consejo Superior de la Universidad del Magdalena el aumento de cupos para población afro con criterio de equidad social</t>
  </si>
  <si>
    <t>Número de cupos de población afro en la Universidad del Magdalena en pregrado y postgrados</t>
  </si>
  <si>
    <t>Adopción de una minuta especial de alimentación para niños y niñas afros en coordinación con el ICBF</t>
  </si>
  <si>
    <t>Minuta adoptada             Si=1; No=0</t>
  </si>
  <si>
    <t>Implementación de cátedra afrocolombiana en Insituciones Educativas Públicas del Departamento</t>
  </si>
  <si>
    <t>Número de Insituciones Educativas con cátedra implementada</t>
  </si>
  <si>
    <t>Creación y puesta en marcha de la Mesa Interinstitucional para análisis de casos de violencia basada en género</t>
  </si>
  <si>
    <t>Implementada Mesa Interinstitucional para analisis de casos de violencia de género      Si=1; No=0</t>
  </si>
  <si>
    <t>Jornadas Subregionales de bancarización a Mujeres</t>
  </si>
  <si>
    <t>Número de jornadas subregionales por año</t>
  </si>
  <si>
    <t>Apoyo para el desarrollo de proyectos productivos de mujeres</t>
  </si>
  <si>
    <t>Número de proyectos productivos apoyados</t>
  </si>
  <si>
    <t>Definir espacios de participación para la población LGBTI en relación con políticas públicas prioritarias</t>
  </si>
  <si>
    <t>Participación de LGBTI en mesas de garantías de los DDHH</t>
  </si>
  <si>
    <t>Política pública en LGBTI concertada             Si=1; No=0</t>
  </si>
  <si>
    <t>Participación de LGBTI en mesas de garantías de los DDHH              Si=1: No=0</t>
  </si>
  <si>
    <t>Fortalecimiento de las acciones en salud sexual y reproductiva.</t>
  </si>
  <si>
    <t>Creación de regiones de Planeación y de Gestión para la identificación de proyectos prioritorias</t>
  </si>
  <si>
    <t>Número de regiones de planeación y gestión creadas</t>
  </si>
  <si>
    <t>2.3.2</t>
  </si>
  <si>
    <t>GESTION AMBIENTAL</t>
  </si>
  <si>
    <t>BASES PARA LINEAMIENTOS DE ORDENAMIENTO TERRITORIAL DEPARTAMENTAL</t>
  </si>
  <si>
    <t>CALIDAD DEL AGUA</t>
  </si>
  <si>
    <t>INOCUIDAD DE ALIMENTOS</t>
  </si>
  <si>
    <t>SEGURIDAD QUIMICA</t>
  </si>
  <si>
    <t>GESTION EN RESIDUOS</t>
  </si>
  <si>
    <t>CALIDAD DEL AIRE</t>
  </si>
  <si>
    <t>Adopción de Directrices de Ordenamiento Territorial elaboradas participativamente</t>
  </si>
  <si>
    <t>Documento adoptado por acto administrativo de Directrices de Ordenamiento Territorial Departamental.                  SI=1; NO=0</t>
  </si>
  <si>
    <t>Implementación de planes de manejo y ordenamiento de cuencas hidrográficas</t>
  </si>
  <si>
    <t>Número de planes de ordenamiento y manejo de cuencas concertados y en ejecución</t>
  </si>
  <si>
    <t>Número de proyectos de restauración de humedales formulados, presentados y aprobados por el Gobierno Nacional</t>
  </si>
  <si>
    <t>Implementación de acciones de conservación y desarrollo en áreas protegidas del Departamento</t>
  </si>
  <si>
    <t>Número de proyectos de conservación y desarrollo en áreas protegidas con participación comunitaria en ejecución</t>
  </si>
  <si>
    <t>SEGURIDAD SANITARIA EN PUNTOS DE ENTRADA</t>
  </si>
  <si>
    <t>ENTORNOS SALUDABLES</t>
  </si>
  <si>
    <t>ZOONOSIS</t>
  </si>
  <si>
    <t>MEDICAMENTOS</t>
  </si>
  <si>
    <t>CONTROL INTEGRAL DE VECTORES</t>
  </si>
  <si>
    <t>CONSOLIDACIÓN DEL PROCESO DE RECUPERACIÓN DE LA SOCIEDAD Y LA ECONOMÍA ANTE LOS EFECTOS DEL FENÓMENO LA NIÑA 2010-2011</t>
  </si>
  <si>
    <t>RED DE PRESTACIÓN DE SERVICIOS DE SALUD CON REDUCCIÓN DE LA VULNERABILIDAD POR SISMO, INUNDACIONES, MOVIMIENTOS EN MASA</t>
  </si>
  <si>
    <t>FORMACIÓN PARA EL DESARROLLO CULTURAL DEL MAGDALENA</t>
  </si>
  <si>
    <t>CONSERVACIÓN DEL PATRIMONIO CULTURAL DEL MAGDALENA</t>
  </si>
  <si>
    <t>Número de VIS construidas en el departamento</t>
  </si>
  <si>
    <t>Número de predios y viviendas identificados  y titulados</t>
  </si>
  <si>
    <t>Asistencia técnica a los municipios para adelantar programas de titulación de predios y viviendas</t>
  </si>
  <si>
    <t>Jornadas de asistencia técnica por año</t>
  </si>
  <si>
    <t>Número de viviendas  reubicadas según priorización del CREPAD</t>
  </si>
  <si>
    <t>Toneladas de Camaron producidas</t>
  </si>
  <si>
    <t>Proyecto de desarrollo acuícola de los complejos cenagosos del departamento del Magdalena</t>
  </si>
  <si>
    <t xml:space="preserve">Estaciones Pilotos de acuicultura en las subregion Rio y  Sur del Departamento del Magdalena </t>
  </si>
  <si>
    <t xml:space="preserve">Número de estaciones piloto construidas </t>
  </si>
  <si>
    <t xml:space="preserve">Número de jaulas flotantes implementadas </t>
  </si>
  <si>
    <t xml:space="preserve">Número de cultivos de Pectinidos </t>
  </si>
  <si>
    <t>Número de hectáreas analizadas</t>
  </si>
  <si>
    <t>Número de has de hortalizas y frutales</t>
  </si>
  <si>
    <t>Número de Has de Cacao</t>
  </si>
  <si>
    <t>PLAN PLURIANUAL DE INVERSIONES 2012 - 2015 EN MILLONES DE PESOS       (POR FUENTE DE FINANCIACION Y AÑO DEL PLAN DE DESARROLLO DEPARTAMENTAL)</t>
  </si>
  <si>
    <t>PLAN PLURIANUAL DE INVERSIONES 2012 - 2015 EN MILLONES DE PESOS         (POR FUENTE DE FINANCIACION Y AÑO DEL PLAN DE DESARROLLO DEPARTAMENTAL)</t>
  </si>
  <si>
    <t>PLAN PLURIANUAL DE INVERSIONES 2012 - 2015 EN MILLONES DE PESOS        (POR FUENTE DE FINANCIACION Y AÑO DEL PLAN DE DESARROLLO DEPARTAMENTAL)</t>
  </si>
  <si>
    <t>PLAN PLURIANUAL DE INVERSIONES 2012 - 2015 EN MILLONES DE PESOS      (POR FUENTE DE FINANCIACION Y AÑO DEL PLAN DE DESARROLLO DEPARTAMENTAL)</t>
  </si>
  <si>
    <t>Proyecto ganadero gestionado y en ejecución            Si=1;  No-=0</t>
  </si>
  <si>
    <t>Desarrollo sostenible ganadero en el Departamento del Magdalena</t>
  </si>
  <si>
    <t>Fomento para el desarrollo industrial y del mercado ganadero</t>
  </si>
  <si>
    <t>Número de Predios Titulados</t>
  </si>
  <si>
    <t>3.2.1</t>
  </si>
  <si>
    <t>APUESTAS PRODUCTIVAS AGROPECUARIAS</t>
  </si>
  <si>
    <t>FORTALECIMIENTO INSTITUCIONAL EN CIENCIA, TECNOLOGIA E INNOVACION</t>
  </si>
  <si>
    <t>Formación de doctores y magísters</t>
  </si>
  <si>
    <t>Crecimiento de actividades de CTI</t>
  </si>
  <si>
    <t>Número de actividades de CTI concertadas en CODECTI</t>
  </si>
  <si>
    <t>Número de proyectos de CTI avalados por CODECTI aprobados</t>
  </si>
  <si>
    <t>Jóvenes investigadores y estudiantes por Contrato de Aprendizaje</t>
  </si>
  <si>
    <t>Número de jóvenes investigadores y estudiantes por contrato de aprendizaje vinculados a empresas</t>
  </si>
  <si>
    <t>3.2.2</t>
  </si>
  <si>
    <t>MAGDALENA COMPITE CON INNOVACION</t>
  </si>
  <si>
    <t>Empresas involucradas en proyectos de CTI</t>
  </si>
  <si>
    <t>Número de empresas en el Magdalena vinculadas con proyectos de CTI</t>
  </si>
  <si>
    <t>3.3.3</t>
  </si>
  <si>
    <t>3.3.4</t>
  </si>
  <si>
    <t>CONOCIMIENTO Y SOSTENIBILIDAD AMBIENTAL</t>
  </si>
  <si>
    <t>Aumento del conocimiento y su aplicabilidad en áreas estratégicas para la sostenibilidad ambiental</t>
  </si>
  <si>
    <t>Número de proyectos gestionados de investigación y desarrollo tecnológico</t>
  </si>
  <si>
    <t>Aplicación de alternativas energéticas novedosas mediante proyectos de energías limpias</t>
  </si>
  <si>
    <t>Número de proyectos gestionados de innovación energética</t>
  </si>
  <si>
    <t>3.3.1</t>
  </si>
  <si>
    <t>PROTECCION DE LOS DERECHOS DE LOS TRABAJADORES</t>
  </si>
  <si>
    <t>3.3.2</t>
  </si>
  <si>
    <t>OPORTUNIDADES DE EMPLEO</t>
  </si>
  <si>
    <t>DIALOGO SOCIAL</t>
  </si>
  <si>
    <t>PROTECCION SOCIAL</t>
  </si>
  <si>
    <t>3.3.5</t>
  </si>
  <si>
    <t>ERRADICACION DEL TRABAJO INFANTIL Y DE SUS PEORES FORMAS</t>
  </si>
  <si>
    <t>3.4.1</t>
  </si>
  <si>
    <t>FOMENTO DEL EMPRENDIMIENTO</t>
  </si>
  <si>
    <t>3.4.2</t>
  </si>
  <si>
    <t>FOMENTO EXPORTADOR Y GENERACION DE UNA CULTURA EXPORTADORA</t>
  </si>
  <si>
    <t>PLAN VIAL DEL NORTE</t>
  </si>
  <si>
    <t>VIA DE LA PROSPERIDAD</t>
  </si>
  <si>
    <t>PLAN VIAL REGIONAL</t>
  </si>
  <si>
    <t>MAGDALENA, UN DESTINO SEGURO PARA VIAJAR</t>
  </si>
  <si>
    <t>GAS NATURAL DOMICILIARIO POR REDES</t>
  </si>
  <si>
    <t>APROPIACION SOCIAL DE LA CULTURA DIGITAL</t>
  </si>
  <si>
    <t>1. Incremetar el acceso de personas especialmente las vulnerables a servicios sociales, programas y medidas para su calidad de vida, con enfoque diferencial y de derechos</t>
  </si>
  <si>
    <t>2. Promover una mejor organización del espacio y funcionalidad urbano - rural y regional del territorio del departamento del Magdalena</t>
  </si>
  <si>
    <t>3. Fortalecer las principales apuestas productivas de competitividad y los servicios e infraestructuras conexas</t>
  </si>
  <si>
    <t>4. Avanzar en la construcción de una administración pública territorial más eficiente, eficaz, robusta en lo fiscal, transparente y con capacidad de respuesta mejorada ante las demandas de desarrollo de la ciudadanía</t>
  </si>
  <si>
    <t>Sistema de Referenca y   Contrareferencia    fortalecido     SI=1 NO=0</t>
  </si>
  <si>
    <t>Realización de capacitaciones dirigido a estudiantes de 10 grado para graduarlos como patrulleros escolares</t>
  </si>
  <si>
    <t>Capacitacióm a personas que sean sorprendidas infringiendo las normas de tránsito</t>
  </si>
  <si>
    <t>Número de personas capacitdas</t>
  </si>
  <si>
    <t>Implementar campañas de publicidad para la prevencióm de la accidentabilidad</t>
  </si>
  <si>
    <t>Número de controloes implementados por año</t>
  </si>
  <si>
    <t>Número de patrulleros escolares graduados por año</t>
  </si>
  <si>
    <t xml:space="preserve">Implementar controles a lo largo de las vías del departamento para prevenir la accidentalidad </t>
  </si>
  <si>
    <t>Número de campañas implementadas por año</t>
  </si>
  <si>
    <t>Implementado estudio para la reestructuración y reorganización administrativa  Si=1; No=0</t>
  </si>
  <si>
    <t>Producción del Programa televisivo TVMAG</t>
  </si>
  <si>
    <t>Publicaciones en medios impresos y radiales</t>
  </si>
  <si>
    <t>Elaboración e implementación del Manual de Imagen Institucional</t>
  </si>
  <si>
    <t xml:space="preserve">Adopción de software para el archivo de imágenes institucionales </t>
  </si>
  <si>
    <t>Seguridad y Convivencia Ciudadana</t>
  </si>
  <si>
    <t>4.3.1</t>
  </si>
  <si>
    <t>PREVENCION SOCIAL Y SITUACIONAL</t>
  </si>
  <si>
    <t>4.3.2</t>
  </si>
  <si>
    <t>PRESENCIA Y CONTROL POLICIAL</t>
  </si>
  <si>
    <t>MODERNIZACION DE LA SECRETARIA DE EDUCACION</t>
  </si>
  <si>
    <t xml:space="preserve">REDISEÑO DE LA RED PUBLICA DEPARTAMENTAL DE PRESTACION DE SERVICIOS DE SALUD </t>
  </si>
  <si>
    <t>MODERNIZACION INSTITUCIONAL DE LA ADMINISTRACION CENTRAL DEL DEPARTAMENTO</t>
  </si>
  <si>
    <t>SOSTENIBILIDAD FISCAL Y FINANCIERA DEL DEPARTAMENTO DEL MAGDALENA</t>
  </si>
  <si>
    <t>ASISTENCIA TECNICA DE GESTION</t>
  </si>
  <si>
    <t>ASISTENCIA TECNICA PARA EL DESARROLLO</t>
  </si>
  <si>
    <t>4.3.3</t>
  </si>
  <si>
    <t>JUSTICIA, VICTIMAS Y RESOCIALIZACION</t>
  </si>
  <si>
    <t>4.3.4</t>
  </si>
  <si>
    <t>CULTURA DE LEGALIDAD Y CONVIVENCIA</t>
  </si>
  <si>
    <t>4.3.5</t>
  </si>
  <si>
    <t>CIUDADANIA ACTIVA Y RESPONSIBLE</t>
  </si>
  <si>
    <t>Capacitar a padres de familia, estudiantes, docentes y directivos en situación de vulnerabilidad en competencias básicas sobre resolución de diferencias y conflictos intrafamiliares e interpersonales para prevenir actos de violencia e intolerancia social, en las familias y la comunidad</t>
  </si>
  <si>
    <t>Número de campañas realizadas</t>
  </si>
  <si>
    <t>Adecuada infraestructura física y tecnológica            Si=1; No=0</t>
  </si>
  <si>
    <t>Capacitar a los miembros de las juntas de acción comunal del departamento en seguridad y convivencia ciudadana desde el enfoque preventivo</t>
  </si>
  <si>
    <t>Reducción de factores que afectan la seguridad en los municipios</t>
  </si>
  <si>
    <t>Número de municipios con programas de reducción de factores de inseguridad concertados</t>
  </si>
  <si>
    <t>Apoyar la constitución de la Policía Metropolitana en el distrito de Santa Marta</t>
  </si>
  <si>
    <t>Gestionar la creación para el departamento del Magdalena de un Grupo Antidisturbios de la policía Nacional -ESMAD</t>
  </si>
  <si>
    <t>Gestionar la creación de un grupo especializado contra la extorsión y la microextorsión, con el apoyo de la Fiscalía General de la Nación</t>
  </si>
  <si>
    <t xml:space="preserve">Impulsar mecanismos estratégicos, regulados y excepcionales de incentivos y recompensas por información precisa que conduzca a la identificación de victimarios, por hechos de impacto departamental, así como el desmantelamiento de redes y organizaciones delincuenciales y de carácter criminal </t>
  </si>
  <si>
    <t>Gestionar vehículos blindados para la seguridad del Gobernador y procurar la modernización tecnológica del sistema de seguridad de la Gobernación del Magdalena y de la Asamblea Departamental</t>
  </si>
  <si>
    <t>Promover el uso de consultorios jurídicos universitarios y mecanismos de solución legal de conflictos</t>
  </si>
  <si>
    <t>Promover Acuerdo con los Alcaldes de los diferentes municipios sobre la cultura de la legalidad, definiendo políticas sobre restricciones al expendio de alcohol e ingesta y autorregulación de su consumo, ruido excesivo en zonas residenciales y vías públicas, funcionamiento de establecimientos públicos, uso del espacio público, crear una cultura de seguridad vial dirigida a propietarios y usuarios de motocicletas y bicicletas y buscar la solución no violenta de diferencias y conflictos</t>
  </si>
  <si>
    <t>Fortalecidos los FSL</t>
  </si>
  <si>
    <t>Fortalecidas las ECSC</t>
  </si>
  <si>
    <t>Fortalecer los Frentes de Seguridad Local -FSL y las escuelas de conviviencia y seguridad ciudadana  -ECSC en la prevención y denuncia del delito, el intercambio de información y una actuación solidaria</t>
  </si>
  <si>
    <t xml:space="preserve">Fortalecer las redes de apoyo y seguridad ciudadana de las empresas de seguridad privada y la labor articulada con organizaciones voluntarias tales como el cuerpo de bomberos, defensa civil y la policía cívica </t>
  </si>
  <si>
    <t>Número de miembros de las redes de apoyo</t>
  </si>
  <si>
    <t>Fomentar la creación de veedurias ciudadanas que propendan por velar el cumplimiento de las metas planteadas en materia de seguridad</t>
  </si>
  <si>
    <t>Presentada y gestionada solicitud           Si=1; No=1</t>
  </si>
  <si>
    <t xml:space="preserve">Recursos asignados (millones de $) del FONSETpara incentivos por año </t>
  </si>
  <si>
    <t>Número de vehículos gestionados</t>
  </si>
  <si>
    <t>Gestionar la construcción y dotación de una sede propia del Instituto Legal de Medicina Legal Seccional Magdalena (ceder lote en el hospital Fernando Troconis para su construcción)</t>
  </si>
  <si>
    <t>Lote cedido para la construcción de la Sede propia del Instituto de Medicina Legal    Si=1; No=0</t>
  </si>
  <si>
    <t>Consultorios Jurídicos Universitarios utilizados</t>
  </si>
  <si>
    <t>Definido de manera concertada e institucionalizado Acuerdo        Si=1; No=0</t>
  </si>
  <si>
    <t>Número de vee\durias creadas para velar por las metas de seguridad</t>
  </si>
  <si>
    <t>OBJETIVO 4: DESARROLLO INSTITUCIONAL</t>
  </si>
  <si>
    <t>Seguridad y convivencia ciudadana</t>
  </si>
  <si>
    <t>Número de pacas de heno (en miles)</t>
  </si>
  <si>
    <t>6 Metas de Resultados</t>
  </si>
  <si>
    <t>3  Ejes Estratégicos</t>
  </si>
  <si>
    <t>12 Programas</t>
  </si>
  <si>
    <t>11 Ejes Estratégicos</t>
  </si>
  <si>
    <t>Movilizacion social realizada por año</t>
  </si>
  <si>
    <t>Apoyo a la conformación de la región administrativa y de planificación  RAP del Caribe Colombiano</t>
  </si>
  <si>
    <t>Acuerdo entre gobernadores para conformación de RAP Si=1; No=0</t>
  </si>
  <si>
    <t>Policia Metropolitana constituida         Si=1; No=0</t>
  </si>
  <si>
    <t>3.1.1</t>
  </si>
  <si>
    <t>Aumento de la oferta de productos turísticos en el Magdalena</t>
  </si>
  <si>
    <t>Número de nuevos productos turísticos en desarrollo con el Ministerio de Comercio, Industria y Turismo</t>
  </si>
  <si>
    <t>Número de infraestructuras de servicios turísticos construidas</t>
  </si>
  <si>
    <t>DIVERSIFICACION TURISTICA</t>
  </si>
  <si>
    <t>Número de nuevos profesionales doctorados y magisters apoyados territorialmente</t>
  </si>
  <si>
    <t>n.a.</t>
  </si>
  <si>
    <t>Apoyo a la gestión de proyectos de CTI presentados en convocatorias nacionales y para financiación con recursos de regalías</t>
  </si>
  <si>
    <t>n.d.</t>
  </si>
  <si>
    <t>Impulsar la actividad de los municipios en la protección de los derechos laborales</t>
  </si>
  <si>
    <t>Número de municipios con actividades de sensibilización y capacitación sobre derechos laborales</t>
  </si>
  <si>
    <t>Apoyo a la creación y funcionamiento del Observatorio Regional del Mercado de Trabajo</t>
  </si>
  <si>
    <t>Observatorio en funcionamiento. Si=1; No=0</t>
  </si>
  <si>
    <t>Apoyo al desarrollo de programas de generación de empleo mediante negocios inclusivos</t>
  </si>
  <si>
    <t>Número de proyectos de empleo por negocios inclusivos en ejecución</t>
  </si>
  <si>
    <t>Capacitación o formación para el trabajo a población vulnerable mediante alianzas institucionales</t>
  </si>
  <si>
    <t>Número de programas de formación para el trabajo en convenio interinstitucional</t>
  </si>
  <si>
    <t>Implementación de metodología del diálogo social a nivel de relaciones Empresa-Trabajadores y regional</t>
  </si>
  <si>
    <t>Número de diálogos sociales realizados en el período</t>
  </si>
  <si>
    <t>Empresas implementan procesos de prevención de accidentes laborales y riesgos profesionales</t>
  </si>
  <si>
    <t>Número de actividades de socialización a empresas sobre normas de riesgos profesionales</t>
  </si>
  <si>
    <t>Número de actividades de mejoramiento de condiciones de trabajo al interior de empresas</t>
  </si>
  <si>
    <t>Comité Municipales de Erradicación del trabajo Infantil funcionando</t>
  </si>
  <si>
    <t>Número de municipios con comités de erradicación del trabajo infantil activos</t>
  </si>
  <si>
    <t>Ruta de protección para menores identificados en explotación laboral y de sus peores formas funcionando</t>
  </si>
  <si>
    <t>% de niños y adolescentes atendidos anualmente en rutas de protección por trabajo infantil y de sus peores formas</t>
  </si>
  <si>
    <t>Apoyo financiero a proyectos emprendedores de población vulnerable en asociatividad y relacionados con las apuestas productivas prioritarias</t>
  </si>
  <si>
    <t>Número de convenios interinstitucionales activos para apoyo de emprendimiento en el departamento</t>
  </si>
  <si>
    <t>Apoyo a potenciales empresarios exportadores en cultura exportadora, misiones comerciales, tecnológicas, ferias y ruedas de negocios</t>
  </si>
  <si>
    <t>Número de municipios con programa de apoyo exportador activado por el departamento en convenio con PROEXPORT</t>
  </si>
  <si>
    <t>Avance en las obras del Plan Vial del Norte</t>
  </si>
  <si>
    <t>% de ejecución de obras de alcance básico</t>
  </si>
  <si>
    <t>Año de Inicio de ejecución de obras complementarias</t>
  </si>
  <si>
    <t>Kilómetros de construcción del tramo 1 entre Palermo - Salamina</t>
  </si>
  <si>
    <t>Kilómetros diseñados del tramo 2 entre Salamina – Plato.</t>
  </si>
  <si>
    <t>Estructuración tramo 2. Si=1; No=0</t>
  </si>
  <si>
    <t>Avance en el proyecto de Vía de la Prosperidad</t>
  </si>
  <si>
    <t>Elaboración y aprobación del Plan Vial Regional del Magdalena por parte del Gobierno Nacional</t>
  </si>
  <si>
    <t>Plan Vial Regional aprobado. Si=1; No=0</t>
  </si>
  <si>
    <t>Aumento de la cobertura en gas natural domiciliario</t>
  </si>
  <si>
    <t>Número de nuevos municipios cubiertos con proyecto de GND</t>
  </si>
  <si>
    <t>Mayor cobertura de servicios de tecnologías de la información y las comunicaciones</t>
  </si>
  <si>
    <t>Número de municipios cubiertos con proyecto de plataforma tecnológica</t>
  </si>
  <si>
    <t>Elaboración del Plan Departamental de Electrificación Rural</t>
  </si>
  <si>
    <t>Plan Departamental de Electrificación Rural elaborado. Si=1; No=0</t>
  </si>
  <si>
    <t>Rentas     Cedidas</t>
  </si>
  <si>
    <t>Rentas  Cedidas</t>
  </si>
  <si>
    <t>Objetivo 1</t>
  </si>
  <si>
    <t>Objetivo 2</t>
  </si>
  <si>
    <t>Objetivo 3</t>
  </si>
  <si>
    <t>Objetivo 4</t>
  </si>
  <si>
    <t>Total por Objetivo</t>
  </si>
  <si>
    <t>Total por Fuente</t>
  </si>
  <si>
    <t>OBJETIVO 1</t>
  </si>
  <si>
    <t>OBJETIVO 2</t>
  </si>
  <si>
    <t>OBJETIVO 3</t>
  </si>
  <si>
    <t>OBJETIVO 4</t>
  </si>
  <si>
    <t>Deporte</t>
  </si>
  <si>
    <t>Contratación de personal necesario para adelantar programas de promoción y difusión de actividades deportivas y recreativas</t>
  </si>
  <si>
    <t>Número de técnicos contratados por año</t>
  </si>
  <si>
    <t>Cultura</t>
  </si>
  <si>
    <t>Empleo</t>
  </si>
  <si>
    <t>Apoyo a deportistas en condición de discpacidad para la participación en juegos departamentales, regionales y nacionales</t>
  </si>
  <si>
    <t>Número de ligas apoyadas anualmente</t>
  </si>
  <si>
    <t>Apoyo a actividades culturales para la población en condición de discapacidad</t>
  </si>
  <si>
    <t>Actividades culturales apoyadas anualmente  SI=1, No=0</t>
  </si>
  <si>
    <t>Realización del encuentro departamental del programa de atención a la población de la tercera edad</t>
  </si>
  <si>
    <t>Encuentro realizado anualmente Si=1, No=0</t>
  </si>
  <si>
    <t>Institucionalizar programa de capacitación y operación para mínimo (1) un grupo de vigias del patrimonio por subregión del departamento</t>
  </si>
  <si>
    <t>Número de grupos de vigias del patrimonio institucionalizados y capacitados</t>
  </si>
  <si>
    <t>Gestión de la declaratoria de mínimo tres (3) bienes de interés cultural nacional</t>
  </si>
  <si>
    <t>Gestión de la declaratoria realizado     Si=1, No=0</t>
  </si>
  <si>
    <t>Consejo Renovado y operando  Si=1, No=0</t>
  </si>
  <si>
    <t>Renovación del Consejo Departamental de Patrimonio y realización de ocho  reuniones al año</t>
  </si>
  <si>
    <t>Creación del Consejo Departamental de Cinematografía</t>
  </si>
  <si>
    <t>Creación y puesta en marcha del Consejo Departamental de Cinematografía</t>
  </si>
  <si>
    <t>Escuela de Bellas Artes del Magdalena Grande implementada   Si=1, No=0</t>
  </si>
  <si>
    <t>Recuperación , valoración, promoción y salvaguardia del patrimonio material e inmaterial de los municipios del departamento del Magdalena</t>
  </si>
  <si>
    <t>Recursos asignados en millones de $ para recuperación de archivos históricos y patrimonio mueble e inmueble</t>
  </si>
  <si>
    <t>Avalar Escuelas de Formación Deportiva (recursos INDEPORTES)</t>
  </si>
  <si>
    <t>Capacitación a profesores y entrenadores sobre actividad deportiva, recreativa y de educación física (recursos INDEPORTES)</t>
  </si>
  <si>
    <t>Celebración del día del Niño (Recursos Indeportes)</t>
  </si>
  <si>
    <t>Fortalecimiento sobre la politica Publica SAN, normas y guias de atenciòn y patrones alimentarios , SISVAN</t>
  </si>
  <si>
    <t>Alcantarillado (Inversión otras fuentes corresponde a FNR en liquidación)</t>
  </si>
  <si>
    <t>Aseo (Inversiones otras fuentes corresponde a FNR en liquidación)</t>
  </si>
  <si>
    <t xml:space="preserve">Número de hsopitales construidos </t>
  </si>
  <si>
    <t xml:space="preserve">Acueductos y alcantarillados zona rural Municipios del Magdalena </t>
  </si>
  <si>
    <t>Gestionar la construcción de acueductos y alcantarillados en 80 corregimientos priorizados, correspondientes a la Fase II del Plan Departamental de Aguas</t>
  </si>
  <si>
    <t>Recusos en millones de $ asignados del SGP del Departamento</t>
  </si>
  <si>
    <t>Número de becas por año</t>
  </si>
  <si>
    <t>Número de victimas atendidos en el sistema</t>
  </si>
  <si>
    <t>Reubicación de Centros y Puestos de Salud - con el Fondo de Adaptación NOTA: Los recursos de esta fila no son tenidos en cuenta en las  sumas por cuanto están contabilizadons en el objetivo 2, en el eje estratégico de Gestión del Riesgo</t>
  </si>
  <si>
    <r>
      <t xml:space="preserve">Reubicación y construcción de los hospitales de Cerro de San Antonio, Concordia, Pedraza, Pueblo Viejo, Santa Barbara de Pinto,  San Zenón y Tenerife  - con el Fondo de Adaptación </t>
    </r>
    <r>
      <rPr>
        <i/>
        <sz val="9"/>
        <color indexed="8"/>
        <rFont val="Arial Narrow"/>
        <family val="2"/>
      </rPr>
      <t>NOTA: Los recursos de esta fila no son tenidos en cuenta en las  sumas por cuanto están contabilizadons en el objetivo 2, en el eje estratégico de Gestión del Riesgo</t>
    </r>
  </si>
  <si>
    <r>
      <t xml:space="preserve">Construcción de los hospitales regionales de El Banco y Plato - con recursos del Fondo de Adaptación </t>
    </r>
    <r>
      <rPr>
        <i/>
        <sz val="9"/>
        <color indexed="8"/>
        <rFont val="Arial Narrow"/>
        <family val="2"/>
      </rPr>
      <t>NOTA: Los recursos de esta fila no son tenidos en cuenta en las  sumas por cuanto están contabilizadons en el objetivo 2, en el eje estratégico de Gestión del Riesg</t>
    </r>
    <r>
      <rPr>
        <sz val="9"/>
        <color indexed="8"/>
        <rFont val="Arial Narrow"/>
        <family val="2"/>
      </rPr>
      <t>o</t>
    </r>
  </si>
  <si>
    <r>
      <t xml:space="preserve">Adecuaciones menores hospitales afectados por la ola invernal (San Sebatián, Santa Ana, Pijiño del Carmen, El Piñón, Sitionuevo, Zapayán, El Retén, Remolino y Salamina) - con recursos de Colombia Humanitaria.                                             </t>
    </r>
    <r>
      <rPr>
        <i/>
        <sz val="9"/>
        <color indexed="8"/>
        <rFont val="Arial Narrow"/>
        <family val="2"/>
      </rPr>
      <t>NOTA: Los recursos de esta fila no son tenidos en cuenta en las  sumas por cuanto están contabilizadons en el objetivo 2, en el eje estratégico de Gestión del Riesgo</t>
    </r>
  </si>
  <si>
    <r>
      <t xml:space="preserve">Adecuaciones menores centros y puestos de salud - con Colombia Humanitaria                                  </t>
    </r>
    <r>
      <rPr>
        <i/>
        <sz val="9"/>
        <color indexed="8"/>
        <rFont val="Arial Narrow"/>
        <family val="2"/>
      </rPr>
      <t>NOTA: Los recursos de esta fila no son tenidos en cuenta en las  sumas por cuanto están contabilizadons en el objetivo 2, en el eje estratégico de Gestión del Riesgo</t>
    </r>
  </si>
  <si>
    <r>
      <t xml:space="preserve">Adecuación Mayor Puesto de Salud Torres Lenguas del municipio de El Banco afectado por la ola invernal - con Colombia Humanitaria.                  </t>
    </r>
    <r>
      <rPr>
        <i/>
        <sz val="9"/>
        <color indexed="8"/>
        <rFont val="Arial Narrow"/>
        <family val="2"/>
      </rPr>
      <t>NOTA: Los recursos de esta fila no son tenidos en cuenta en las  sumas por cuanto están contabilizadons en el objetivo 2, en el eje estratégico de Gestión del Riesgo</t>
    </r>
  </si>
  <si>
    <r>
      <t xml:space="preserve">Dotacion de Equipos Bomedicos de  Hospitales de Baja complejidad  afectados por Ola Invernal  con recursos del Minsalud                          </t>
    </r>
    <r>
      <rPr>
        <i/>
        <sz val="9"/>
        <color theme="1"/>
        <rFont val="Arial Narrow"/>
        <family val="2"/>
      </rPr>
      <t>NOTA: Los recursos de esta fila no son tenidos en cuenta en las  sumas por cuanto están contabilizadons en el objetivo 2, en el eje estratégico de Gestión del Riesgo</t>
    </r>
  </si>
  <si>
    <t xml:space="preserve">Rehabilitación, adecuación y reubicación de sedes educativas afectadas por la ola invernal con recursos del Fondo de Adaptación. </t>
  </si>
  <si>
    <t xml:space="preserve">Reubicación y construcción de los hospitales de Cerro de San Antonio, Concordia, Pedraza, Pueblo Viejo, Santa Barbara de Pinto,  San Zenón y Tenerife  - con recursos del Fondo de Adaptación.               </t>
  </si>
  <si>
    <r>
      <t xml:space="preserve">Construcción de los hospitales regionales de El Banco y Plato - con recursos del Fondo de Adaptación               </t>
    </r>
    <r>
      <rPr>
        <i/>
        <sz val="9"/>
        <color indexed="8"/>
        <rFont val="Arial Narrow"/>
        <family val="2"/>
      </rPr>
      <t/>
    </r>
  </si>
  <si>
    <t xml:space="preserve">Reubicación de Centros y Puestos de Salud - con recursos  del Fondo de Adaptación </t>
  </si>
  <si>
    <t xml:space="preserve">Adecuaciones menores hospitales afectados por la ola invernal (San Sebatián, Santa Ana, Pijiño del Carmen, El Piñón, Sitionuevo, Zapayán, El Retén, Remolino y Salamina) - con recursos de Colombia Humanitaria.                                             </t>
  </si>
  <si>
    <t xml:space="preserve">Adecuaciones menores centros y puestos de salud - con recursos de Colombia Humanitaria                                  </t>
  </si>
  <si>
    <t xml:space="preserve">Adecuación Mayor Puesto de Salud Torres Lenguas del municipio de El Banco afectado por la ola invernal - con recursos de Colombia Humanitaria.                  </t>
  </si>
  <si>
    <t xml:space="preserve">Dotacion de Equipos Bomedicos de  Hospitales de Baja complejidad  afectados por Ola Invernal  con recursos del Minsalud                          </t>
  </si>
  <si>
    <t>Recuperación de sistemas de acueducto municipales con recursos del Fondo de Adaptación</t>
  </si>
  <si>
    <t>Generación de Empleo de Emergencia con recursos del DPS</t>
  </si>
  <si>
    <t>Fuentes de Financiamiento</t>
  </si>
  <si>
    <t>ADOPCION DE LAS DIRECTRICES DE GESTION DEL RIESGO DE DESASTRES EN LA PLANEACION LOCAL Y REGIONAL (planes de desarrollo, planes de ordenamiento territorial, planes sectoriales y proyectos)</t>
  </si>
  <si>
    <t>MEJORAMIENTO EN EL CONOCIMIENTO DE LOS RIESGOS DE DESASTRES POR AMENAZAS NATURALES O DE ORIGEN ANTROPICO</t>
  </si>
  <si>
    <t>Sensibilización a periodistas de los medios de comunicación social en gestión del riesgo de desastres</t>
  </si>
  <si>
    <t>Número de eventos de sensibilización y/o capacitación realizados</t>
  </si>
  <si>
    <t xml:space="preserve">Disminuidas las condiciones de vulnerabilidad de la población y el territorio  </t>
  </si>
  <si>
    <t xml:space="preserve">% de familias localizadas en zonas de riesgo </t>
  </si>
  <si>
    <t>REDUCCION DE LA VULNERABILIDAD Y DE LOS EFECTOS OCASIONADOS POR FENOMENOS NATURALES, ANTROPOGENICOS Y POR EL CAMBIO CLIMATICO</t>
  </si>
  <si>
    <t>Número de obras de limpieza de caños,  control de inundaciones, y/o protección de orillas construidas y/o reconstruídas (Tenerife, Guaimaro, El Piñón, Aracataca, El Retén, Algarrobo, Plato entre otros)</t>
  </si>
  <si>
    <t>Número de familias reubicadas a sitios seguros segun priorización</t>
  </si>
  <si>
    <t>FORTALECIMIENTO DE LA CAPACIDAD DE RESPUESTA DE LAS ENTIDADES, ORGANISMOS Y ORGANIZACIONES SOCIALES/COMUNITARIAS ANTE EL RIESGO DE DESASTRES</t>
  </si>
  <si>
    <t>Capacitación a CMGRD y líderes comunitarios en temas de gestión del riesgo</t>
  </si>
  <si>
    <t>Número de CMGRD capacitados</t>
  </si>
  <si>
    <t>Asistencia técnica a CMGRD para elaboración o actualización de la Estrategia Municipal para la Respuestas a Emergencias</t>
  </si>
  <si>
    <t>Número de EMRE elaboradas y/o actualizadas</t>
  </si>
  <si>
    <t>Número de coordinadores CMGRD capacitados</t>
  </si>
  <si>
    <t>Número de funcionarios de instituciones miembros del CDGRD capacitados</t>
  </si>
  <si>
    <t>No. de CMGRD con equipo de comunicaciones</t>
  </si>
  <si>
    <t>Preparación y entrenamiento de CMGRD en la atención de emergencias</t>
  </si>
  <si>
    <t xml:space="preserve">Equipos, maquinaria y/o herramientas obtenidos por la gestión regional, nacional e internacional para organismos de socorro
SI=1; NO=0
</t>
  </si>
  <si>
    <t>Gestión para la dotación de equipos, maquinaria y/o herramientas a los cuerpos de bomberos municipales</t>
  </si>
  <si>
    <t xml:space="preserve">Equipos, maquinaria y/o herramientas obtenidos por la gestión regional, nacional e internacional 
SI=1; NO=0
</t>
  </si>
  <si>
    <t>Reparación de viviendas afectadas por el Fenómeno La Niña 2010-2011 en las zonas urbanas y rurales del departamento con recursos de Colombia Humanitaria</t>
  </si>
  <si>
    <t>Reconstrucción de viviendas destruidas por el Fenómeno La Niña 2010-2011 en las zonas urbanas y rurales del departamento con recursos del Fondo de Adaptación</t>
  </si>
  <si>
    <t>Número de viviendas reconstruídas en sitio propio o por construcción nueva</t>
  </si>
  <si>
    <t>Construcción de unidades de alojamientos temporales en municipios con recursos de Colombia Humanitaria</t>
  </si>
  <si>
    <t>Número de Alojamientos temporales construidos</t>
  </si>
  <si>
    <t xml:space="preserve">Número de hospitales construidos </t>
  </si>
  <si>
    <t>Proyecto piloto implementado para la recuperación y rehabilitación de la cuenca del río Ariguaní en los departamentos del Magdalena y Cesar                    Si=1, No=0</t>
  </si>
  <si>
    <t>Implementar Fondo Departamental de Becas para la Educación Superior en alianza con las universidades ubicadas en el departamento</t>
  </si>
  <si>
    <t>Plan Departamental formulado y adoptado                   SI=1; NO=0</t>
  </si>
  <si>
    <t>% de familias atendidas con ayuda humanitaria anualmente</t>
  </si>
  <si>
    <t xml:space="preserve">Número de municipios dotados con la Colección Dorada de Autores del Magdalena </t>
  </si>
  <si>
    <t>Acueductos (inversión con otras fuentes corresponde a FNR en liquidación)</t>
  </si>
  <si>
    <t>Promover la realización de una capacitación de gran impacto social implementando en las instituciones educativas del Departamento del Magdalena actividades para la prevención primaria de la trata de personas y la prostitución infantil en el entorno escolar.</t>
  </si>
  <si>
    <t>% de Instituciones Educativas Departamentales cubiertas con capacitación</t>
  </si>
  <si>
    <t>Promover campañas pedagógicas a favor de la no-violencia y la tolerancia, respeto por la dignidad de la mujer, niño, niña y adolecente, valores familiares, fomentar la denuncia como mecanismo de resolución de problemas de convivencia, fomentar el respeto por las autoridades policivas.</t>
  </si>
  <si>
    <t>Número de campañas pedagógicas realizadas por año</t>
  </si>
  <si>
    <t>Número de municipios cubiertos con jornadas de capacitación</t>
  </si>
  <si>
    <t xml:space="preserve">Promover, en el marco del Sistema Integrado de Emergencias y Seguridad (SIES), el uso de CCTV sostenibles –con grabación, monitoreo y análisis– en lugares estratégicos de centros urbanos priorizados, con fines preventivos, disuasivos, de control y judicialización. </t>
  </si>
  <si>
    <t>Número de aparatos instalados</t>
  </si>
  <si>
    <t>Apoyar la adecuación del observatorio del delito con mayor tecnología y operatividad.</t>
  </si>
  <si>
    <t>Observatorio del Delito funcionando permanentemente. SI=1; NO=0</t>
  </si>
  <si>
    <t>Promover el sistema integral de seguridad del Ministerio del Interior: cámaras de vigilancia, redes de comunicación, entre otros, en los municipios del Departamento con mayores índices de criminalidad.</t>
  </si>
  <si>
    <t>Número de aparatos proporcionados</t>
  </si>
  <si>
    <t>Ejecutar acciones especializadas contra el tráfico y la compraventa de sustancias psicoactivas, específicamente para erradicar las redes y organizaciones de microtráfico y microme­nudeo, con el apoyo de la Fiscalía General de la Nación y demás autoridades del Estado.</t>
  </si>
  <si>
    <t>Número de acciones realizadas</t>
  </si>
  <si>
    <t>Gestionar la construcción, mejoramiento y dotación de sedes de la Fuerza Pública y organismos de seguridad, duplicando la capacidad de alojamiento, de sitios de entrenamiento y capacitación de sus efectivos.</t>
  </si>
  <si>
    <t>Número de sedes construidas</t>
  </si>
  <si>
    <t>Gestionar el fortalecimiento en movilidad a la Fuerza Pública y organismos de seguridad, pues es necesario mejorar sustancialmente la capacidad estratégica de movilización, como factor clave para la efectividad de las operaciones.</t>
  </si>
  <si>
    <t>Número de automotores y motocicletas obtenidas</t>
  </si>
  <si>
    <t>Construcción de sede</t>
  </si>
  <si>
    <r>
      <t>Gestionar la construcción de Casas de Justicia y Centros de Convivencia Ciudadana con la implementación de un sistema de información, en particular en municipios y zonas priorizadas.</t>
    </r>
    <r>
      <rPr>
        <sz val="9"/>
        <color rgb="FF000000"/>
        <rFont val="Arial"/>
        <family val="2"/>
      </rPr>
      <t xml:space="preserve"> </t>
    </r>
  </si>
  <si>
    <t>Construcción de aulas, baterias sanitarias y laboratorios por institución educativa, con recursos de Ley 21 y otras fuentes</t>
  </si>
  <si>
    <t>Implementación del proyecto Magdalena Bilingüe con el apoyo de la empresa privada</t>
  </si>
  <si>
    <t>Implementación del proyecto de lectura sin fin en coordinación con los municipios</t>
  </si>
  <si>
    <t>Implementar proyectos de innovación e investigación en el aula con recursos de Cooperación Internacional</t>
  </si>
  <si>
    <t>Concertación de Plan de Vida para colectividad Rom  en el Magdalena</t>
  </si>
  <si>
    <t xml:space="preserve">Ejecutado el paln de gestion acorde a lineamientos nacionales </t>
  </si>
  <si>
    <t>RP</t>
  </si>
  <si>
    <t>Sistema diseñado      Si=1 No=0</t>
  </si>
  <si>
    <t>Fuente</t>
  </si>
  <si>
    <t>Gestionar la modernización de los sistemas de comunicación de la Policía para informar y consul­tar en línea la identidad de los ciudadanos, sus antecedentes delictivos y contravencio­nales, facilitando así la labor policial, en particular en las zonas priorizadas.</t>
  </si>
  <si>
    <t>Promover jornadas de capacitación sobre los riesgos y el daño asociados al consumo de sustancias psicoactivas y el uso inadecuado del alcohol, orientada a la población en general y en especial a niños y jóvenes en situación de vulnerabilidad, incluido su núcleo familiar o próximo, así como promover un acuerdo con los Alcaldes de los diferentes municipios sobre las políticas sobre restricciones al expendio e ingesta de alcohol, funcionamiento de establecimientos públicos, uso del espacio público y aplicar sanciones ejemplarizantes a quien conduzca en estado de embriaguez.</t>
  </si>
  <si>
    <t>Gestionar en coordinación con el Distrito de Santa Marta y el Ministerio del Interior, la construcción de un centro de atención especializado para los adolescentes infractores, diferen­ciando la ubicación, pedagogía y seguridad dentro de los lugares de internamiento, en razón de la gravedad del delito cometido, reincidencia, conducta y edad.  NOTA: No se incluyen los recursos por cuanto esta meta está contemplada en el eje de infancia y adolescencia en el primer objetivo del Plan</t>
  </si>
  <si>
    <t>Número de funcionarios capacitados en formulación de proyectos</t>
  </si>
  <si>
    <t xml:space="preserve">      Educación</t>
  </si>
  <si>
    <t>proyecto de construccion y preservacion de memoria historica construido                   Si=1 No=0</t>
  </si>
  <si>
    <t>Inclusión permanente en la web del departamento información concerniente a victimas                   Si=1 No=0</t>
  </si>
  <si>
    <t>Implementado Observatorio de Derechos Humanos para pobl.vicitima               Si=1 No=0</t>
  </si>
  <si>
    <t>FUENTES DE FINANCIACIÓN DE LA INVERSIÓN 2012-2015</t>
  </si>
  <si>
    <t>(Millones de pesos de 2012)</t>
  </si>
  <si>
    <t xml:space="preserve">FUENTE </t>
  </si>
  <si>
    <t>2012</t>
  </si>
  <si>
    <t>2013</t>
  </si>
  <si>
    <t>2014</t>
  </si>
  <si>
    <t>2015</t>
  </si>
  <si>
    <t>Estampillas reorientadas (libre inversión)</t>
  </si>
  <si>
    <t>Excedente para inversión con ICLD (Acuerdo Ley 550)</t>
  </si>
  <si>
    <t>Fortalecimiento Institucional (Acuerdo)</t>
  </si>
  <si>
    <t>Pago del acuerdo</t>
  </si>
  <si>
    <t>Recursos Propios</t>
  </si>
  <si>
    <t>Iva Telefonía Celular</t>
  </si>
  <si>
    <t>Sistema General de Participaciones</t>
  </si>
  <si>
    <t xml:space="preserve">      Salud</t>
  </si>
  <si>
    <t xml:space="preserve">      Agua Potable y Saneamiento Básico</t>
  </si>
  <si>
    <t xml:space="preserve">      Agua Potable y SB vigencias anteriores</t>
  </si>
  <si>
    <t>Sistema General de Regalías</t>
  </si>
  <si>
    <t xml:space="preserve">     Fondo de Desarrollo Regional</t>
  </si>
  <si>
    <t xml:space="preserve">     Fondo de Compensación Regional (60% proyectos regionales)</t>
  </si>
  <si>
    <t xml:space="preserve">     Ciencia, Tecnología e Innovación</t>
  </si>
  <si>
    <t xml:space="preserve">     Asignaciones directas</t>
  </si>
  <si>
    <t>ICBF</t>
  </si>
  <si>
    <t xml:space="preserve">    Sistema General de Participaciones Pignorados Municipios</t>
  </si>
  <si>
    <t>FUENTE</t>
  </si>
  <si>
    <t>Millones de $</t>
  </si>
  <si>
    <t>RECURSOS PROPIOS</t>
  </si>
  <si>
    <t>RENTAS CEDIDAS</t>
  </si>
  <si>
    <t>IVA TELEFONIA CELULAR</t>
  </si>
  <si>
    <t>OTRAS FUENTES</t>
  </si>
  <si>
    <t>FNR</t>
  </si>
  <si>
    <t>INIMPUTABLES SALUD</t>
  </si>
  <si>
    <t>INDEPORTES</t>
  </si>
  <si>
    <t>MAGDALENA BILINGÜE - SOCIEDAD PORTUARIA</t>
  </si>
  <si>
    <t>SGP MUNICIPIOS - CALIDAD EDUCACION</t>
  </si>
  <si>
    <t>FONDO EDUCACION MEDIA -FEM MINISTERIO</t>
  </si>
  <si>
    <t>COOPERACION INTERNACIONAL - EDUCACION</t>
  </si>
  <si>
    <t>UNIVERSIDADES - BECAS</t>
  </si>
  <si>
    <t>VICTIMAS - SALUD</t>
  </si>
  <si>
    <t>COOPERACION INTERNACIONAL - INDI Y VIC</t>
  </si>
  <si>
    <t>BANCOS</t>
  </si>
  <si>
    <t>DISCAPACIDAD - SALUD</t>
  </si>
  <si>
    <t>SENA</t>
  </si>
  <si>
    <t>PROGRAMAS DE FOMENTO-EMPRENDIMIENTO (BANCOLDEX -ETC)</t>
  </si>
  <si>
    <t>PROYEC. PRODUCTIVOS MUJERES</t>
  </si>
  <si>
    <t>FONDO DE SEGURIDAD</t>
  </si>
  <si>
    <t>LABORATORIOS - SALUD</t>
  </si>
  <si>
    <t>COLOMBIA HUMANITARIA</t>
  </si>
  <si>
    <t>FONDO DE ADAPTACION</t>
  </si>
  <si>
    <t>ORDENAMIENTO TERRITORIAL</t>
  </si>
  <si>
    <t>DRE, Alianzas Productivas, Oportunidades Rurales, Brigadas de Crèditos, Fondo de Adaptaciòn, Convocatorias y Otros</t>
  </si>
  <si>
    <t>CTI</t>
  </si>
  <si>
    <t>PROYECTO GAS - GASES DEL CARIBE</t>
  </si>
  <si>
    <t>TRANSITO</t>
  </si>
  <si>
    <t>PUBLICIDAD - COMUNICACIONES</t>
  </si>
  <si>
    <t>FONDOS SEGURIDAD, MUNICIPIOS, MININTERIOR</t>
  </si>
  <si>
    <t>SOCIEDAD PORTUARIA - MODERNIZACION FISICA Y TECNOLOGICA</t>
  </si>
  <si>
    <t>ARCHIVO GENERAL DE LA NACION</t>
  </si>
  <si>
    <t>Otras Fuentes:</t>
  </si>
  <si>
    <t>Presupuesto General de la Nación -PGN</t>
  </si>
  <si>
    <t xml:space="preserve">TOTAL RECURSOS </t>
  </si>
  <si>
    <t>Navegabilidad por el Rio Magdalena en convenio con CORMAGDALENA</t>
  </si>
  <si>
    <t xml:space="preserve"> </t>
  </si>
  <si>
    <t>Recursos asignados en millones de $</t>
  </si>
  <si>
    <t>Gestión Integral del riesgo y recuperación de cuencas subregionales (proyecto regional a gestionar con la nación - participan Dptos de Cesar y Magdalena, sus corporaciones autónomas y los municipios de Fundación, Algarrobo, Sabanas de San Angel, Ariguaní, El Paso, Bosconia, El Copey y Pueblo Bello).</t>
  </si>
  <si>
    <t xml:space="preserve">51627 RP y 12000  de RC </t>
  </si>
  <si>
    <t>11133  3000</t>
  </si>
  <si>
    <t>23331   6000</t>
  </si>
  <si>
    <t>36229  9000</t>
  </si>
  <si>
    <t>51627   12000</t>
  </si>
  <si>
    <t>Fortalecimiento Institucional de la Secretaria de Salud</t>
  </si>
  <si>
    <t xml:space="preserve">Recursos asignados en millones de $ para cumplimiento de actividades misionales de la Secretaria </t>
  </si>
  <si>
    <t>Recursos en millones de $ asignados</t>
  </si>
  <si>
    <t>Prestación de servicio a la población pobre no asegurada y acciones no pos en el tercer y cuarto nivel de atención</t>
  </si>
  <si>
    <t>Prestación de servicio a la población pobre no asegurada y acciones no pos en el primer y segundo nivel de atención</t>
  </si>
  <si>
    <r>
      <t xml:space="preserve">Rehabilitación, adecuación y reubicación de sedes educativas afectadas por la ola invernal con recursos del Fondo de Adaptación </t>
    </r>
    <r>
      <rPr>
        <b/>
        <i/>
        <sz val="9"/>
        <color indexed="8"/>
        <rFont val="Arial Narrow"/>
        <family val="2"/>
      </rPr>
      <t>NOTA: Los recursos de esta fila no son tenidos en cuenta en las  sumas por cuanto están contabilizados en el objetivo 2, en el eje estratégico de Gestión del Riesgo</t>
    </r>
  </si>
  <si>
    <t>Gestionar en coordinación con el Distrito de Santa Marta y el Ministerio del Interior, la construcción de un centro de atención especializado para los adolescentes infractores, diferenciando la ubicación, pedagogía y seguridad dentro de los lugares de internamiento, en razón de la gravedad del delito cometido, reincidencia, conducta y edad.</t>
  </si>
  <si>
    <t>Recursos Ciertos</t>
  </si>
  <si>
    <t>Recursos por Gestionar</t>
  </si>
  <si>
    <t>Proyectos turísticos - gremios</t>
  </si>
  <si>
    <t>JUVENTUDES</t>
  </si>
  <si>
    <t xml:space="preserve">CULTURA </t>
  </si>
  <si>
    <t>OTRAS TRANSFERENCIAS SALUD</t>
  </si>
  <si>
    <t>PLAN VIAL DEL NORTE (sin valorización)</t>
  </si>
  <si>
    <t>Valorización para Plan Vial del Norte</t>
  </si>
  <si>
    <t>Total Inversión</t>
  </si>
  <si>
    <t>% Recursos Ciertos</t>
  </si>
  <si>
    <t>% Recursos por Gestionar</t>
  </si>
  <si>
    <t>RECURSOS CIERTOS</t>
  </si>
  <si>
    <t>Total</t>
  </si>
  <si>
    <t>Aumento de la cobertura de energía eléctrica</t>
  </si>
  <si>
    <t>Número de proyectos de energía gestionados ante el gobierno nacional</t>
  </si>
  <si>
    <t>3.5.6</t>
  </si>
  <si>
    <t>38 Programas</t>
  </si>
  <si>
    <t>22 Programas</t>
  </si>
  <si>
    <t>8 Metas de Resultados</t>
  </si>
  <si>
    <t>94 Metas de Productos</t>
  </si>
  <si>
    <t xml:space="preserve">Respeto a las Familias Magdalenenses </t>
  </si>
  <si>
    <t>27  Metas de Resultados</t>
  </si>
  <si>
    <t>1.9.1</t>
  </si>
  <si>
    <t>ATENCION INTEGRAL A POBLACION DESMOVILIZADA EN PROCESOS DE REINSERCION</t>
  </si>
  <si>
    <t>312  Metas de Productos</t>
  </si>
  <si>
    <t>74 Metas de Productos</t>
  </si>
  <si>
    <t>Transferencias  Nacionales para Salud</t>
  </si>
  <si>
    <t>Victimas</t>
  </si>
  <si>
    <t>Atención a la población en condición de discapacidad</t>
  </si>
  <si>
    <t>Lepra</t>
  </si>
  <si>
    <t xml:space="preserve">Laboratorios Privados </t>
  </si>
  <si>
    <t>Concesión Ruta del Sol II, Ley 1 de 1990, INVIAS</t>
  </si>
  <si>
    <t xml:space="preserve">Plan Departamental de Agua (Sin incluir PGN y las regalías del FDR + FCR) </t>
  </si>
  <si>
    <t xml:space="preserve">    Regalías escalonadas Carbón (FNR en liquidación)</t>
  </si>
  <si>
    <t>Gases del Caribe - Proyecto de Gasificación</t>
  </si>
  <si>
    <t>Fondo de Adaptación</t>
  </si>
  <si>
    <t>Acueducto y Saneamiento Básico</t>
  </si>
  <si>
    <t>Vivienda</t>
  </si>
  <si>
    <t>Colombia Humanitaria</t>
  </si>
  <si>
    <t>Transferecias INDEPORTES</t>
  </si>
  <si>
    <t>Recursos propios del Tránsito</t>
  </si>
  <si>
    <t>Fondo Emprender, Bancoldex, Sector Privado: Proyectos productivos y emprendimiento</t>
  </si>
  <si>
    <t>Sociedad Portuaria  - modernización Institucional</t>
  </si>
  <si>
    <t>Sociedad Portuaria  - magdalena bilingüe</t>
  </si>
  <si>
    <t>Archivo General de la Nación</t>
  </si>
  <si>
    <t>SGP calidad de la Educación Municipios  (proyecto lectura sin fin)</t>
  </si>
  <si>
    <t>Fondo de la Educación Media - FEM</t>
  </si>
  <si>
    <t>Cooperación Internacional</t>
  </si>
  <si>
    <t>Universidades (becas)</t>
  </si>
  <si>
    <t>Empresa Privada, Muicipios: Proyectos Cultura</t>
  </si>
  <si>
    <t>Municipios - Ordenamiento Territorial</t>
  </si>
  <si>
    <t>Gremios, Fondo de PromociónTurística: Proyectos turísticos</t>
  </si>
  <si>
    <t>Fondos de Seguridad</t>
  </si>
  <si>
    <t>Universidades, gremios, empresa privada: Proyectos Ciencia, Tecnología e Innovación</t>
  </si>
  <si>
    <t>INVIAS - proyecto Vía de la Prosperidad</t>
  </si>
  <si>
    <t>Pauta Publicitaria - Proyectos Comunicaciones</t>
  </si>
  <si>
    <t>Bancos: Jornadas de Bancarización</t>
  </si>
  <si>
    <t>Presupuesto General de la Nación -PGN: Ministerios</t>
  </si>
  <si>
    <t>Nota:</t>
  </si>
  <si>
    <t>La suma total no coincide con las sumas de cada columna anual, en razón a que en el total se han tenido en cuenta los valores globales de algunos proyectos</t>
  </si>
  <si>
    <t>RESUMEN FUENTES DE FINANCIACIÓN DE LA INVERSIÓN 2012-2015</t>
  </si>
  <si>
    <t>3.1.3</t>
  </si>
  <si>
    <t>LOGISTICA DE FACILITACION DEL COMERCIO INTERNACIONAL</t>
  </si>
  <si>
    <t xml:space="preserve">Inclusión del proyecto de desarrollo portuario de Palermo en Conpes de expansión portuaria.    </t>
  </si>
  <si>
    <t>Proyecto incluido en Conpes     Si=1, No=0</t>
  </si>
  <si>
    <t>Proyectos de mejoramiento y/o desarrollo de la cadena logística de transporte y facilitación del comercio internacional, de infraestructura y/ o servicios apoyados por el departamento</t>
  </si>
  <si>
    <t>Número de proyectos</t>
  </si>
  <si>
    <t>DESARROLLO ENERGETICO Y ELESCTRIFICACION</t>
  </si>
  <si>
    <t>3.5.7</t>
  </si>
  <si>
    <t>TRANSPORTE FERREO</t>
  </si>
  <si>
    <t>Reactivación del trasnsporte de carga hasta el puerto de Santa Marta</t>
  </si>
  <si>
    <t>Aprobación de iniciativa privada  por el gobierno nacional acompañada por departamento de nuevo corredor férreo entre quebrada del doctor y Mamatoco  Si=1 No=0</t>
  </si>
  <si>
    <t>Adecuación de infraestructura de la antigua Gota de Leche y dotación para la  puesta en marcha de la Escuela de Bellas Artes del Magdalena Grande</t>
  </si>
  <si>
    <t>20 Programas</t>
  </si>
  <si>
    <t>49  Metas de Productos</t>
  </si>
  <si>
    <t>OBJETIVOS</t>
  </si>
  <si>
    <t>% Ponderación Objetivos</t>
  </si>
  <si>
    <t>% Ponderación Ejes Estratégicos</t>
  </si>
  <si>
    <t>Programas por Ejes</t>
  </si>
  <si>
    <t>% Ponderación de Programas</t>
  </si>
  <si>
    <t>Combate a la pobreza extrema y la desigualdad</t>
  </si>
  <si>
    <t>Plan Departamental de Aguas</t>
  </si>
  <si>
    <t>Seguridad alimentaria y nutricional</t>
  </si>
  <si>
    <t>Atención integral en salud a la población</t>
  </si>
  <si>
    <t>Educación de adultos</t>
  </si>
  <si>
    <t>Deportes y Recreación para Todos</t>
  </si>
  <si>
    <t>Derechos de Existencia</t>
  </si>
  <si>
    <t>Derechos de Desarrollo</t>
  </si>
  <si>
    <t>Derechos de Ciudadanía</t>
  </si>
  <si>
    <t>Derechos de Protección</t>
  </si>
  <si>
    <t>Educación y formación para el trabajo</t>
  </si>
  <si>
    <t>Expresiones culturales de los jóvenes</t>
  </si>
  <si>
    <t>Oportunidades para el emprendimiento y la empleabilidad</t>
  </si>
  <si>
    <t>Recreación y deporte</t>
  </si>
  <si>
    <t>Promoción de la participación</t>
  </si>
  <si>
    <t>Verdad histórica</t>
  </si>
  <si>
    <t>Asistencia y atención integral</t>
  </si>
  <si>
    <t>Reparación integral y medidas de satisfacción</t>
  </si>
  <si>
    <t>Prevención y protección</t>
  </si>
  <si>
    <t>Indígenas</t>
  </si>
  <si>
    <t>Etnias de la Sierra Nevada de Santa Marta</t>
  </si>
  <si>
    <t>Etnia Ette Enakka (Chimila)</t>
  </si>
  <si>
    <t>Población afrodescendiente</t>
  </si>
  <si>
    <t>Comunidad ROM (Gitanos)</t>
  </si>
  <si>
    <t>Atención a la mujer cabeza de hogar pobre</t>
  </si>
  <si>
    <t>Promoción de la igualdad y la equidad de la mujer</t>
  </si>
  <si>
    <t>Fomento emprendedor de la mujer</t>
  </si>
  <si>
    <t>Mujer saludable</t>
  </si>
  <si>
    <t>Atención integral a la población en condición de discapacidad</t>
  </si>
  <si>
    <t>Aención integral a la población adulta mayor</t>
  </si>
  <si>
    <t>Aención integral a la población desmovilizada en procesos de reinserción</t>
  </si>
  <si>
    <t>Fortalecmiento organizacional</t>
  </si>
  <si>
    <t>Disminución de la discriminación</t>
  </si>
  <si>
    <t>Prevención y atención en salud</t>
  </si>
  <si>
    <t>Implementación del sistema territorial de DDHH</t>
  </si>
  <si>
    <t>DDHH en el sistema de educación (PLANEDH y generación de cultura de DDHH)</t>
  </si>
  <si>
    <t>Promoción de la igualdad ante los derechos y atención y prevención de todas las formas de discriminación</t>
  </si>
  <si>
    <t>Plan de prevención y protección a personas y poblaciones en riesgo de violación de DDHH y DIH</t>
  </si>
  <si>
    <t>SUBTOTAL OBJETIVO 1</t>
  </si>
  <si>
    <t>Región Administrativa y de Planificación del Caribe colombiano</t>
  </si>
  <si>
    <t>Participación del Magdalena en Regiones de Planeación y Gestión</t>
  </si>
  <si>
    <t>Bases para lineamientos de OTD</t>
  </si>
  <si>
    <t>Gestión ambiental</t>
  </si>
  <si>
    <t>Calidad del agua</t>
  </si>
  <si>
    <t>Inocuidad de alimentos</t>
  </si>
  <si>
    <t>Seguridad química</t>
  </si>
  <si>
    <t>Gestión de residuos</t>
  </si>
  <si>
    <t>Calidad del aire</t>
  </si>
  <si>
    <t>Seguridad sanitaria en puntos de entrada</t>
  </si>
  <si>
    <t>Entornos saludables</t>
  </si>
  <si>
    <t>Zoonosis</t>
  </si>
  <si>
    <t>Medicamentos</t>
  </si>
  <si>
    <t>Control integral de vectores</t>
  </si>
  <si>
    <t>Directrices de gestión del riesgo de desastres en la planeacón local y regional</t>
  </si>
  <si>
    <t>Mejoramiento en el conocimiento de los riesgos de desastres por amenazas naturales o de orígen antrópico</t>
  </si>
  <si>
    <t>Reducción de la vulnerabilidad y de los efectos ocasionados por fenómenos naturales, antropogénicos y por el cambio climático</t>
  </si>
  <si>
    <t>Fortalecimiento de la capacidad de respuesta de las entidades, organismos y organizaciones sociales-comunitarias ante el riesgo de desastres</t>
  </si>
  <si>
    <t>Consolidación del proceso de recuperación de la sociedad y la economía ante los efectos del Fenómeno de La Niña 2012-2011</t>
  </si>
  <si>
    <t>Red de prestación de servicios de salud con reducción de la vulnerabilidad por sismos, inundaciones y movimientos en masa</t>
  </si>
  <si>
    <t>Formación para el desarrollo cultural del Magdalena</t>
  </si>
  <si>
    <t>Conservación del patrimonio cultural del Magdalena</t>
  </si>
  <si>
    <t>SUBTOTAL OBJETIVO 2</t>
  </si>
  <si>
    <t>Diversidad turística</t>
  </si>
  <si>
    <t>Apuestas productivas agropecuarias</t>
  </si>
  <si>
    <t>Logística para el comercio internacional</t>
  </si>
  <si>
    <t>Fortalecimiento institucional en CTeI</t>
  </si>
  <si>
    <t>Magdalena compite con innovación</t>
  </si>
  <si>
    <t>Conocimiento y sostenibilidad ambiental</t>
  </si>
  <si>
    <t>Protección de los derechos de los trabajadores</t>
  </si>
  <si>
    <t>Oportunidades de empleo</t>
  </si>
  <si>
    <t>Diálogo social</t>
  </si>
  <si>
    <t>Protección social</t>
  </si>
  <si>
    <t>Erradicación del trabajo infantil y de sus peores formas</t>
  </si>
  <si>
    <t>Fomento del emprendimiento</t>
  </si>
  <si>
    <t>Fomento exportador y generación de una cultura exportadora</t>
  </si>
  <si>
    <t>Plan Vial del Norte</t>
  </si>
  <si>
    <t>Vía de la Prosperidad</t>
  </si>
  <si>
    <t>Plan Vial Regional</t>
  </si>
  <si>
    <t>Gas natural domiciliario</t>
  </si>
  <si>
    <t>Aporpiación social de la cultura digital</t>
  </si>
  <si>
    <t>Desarrollo energético y electrificación</t>
  </si>
  <si>
    <t>Transporte férreo</t>
  </si>
  <si>
    <t>SUBTOTAL OBJETIVO 3</t>
  </si>
  <si>
    <t xml:space="preserve">Buen Gobierno en el Departamento                                </t>
  </si>
  <si>
    <t>Modernización de la Secretaría de Educación</t>
  </si>
  <si>
    <t>Rediseño de la red pública departamental de prestación de servicios de salud</t>
  </si>
  <si>
    <t>Magdalena, un destino seguro para viajar</t>
  </si>
  <si>
    <t>Modernización institucional de la Administración Central del Departamento</t>
  </si>
  <si>
    <t>Sostenibilidad fiscal y financiera del Departamento del Magdalena</t>
  </si>
  <si>
    <t>Asistencia técnica de gestión</t>
  </si>
  <si>
    <t>Asistencia técnica para el desarrollo</t>
  </si>
  <si>
    <t>4.3</t>
  </si>
  <si>
    <t>Seguridad y Convivencia</t>
  </si>
  <si>
    <t>Prevención social y situacional</t>
  </si>
  <si>
    <t>Presencia y control policial</t>
  </si>
  <si>
    <t>Justicia, víctima y resocialización</t>
  </si>
  <si>
    <t>Cultura de legalidad y convivencia</t>
  </si>
  <si>
    <t>Ciudadanía activa y responsable</t>
  </si>
  <si>
    <t>SUBTOTAL OBJETIVO 4</t>
  </si>
  <si>
    <t>TOTAL OBJETIVOS</t>
  </si>
  <si>
    <t>TOTAL EJES ESTRATEGICOS</t>
  </si>
  <si>
    <t>TOTAL PROGRAMAS POR EJE</t>
  </si>
  <si>
    <t>Inimputables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</si>
</sst>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_ * #,##0_ ;_ * \-#,##0_ ;_ * &quot;-&quot;??_ ;_ @_ "/>
  </numFmts>
  <fonts count="3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sz val="9"/>
      <color indexed="10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hadow/>
      <sz val="9"/>
      <color indexed="8"/>
      <name val="Arial Narrow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b/>
      <sz val="9"/>
      <color theme="1"/>
      <name val="Arial Narrow"/>
      <family val="2"/>
    </font>
    <font>
      <sz val="10"/>
      <color theme="1"/>
      <name val="Arial Narrow"/>
      <family val="2"/>
    </font>
    <font>
      <sz val="8"/>
      <color indexed="8"/>
      <name val="Arial Narrow"/>
      <family val="2"/>
    </font>
    <font>
      <sz val="12"/>
      <color theme="1"/>
      <name val="Arial Narrow"/>
      <family val="2"/>
    </font>
    <font>
      <b/>
      <sz val="12"/>
      <color indexed="8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i/>
      <sz val="9"/>
      <color indexed="8"/>
      <name val="Arial Narrow"/>
      <family val="2"/>
    </font>
    <font>
      <i/>
      <sz val="9"/>
      <color theme="1"/>
      <name val="Arial Narrow"/>
      <family val="2"/>
    </font>
    <font>
      <sz val="9"/>
      <color rgb="FF000000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i/>
      <sz val="9"/>
      <color indexed="8"/>
      <name val="Arial Narrow"/>
      <family val="2"/>
    </font>
    <font>
      <b/>
      <sz val="9"/>
      <name val="Arial Narrow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 Narrow"/>
      <family val="2"/>
    </font>
    <font>
      <b/>
      <sz val="10"/>
      <color indexed="8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39997558519241921"/>
        <bgColor theme="4" tint="0.79998168889431442"/>
      </patternFill>
    </fill>
    <fill>
      <patternFill patternType="solid">
        <fgColor theme="8" tint="0.59999389629810485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963">
    <xf numFmtId="0" fontId="0" fillId="0" borderId="0" xfId="0"/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vertical="top" wrapText="1"/>
    </xf>
    <xf numFmtId="165" fontId="6" fillId="0" borderId="1" xfId="1" applyNumberFormat="1" applyFont="1" applyFill="1" applyBorder="1" applyAlignment="1">
      <alignment horizontal="right" vertical="top" wrapText="1"/>
    </xf>
    <xf numFmtId="0" fontId="6" fillId="0" borderId="1" xfId="2" applyFont="1" applyFill="1" applyBorder="1" applyAlignment="1">
      <alignment horizontal="left" vertical="top" wrapText="1"/>
    </xf>
    <xf numFmtId="165" fontId="6" fillId="0" borderId="1" xfId="0" applyNumberFormat="1" applyFont="1" applyFill="1" applyBorder="1" applyAlignment="1">
      <alignment horizontal="right" vertical="top" wrapText="1"/>
    </xf>
    <xf numFmtId="1" fontId="6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/>
    </xf>
    <xf numFmtId="165" fontId="6" fillId="0" borderId="1" xfId="1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165" fontId="6" fillId="0" borderId="1" xfId="1" applyNumberFormat="1" applyFont="1" applyFill="1" applyBorder="1" applyAlignment="1">
      <alignment vertical="top" wrapText="1"/>
    </xf>
    <xf numFmtId="0" fontId="9" fillId="2" borderId="8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top" wrapText="1"/>
    </xf>
    <xf numFmtId="3" fontId="5" fillId="0" borderId="0" xfId="0" applyNumberFormat="1" applyFont="1" applyAlignment="1">
      <alignment vertical="top"/>
    </xf>
    <xf numFmtId="3" fontId="5" fillId="0" borderId="0" xfId="0" applyNumberFormat="1" applyFont="1" applyAlignment="1">
      <alignment vertical="top" wrapText="1"/>
    </xf>
    <xf numFmtId="3" fontId="6" fillId="0" borderId="1" xfId="0" applyNumberFormat="1" applyFont="1" applyFill="1" applyBorder="1" applyAlignment="1">
      <alignment vertical="top" wrapText="1"/>
    </xf>
    <xf numFmtId="3" fontId="7" fillId="0" borderId="0" xfId="0" applyNumberFormat="1" applyFont="1" applyFill="1" applyAlignment="1">
      <alignment vertical="top" wrapText="1"/>
    </xf>
    <xf numFmtId="3" fontId="5" fillId="0" borderId="0" xfId="0" applyNumberFormat="1" applyFont="1" applyFill="1" applyAlignment="1">
      <alignment vertical="top" wrapText="1"/>
    </xf>
    <xf numFmtId="3" fontId="5" fillId="0" borderId="0" xfId="0" applyNumberFormat="1" applyFont="1" applyAlignment="1">
      <alignment horizontal="center" vertical="top" wrapText="1"/>
    </xf>
    <xf numFmtId="3" fontId="4" fillId="0" borderId="0" xfId="0" applyNumberFormat="1" applyFont="1" applyAlignment="1">
      <alignment horizontal="right" vertical="top" wrapText="1"/>
    </xf>
    <xf numFmtId="3" fontId="4" fillId="4" borderId="18" xfId="0" applyNumberFormat="1" applyFont="1" applyFill="1" applyBorder="1" applyAlignment="1">
      <alignment vertical="top" wrapText="1"/>
    </xf>
    <xf numFmtId="3" fontId="5" fillId="0" borderId="0" xfId="0" applyNumberFormat="1" applyFont="1" applyAlignment="1">
      <alignment horizontal="center" vertical="top"/>
    </xf>
    <xf numFmtId="0" fontId="9" fillId="2" borderId="2" xfId="0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5" fontId="9" fillId="3" borderId="2" xfId="1" applyNumberFormat="1" applyFont="1" applyFill="1" applyBorder="1" applyAlignment="1">
      <alignment horizontal="center" vertical="center" wrapText="1"/>
    </xf>
    <xf numFmtId="165" fontId="9" fillId="3" borderId="9" xfId="1" applyNumberFormat="1" applyFont="1" applyFill="1" applyBorder="1" applyAlignment="1">
      <alignment horizontal="center" vertical="center" wrapText="1"/>
    </xf>
    <xf numFmtId="165" fontId="9" fillId="3" borderId="8" xfId="1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vertical="top" wrapText="1"/>
    </xf>
    <xf numFmtId="3" fontId="5" fillId="0" borderId="3" xfId="0" applyNumberFormat="1" applyFont="1" applyFill="1" applyBorder="1" applyAlignment="1">
      <alignment horizontal="right" vertical="top" wrapText="1"/>
    </xf>
    <xf numFmtId="165" fontId="9" fillId="3" borderId="38" xfId="1" applyNumberFormat="1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right" vertical="top"/>
    </xf>
    <xf numFmtId="0" fontId="9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165" fontId="5" fillId="0" borderId="1" xfId="1" applyNumberFormat="1" applyFont="1" applyFill="1" applyBorder="1" applyAlignment="1">
      <alignment horizontal="right" vertical="top" wrapText="1"/>
    </xf>
    <xf numFmtId="165" fontId="5" fillId="0" borderId="3" xfId="1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9" fontId="5" fillId="0" borderId="1" xfId="0" applyNumberFormat="1" applyFont="1" applyFill="1" applyBorder="1" applyAlignment="1">
      <alignment horizontal="right" vertical="top" wrapText="1"/>
    </xf>
    <xf numFmtId="165" fontId="5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 vertical="top"/>
    </xf>
    <xf numFmtId="165" fontId="5" fillId="0" borderId="23" xfId="1" applyNumberFormat="1" applyFont="1" applyFill="1" applyBorder="1" applyAlignment="1">
      <alignment horizontal="right" vertical="top" wrapText="1"/>
    </xf>
    <xf numFmtId="165" fontId="8" fillId="0" borderId="4" xfId="0" applyNumberFormat="1" applyFont="1" applyBorder="1" applyAlignment="1">
      <alignment vertical="top" wrapText="1"/>
    </xf>
    <xf numFmtId="165" fontId="8" fillId="0" borderId="1" xfId="0" applyNumberFormat="1" applyFont="1" applyBorder="1" applyAlignment="1">
      <alignment vertical="top" wrapText="1"/>
    </xf>
    <xf numFmtId="165" fontId="9" fillId="4" borderId="18" xfId="0" applyNumberFormat="1" applyFont="1" applyFill="1" applyBorder="1" applyAlignment="1">
      <alignment vertical="top" wrapText="1"/>
    </xf>
    <xf numFmtId="165" fontId="9" fillId="4" borderId="19" xfId="0" applyNumberFormat="1" applyFont="1" applyFill="1" applyBorder="1" applyAlignment="1">
      <alignment vertical="top" wrapText="1"/>
    </xf>
    <xf numFmtId="165" fontId="9" fillId="4" borderId="20" xfId="0" applyNumberFormat="1" applyFont="1" applyFill="1" applyBorder="1" applyAlignment="1">
      <alignment vertical="top" wrapText="1"/>
    </xf>
    <xf numFmtId="165" fontId="8" fillId="0" borderId="0" xfId="0" applyNumberFormat="1" applyFont="1" applyBorder="1" applyAlignment="1">
      <alignment vertical="top" wrapText="1"/>
    </xf>
    <xf numFmtId="165" fontId="8" fillId="0" borderId="26" xfId="0" applyNumberFormat="1" applyFont="1" applyBorder="1" applyAlignment="1">
      <alignment vertical="top" wrapText="1"/>
    </xf>
    <xf numFmtId="165" fontId="8" fillId="0" borderId="34" xfId="0" applyNumberFormat="1" applyFont="1" applyBorder="1" applyAlignment="1">
      <alignment vertical="top" wrapText="1"/>
    </xf>
    <xf numFmtId="165" fontId="8" fillId="0" borderId="10" xfId="0" applyNumberFormat="1" applyFont="1" applyBorder="1" applyAlignment="1">
      <alignment vertical="top" wrapText="1"/>
    </xf>
    <xf numFmtId="165" fontId="8" fillId="0" borderId="23" xfId="0" applyNumberFormat="1" applyFont="1" applyBorder="1" applyAlignment="1">
      <alignment vertical="top" wrapText="1"/>
    </xf>
    <xf numFmtId="0" fontId="8" fillId="2" borderId="12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top" wrapText="1"/>
    </xf>
    <xf numFmtId="0" fontId="5" fillId="0" borderId="0" xfId="0" applyFont="1" applyAlignment="1">
      <alignment horizontal="justify" vertical="top" wrapText="1"/>
    </xf>
    <xf numFmtId="0" fontId="4" fillId="2" borderId="22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right" vertical="top"/>
    </xf>
    <xf numFmtId="0" fontId="11" fillId="0" borderId="1" xfId="0" applyFont="1" applyFill="1" applyBorder="1" applyAlignment="1">
      <alignment horizontal="right" vertical="top" wrapText="1"/>
    </xf>
    <xf numFmtId="165" fontId="11" fillId="0" borderId="1" xfId="1" applyNumberFormat="1" applyFont="1" applyFill="1" applyBorder="1" applyAlignment="1">
      <alignment horizontal="right" vertical="top" wrapText="1"/>
    </xf>
    <xf numFmtId="9" fontId="5" fillId="0" borderId="1" xfId="0" applyNumberFormat="1" applyFont="1" applyFill="1" applyBorder="1" applyAlignment="1">
      <alignment horizontal="right" vertical="top"/>
    </xf>
    <xf numFmtId="165" fontId="5" fillId="0" borderId="1" xfId="1" applyNumberFormat="1" applyFont="1" applyFill="1" applyBorder="1" applyAlignment="1">
      <alignment horizontal="right" vertical="top"/>
    </xf>
    <xf numFmtId="165" fontId="5" fillId="0" borderId="0" xfId="0" applyNumberFormat="1" applyFont="1" applyAlignment="1">
      <alignment horizontal="right" vertical="top" wrapText="1"/>
    </xf>
    <xf numFmtId="165" fontId="5" fillId="0" borderId="0" xfId="0" applyNumberFormat="1" applyFont="1" applyAlignment="1">
      <alignment horizontal="justify" vertical="top" wrapText="1"/>
    </xf>
    <xf numFmtId="0" fontId="6" fillId="0" borderId="1" xfId="2" applyFont="1" applyFill="1" applyBorder="1" applyAlignment="1">
      <alignment horizontal="center" vertical="top" wrapText="1"/>
    </xf>
    <xf numFmtId="165" fontId="4" fillId="0" borderId="3" xfId="1" applyNumberFormat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vertical="top"/>
    </xf>
    <xf numFmtId="165" fontId="11" fillId="0" borderId="1" xfId="1" applyNumberFormat="1" applyFont="1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horizontal="right" vertical="top"/>
    </xf>
    <xf numFmtId="0" fontId="11" fillId="0" borderId="1" xfId="0" applyFont="1" applyFill="1" applyBorder="1"/>
    <xf numFmtId="165" fontId="11" fillId="0" borderId="1" xfId="1" applyNumberFormat="1" applyFont="1" applyFill="1" applyBorder="1"/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vertical="top" wrapText="1"/>
    </xf>
    <xf numFmtId="1" fontId="4" fillId="2" borderId="2" xfId="0" applyNumberFormat="1" applyFont="1" applyFill="1" applyBorder="1" applyAlignment="1">
      <alignment horizontal="center" vertical="top" wrapText="1"/>
    </xf>
    <xf numFmtId="1" fontId="4" fillId="2" borderId="8" xfId="0" applyNumberFormat="1" applyFont="1" applyFill="1" applyBorder="1" applyAlignment="1">
      <alignment horizontal="center" vertical="top" wrapText="1"/>
    </xf>
    <xf numFmtId="3" fontId="4" fillId="3" borderId="14" xfId="0" applyNumberFormat="1" applyFont="1" applyFill="1" applyBorder="1" applyAlignment="1">
      <alignment horizontal="center" vertical="top" wrapText="1"/>
    </xf>
    <xf numFmtId="3" fontId="4" fillId="3" borderId="2" xfId="0" applyNumberFormat="1" applyFont="1" applyFill="1" applyBorder="1" applyAlignment="1">
      <alignment horizontal="center" vertical="top" wrapText="1"/>
    </xf>
    <xf numFmtId="3" fontId="4" fillId="3" borderId="9" xfId="0" applyNumberFormat="1" applyFont="1" applyFill="1" applyBorder="1" applyAlignment="1">
      <alignment horizontal="center" vertical="top" wrapText="1"/>
    </xf>
    <xf numFmtId="3" fontId="4" fillId="3" borderId="8" xfId="0" applyNumberFormat="1" applyFont="1" applyFill="1" applyBorder="1" applyAlignment="1">
      <alignment horizontal="center" vertical="top" wrapText="1"/>
    </xf>
    <xf numFmtId="165" fontId="4" fillId="3" borderId="18" xfId="1" applyNumberFormat="1" applyFont="1" applyFill="1" applyBorder="1" applyAlignment="1">
      <alignment horizontal="right" vertical="top" wrapText="1"/>
    </xf>
    <xf numFmtId="3" fontId="5" fillId="0" borderId="15" xfId="0" applyNumberFormat="1" applyFont="1" applyBorder="1" applyAlignment="1">
      <alignment horizontal="right" vertical="top" wrapText="1"/>
    </xf>
    <xf numFmtId="3" fontId="5" fillId="0" borderId="17" xfId="0" applyNumberFormat="1" applyFont="1" applyBorder="1" applyAlignment="1">
      <alignment horizontal="right" vertical="top" wrapText="1"/>
    </xf>
    <xf numFmtId="3" fontId="5" fillId="0" borderId="22" xfId="0" applyNumberFormat="1" applyFont="1" applyBorder="1" applyAlignment="1">
      <alignment horizontal="right" vertical="top" wrapText="1"/>
    </xf>
    <xf numFmtId="0" fontId="11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justify" vertical="top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165" fontId="5" fillId="0" borderId="26" xfId="0" applyNumberFormat="1" applyFont="1" applyBorder="1" applyAlignment="1">
      <alignment vertical="top" wrapText="1"/>
    </xf>
    <xf numFmtId="165" fontId="4" fillId="4" borderId="18" xfId="0" applyNumberFormat="1" applyFont="1" applyFill="1" applyBorder="1" applyAlignment="1">
      <alignment vertical="top" wrapText="1"/>
    </xf>
    <xf numFmtId="165" fontId="4" fillId="4" borderId="19" xfId="0" applyNumberFormat="1" applyFont="1" applyFill="1" applyBorder="1" applyAlignment="1">
      <alignment vertical="top" wrapText="1"/>
    </xf>
    <xf numFmtId="165" fontId="4" fillId="4" borderId="20" xfId="0" applyNumberFormat="1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right" vertical="top" wrapText="1"/>
    </xf>
    <xf numFmtId="165" fontId="11" fillId="0" borderId="1" xfId="1" applyNumberFormat="1" applyFont="1" applyFill="1" applyBorder="1" applyAlignment="1">
      <alignment horizontal="right" vertical="top"/>
    </xf>
    <xf numFmtId="165" fontId="8" fillId="0" borderId="0" xfId="0" applyNumberFormat="1" applyFont="1" applyAlignment="1">
      <alignment vertical="top" wrapText="1"/>
    </xf>
    <xf numFmtId="0" fontId="6" fillId="0" borderId="4" xfId="0" applyFont="1" applyFill="1" applyBorder="1" applyAlignment="1">
      <alignment horizontal="right" vertical="top" wrapText="1"/>
    </xf>
    <xf numFmtId="165" fontId="6" fillId="0" borderId="4" xfId="1" applyNumberFormat="1" applyFont="1" applyFill="1" applyBorder="1" applyAlignment="1">
      <alignment horizontal="right" vertical="top" wrapText="1"/>
    </xf>
    <xf numFmtId="165" fontId="5" fillId="0" borderId="10" xfId="1" applyNumberFormat="1" applyFont="1" applyFill="1" applyBorder="1" applyAlignment="1">
      <alignment horizontal="right" vertical="top" wrapText="1"/>
    </xf>
    <xf numFmtId="165" fontId="5" fillId="0" borderId="4" xfId="1" applyNumberFormat="1" applyFont="1" applyFill="1" applyBorder="1" applyAlignment="1">
      <alignment horizontal="right" vertical="top" wrapText="1"/>
    </xf>
    <xf numFmtId="165" fontId="4" fillId="0" borderId="16" xfId="1" applyNumberFormat="1" applyFont="1" applyFill="1" applyBorder="1" applyAlignment="1">
      <alignment horizontal="right" vertical="top" wrapText="1"/>
    </xf>
    <xf numFmtId="0" fontId="11" fillId="0" borderId="10" xfId="0" applyFont="1" applyFill="1" applyBorder="1" applyAlignment="1">
      <alignment vertical="top"/>
    </xf>
    <xf numFmtId="165" fontId="11" fillId="0" borderId="10" xfId="1" applyNumberFormat="1" applyFont="1" applyFill="1" applyBorder="1" applyAlignment="1">
      <alignment vertical="top"/>
    </xf>
    <xf numFmtId="165" fontId="4" fillId="0" borderId="11" xfId="1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horizontal="right" vertical="top" wrapText="1"/>
    </xf>
    <xf numFmtId="165" fontId="6" fillId="0" borderId="10" xfId="1" applyNumberFormat="1" applyFont="1" applyFill="1" applyBorder="1" applyAlignment="1">
      <alignment horizontal="right" vertical="top" wrapText="1"/>
    </xf>
    <xf numFmtId="165" fontId="5" fillId="0" borderId="26" xfId="1" applyNumberFormat="1" applyFont="1" applyFill="1" applyBorder="1" applyAlignment="1">
      <alignment horizontal="right" vertical="top" wrapText="1"/>
    </xf>
    <xf numFmtId="165" fontId="15" fillId="0" borderId="4" xfId="1" applyNumberFormat="1" applyFont="1" applyFill="1" applyBorder="1" applyAlignment="1">
      <alignment horizontal="right" vertical="top" wrapText="1"/>
    </xf>
    <xf numFmtId="165" fontId="15" fillId="0" borderId="16" xfId="1" applyNumberFormat="1" applyFont="1" applyFill="1" applyBorder="1" applyAlignment="1">
      <alignment horizontal="right" vertical="top" wrapText="1"/>
    </xf>
    <xf numFmtId="165" fontId="15" fillId="0" borderId="15" xfId="1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right" vertical="top" wrapText="1"/>
    </xf>
    <xf numFmtId="165" fontId="5" fillId="0" borderId="34" xfId="1" applyNumberFormat="1" applyFont="1" applyFill="1" applyBorder="1" applyAlignment="1">
      <alignment horizontal="right" vertical="top" wrapText="1"/>
    </xf>
    <xf numFmtId="165" fontId="9" fillId="4" borderId="51" xfId="0" applyNumberFormat="1" applyFont="1" applyFill="1" applyBorder="1" applyAlignment="1">
      <alignment vertical="top" wrapText="1"/>
    </xf>
    <xf numFmtId="165" fontId="9" fillId="4" borderId="35" xfId="0" applyNumberFormat="1" applyFont="1" applyFill="1" applyBorder="1" applyAlignment="1">
      <alignment vertical="top" wrapText="1"/>
    </xf>
    <xf numFmtId="165" fontId="9" fillId="4" borderId="12" xfId="0" applyNumberFormat="1" applyFont="1" applyFill="1" applyBorder="1" applyAlignment="1">
      <alignment vertical="top" wrapText="1"/>
    </xf>
    <xf numFmtId="165" fontId="9" fillId="4" borderId="21" xfId="0" applyNumberFormat="1" applyFont="1" applyFill="1" applyBorder="1" applyAlignment="1">
      <alignment vertical="top" wrapText="1"/>
    </xf>
    <xf numFmtId="165" fontId="4" fillId="0" borderId="16" xfId="0" applyNumberFormat="1" applyFont="1" applyBorder="1" applyAlignment="1">
      <alignment vertical="top" wrapText="1"/>
    </xf>
    <xf numFmtId="165" fontId="4" fillId="0" borderId="3" xfId="0" applyNumberFormat="1" applyFont="1" applyBorder="1" applyAlignment="1">
      <alignment vertical="top" wrapText="1"/>
    </xf>
    <xf numFmtId="165" fontId="4" fillId="0" borderId="11" xfId="0" applyNumberFormat="1" applyFont="1" applyBorder="1" applyAlignment="1">
      <alignment vertical="top" wrapText="1"/>
    </xf>
    <xf numFmtId="3" fontId="6" fillId="0" borderId="4" xfId="0" applyNumberFormat="1" applyFont="1" applyFill="1" applyBorder="1" applyAlignment="1">
      <alignment vertical="top" wrapText="1"/>
    </xf>
    <xf numFmtId="3" fontId="5" fillId="0" borderId="16" xfId="0" applyNumberFormat="1" applyFont="1" applyFill="1" applyBorder="1" applyAlignment="1">
      <alignment vertical="top" wrapText="1"/>
    </xf>
    <xf numFmtId="3" fontId="5" fillId="0" borderId="11" xfId="0" applyNumberFormat="1" applyFont="1" applyFill="1" applyBorder="1" applyAlignment="1">
      <alignment vertical="top" wrapText="1"/>
    </xf>
    <xf numFmtId="3" fontId="4" fillId="4" borderId="51" xfId="0" applyNumberFormat="1" applyFont="1" applyFill="1" applyBorder="1" applyAlignment="1">
      <alignment vertical="top" wrapText="1"/>
    </xf>
    <xf numFmtId="165" fontId="4" fillId="3" borderId="18" xfId="1" applyNumberFormat="1" applyFont="1" applyFill="1" applyBorder="1" applyAlignment="1">
      <alignment vertical="top" wrapText="1"/>
    </xf>
    <xf numFmtId="165" fontId="4" fillId="3" borderId="19" xfId="1" applyNumberFormat="1" applyFont="1" applyFill="1" applyBorder="1" applyAlignment="1">
      <alignment vertical="top" wrapText="1"/>
    </xf>
    <xf numFmtId="0" fontId="4" fillId="2" borderId="19" xfId="0" applyFont="1" applyFill="1" applyBorder="1" applyAlignment="1">
      <alignment horizontal="justify" vertical="top" wrapText="1"/>
    </xf>
    <xf numFmtId="165" fontId="4" fillId="3" borderId="51" xfId="1" applyNumberFormat="1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right" vertical="top"/>
    </xf>
    <xf numFmtId="165" fontId="5" fillId="0" borderId="23" xfId="0" applyNumberFormat="1" applyFont="1" applyBorder="1" applyAlignment="1">
      <alignment vertical="top" wrapText="1"/>
    </xf>
    <xf numFmtId="165" fontId="5" fillId="0" borderId="31" xfId="0" applyNumberFormat="1" applyFont="1" applyBorder="1" applyAlignment="1">
      <alignment vertical="top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9" fillId="5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 wrapText="1"/>
    </xf>
    <xf numFmtId="165" fontId="20" fillId="0" borderId="1" xfId="0" applyNumberFormat="1" applyFont="1" applyFill="1" applyBorder="1" applyAlignment="1">
      <alignment vertical="center" wrapText="1"/>
    </xf>
    <xf numFmtId="3" fontId="20" fillId="0" borderId="1" xfId="0" applyNumberFormat="1" applyFont="1" applyFill="1" applyBorder="1" applyAlignment="1">
      <alignment vertical="center" wrapText="1"/>
    </xf>
    <xf numFmtId="165" fontId="21" fillId="0" borderId="1" xfId="0" applyNumberFormat="1" applyFont="1" applyFill="1" applyBorder="1" applyAlignment="1">
      <alignment vertical="center" wrapText="1"/>
    </xf>
    <xf numFmtId="165" fontId="18" fillId="0" borderId="1" xfId="0" applyNumberFormat="1" applyFont="1" applyBorder="1" applyAlignment="1">
      <alignment vertical="center"/>
    </xf>
    <xf numFmtId="3" fontId="17" fillId="3" borderId="1" xfId="0" applyNumberFormat="1" applyFont="1" applyFill="1" applyBorder="1" applyAlignment="1">
      <alignment horizontal="left" vertical="center" wrapText="1"/>
    </xf>
    <xf numFmtId="165" fontId="16" fillId="0" borderId="0" xfId="1" applyNumberFormat="1" applyFont="1" applyAlignment="1">
      <alignment vertical="center"/>
    </xf>
    <xf numFmtId="1" fontId="16" fillId="0" borderId="0" xfId="0" applyNumberFormat="1" applyFont="1" applyAlignment="1">
      <alignment vertical="center"/>
    </xf>
    <xf numFmtId="165" fontId="16" fillId="0" borderId="0" xfId="0" applyNumberFormat="1" applyFont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/>
    </xf>
    <xf numFmtId="0" fontId="11" fillId="0" borderId="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3" fontId="5" fillId="0" borderId="30" xfId="0" applyNumberFormat="1" applyFont="1" applyBorder="1" applyAlignment="1">
      <alignment horizontal="right" vertical="top" wrapText="1"/>
    </xf>
    <xf numFmtId="3" fontId="5" fillId="0" borderId="53" xfId="0" applyNumberFormat="1" applyFont="1" applyBorder="1" applyAlignment="1">
      <alignment horizontal="right" vertical="top" wrapText="1"/>
    </xf>
    <xf numFmtId="3" fontId="5" fillId="0" borderId="23" xfId="0" applyNumberFormat="1" applyFont="1" applyBorder="1" applyAlignment="1">
      <alignment horizontal="right" vertical="top" wrapText="1"/>
    </xf>
    <xf numFmtId="165" fontId="8" fillId="0" borderId="54" xfId="0" applyNumberFormat="1" applyFont="1" applyBorder="1" applyAlignment="1">
      <alignment vertical="top" wrapText="1"/>
    </xf>
    <xf numFmtId="3" fontId="4" fillId="2" borderId="2" xfId="0" applyNumberFormat="1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center" vertical="top" wrapText="1"/>
    </xf>
    <xf numFmtId="165" fontId="11" fillId="0" borderId="4" xfId="1" applyNumberFormat="1" applyFont="1" applyFill="1" applyBorder="1" applyAlignment="1">
      <alignment horizontal="right" vertical="top"/>
    </xf>
    <xf numFmtId="165" fontId="11" fillId="0" borderId="4" xfId="1" applyNumberFormat="1" applyFont="1" applyFill="1" applyBorder="1" applyAlignment="1">
      <alignment horizontal="right" vertical="top" wrapText="1"/>
    </xf>
    <xf numFmtId="165" fontId="6" fillId="0" borderId="17" xfId="1" applyNumberFormat="1" applyFont="1" applyFill="1" applyBorder="1" applyAlignment="1">
      <alignment horizontal="right" vertical="top" wrapText="1"/>
    </xf>
    <xf numFmtId="165" fontId="5" fillId="0" borderId="17" xfId="1" applyNumberFormat="1" applyFont="1" applyFill="1" applyBorder="1" applyAlignment="1">
      <alignment horizontal="right" vertical="top" wrapText="1"/>
    </xf>
    <xf numFmtId="165" fontId="5" fillId="0" borderId="45" xfId="1" applyNumberFormat="1" applyFont="1" applyFill="1" applyBorder="1" applyAlignment="1">
      <alignment horizontal="right" vertical="top" wrapText="1"/>
    </xf>
    <xf numFmtId="165" fontId="5" fillId="0" borderId="15" xfId="1" applyNumberFormat="1" applyFont="1" applyFill="1" applyBorder="1" applyAlignment="1">
      <alignment horizontal="right" vertical="top" wrapText="1"/>
    </xf>
    <xf numFmtId="165" fontId="11" fillId="0" borderId="17" xfId="1" applyNumberFormat="1" applyFont="1" applyFill="1" applyBorder="1" applyAlignment="1">
      <alignment vertical="top"/>
    </xf>
    <xf numFmtId="165" fontId="11" fillId="0" borderId="17" xfId="1" applyNumberFormat="1" applyFont="1" applyFill="1" applyBorder="1"/>
    <xf numFmtId="165" fontId="11" fillId="0" borderId="45" xfId="1" applyNumberFormat="1" applyFont="1" applyFill="1" applyBorder="1" applyAlignment="1">
      <alignment vertical="top"/>
    </xf>
    <xf numFmtId="165" fontId="6" fillId="0" borderId="45" xfId="1" applyNumberFormat="1" applyFont="1" applyFill="1" applyBorder="1" applyAlignment="1">
      <alignment horizontal="right" vertical="top" wrapText="1"/>
    </xf>
    <xf numFmtId="0" fontId="6" fillId="0" borderId="3" xfId="0" applyFont="1" applyFill="1" applyBorder="1" applyAlignment="1">
      <alignment horizontal="right" vertical="top" wrapText="1"/>
    </xf>
    <xf numFmtId="165" fontId="6" fillId="0" borderId="3" xfId="0" applyNumberFormat="1" applyFont="1" applyFill="1" applyBorder="1" applyAlignment="1">
      <alignment horizontal="right" vertical="top" wrapText="1"/>
    </xf>
    <xf numFmtId="1" fontId="6" fillId="0" borderId="3" xfId="0" applyNumberFormat="1" applyFont="1" applyFill="1" applyBorder="1" applyAlignment="1">
      <alignment horizontal="right" vertical="top" wrapText="1"/>
    </xf>
    <xf numFmtId="165" fontId="6" fillId="0" borderId="16" xfId="1" applyNumberFormat="1" applyFont="1" applyFill="1" applyBorder="1" applyAlignment="1">
      <alignment horizontal="right" vertical="top" wrapText="1"/>
    </xf>
    <xf numFmtId="165" fontId="6" fillId="0" borderId="3" xfId="1" applyNumberFormat="1" applyFont="1" applyFill="1" applyBorder="1" applyAlignment="1">
      <alignment horizontal="right" vertical="top" wrapText="1"/>
    </xf>
    <xf numFmtId="165" fontId="6" fillId="0" borderId="3" xfId="1" applyNumberFormat="1" applyFont="1" applyFill="1" applyBorder="1" applyAlignment="1">
      <alignment horizontal="right" vertical="top"/>
    </xf>
    <xf numFmtId="0" fontId="5" fillId="0" borderId="3" xfId="0" applyFont="1" applyFill="1" applyBorder="1" applyAlignment="1">
      <alignment horizontal="right" vertical="top" wrapText="1"/>
    </xf>
    <xf numFmtId="165" fontId="5" fillId="0" borderId="11" xfId="1" applyNumberFormat="1" applyFont="1" applyFill="1" applyBorder="1" applyAlignment="1">
      <alignment horizontal="right" vertical="top" wrapText="1"/>
    </xf>
    <xf numFmtId="0" fontId="11" fillId="0" borderId="16" xfId="0" applyFont="1" applyFill="1" applyBorder="1"/>
    <xf numFmtId="0" fontId="11" fillId="0" borderId="3" xfId="0" applyFont="1" applyFill="1" applyBorder="1"/>
    <xf numFmtId="0" fontId="11" fillId="0" borderId="3" xfId="0" applyFont="1" applyFill="1" applyBorder="1" applyAlignment="1">
      <alignment vertical="top"/>
    </xf>
    <xf numFmtId="0" fontId="5" fillId="0" borderId="3" xfId="0" applyFont="1" applyFill="1" applyBorder="1" applyAlignment="1">
      <alignment horizontal="right" vertical="top"/>
    </xf>
    <xf numFmtId="0" fontId="11" fillId="0" borderId="11" xfId="0" applyFont="1" applyFill="1" applyBorder="1" applyAlignment="1">
      <alignment vertical="top"/>
    </xf>
    <xf numFmtId="165" fontId="4" fillId="3" borderId="14" xfId="1" applyNumberFormat="1" applyFont="1" applyFill="1" applyBorder="1" applyAlignment="1">
      <alignment horizontal="center" vertical="center" wrapText="1"/>
    </xf>
    <xf numFmtId="165" fontId="4" fillId="3" borderId="2" xfId="1" applyNumberFormat="1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1" fontId="16" fillId="0" borderId="1" xfId="0" applyNumberFormat="1" applyFont="1" applyBorder="1" applyAlignment="1">
      <alignment vertical="center"/>
    </xf>
    <xf numFmtId="1" fontId="16" fillId="7" borderId="1" xfId="0" applyNumberFormat="1" applyFont="1" applyFill="1" applyBorder="1" applyAlignment="1">
      <alignment vertical="center"/>
    </xf>
    <xf numFmtId="1" fontId="16" fillId="7" borderId="7" xfId="0" applyNumberFormat="1" applyFont="1" applyFill="1" applyBorder="1" applyAlignment="1">
      <alignment vertical="center"/>
    </xf>
    <xf numFmtId="165" fontId="16" fillId="0" borderId="1" xfId="1" applyNumberFormat="1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165" fontId="16" fillId="0" borderId="1" xfId="0" applyNumberFormat="1" applyFont="1" applyBorder="1" applyAlignment="1">
      <alignment vertical="center"/>
    </xf>
    <xf numFmtId="165" fontId="6" fillId="0" borderId="15" xfId="1" applyNumberFormat="1" applyFont="1" applyFill="1" applyBorder="1" applyAlignment="1">
      <alignment horizontal="right" vertical="top" wrapText="1"/>
    </xf>
    <xf numFmtId="3" fontId="16" fillId="0" borderId="0" xfId="0" applyNumberFormat="1" applyFont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25" fillId="0" borderId="23" xfId="0" applyFont="1" applyFill="1" applyBorder="1"/>
    <xf numFmtId="3" fontId="27" fillId="0" borderId="1" xfId="1" applyNumberFormat="1" applyFont="1" applyFill="1" applyBorder="1"/>
    <xf numFmtId="167" fontId="27" fillId="0" borderId="1" xfId="1" applyNumberFormat="1" applyFont="1" applyFill="1" applyBorder="1"/>
    <xf numFmtId="165" fontId="18" fillId="8" borderId="1" xfId="1" applyNumberFormat="1" applyFont="1" applyFill="1" applyBorder="1" applyAlignment="1">
      <alignment vertical="center"/>
    </xf>
    <xf numFmtId="0" fontId="29" fillId="9" borderId="26" xfId="0" applyFont="1" applyFill="1" applyBorder="1" applyAlignment="1">
      <alignment horizontal="center" vertical="center"/>
    </xf>
    <xf numFmtId="0" fontId="29" fillId="9" borderId="4" xfId="0" applyFont="1" applyFill="1" applyBorder="1" applyAlignment="1">
      <alignment horizontal="center" vertical="center"/>
    </xf>
    <xf numFmtId="0" fontId="29" fillId="9" borderId="16" xfId="0" applyFont="1" applyFill="1" applyBorder="1" applyAlignment="1">
      <alignment horizontal="center" vertical="center"/>
    </xf>
    <xf numFmtId="0" fontId="27" fillId="0" borderId="23" xfId="0" applyFont="1" applyFill="1" applyBorder="1"/>
    <xf numFmtId="167" fontId="27" fillId="0" borderId="3" xfId="1" applyNumberFormat="1" applyFont="1" applyFill="1" applyBorder="1"/>
    <xf numFmtId="3" fontId="27" fillId="0" borderId="3" xfId="1" applyNumberFormat="1" applyFont="1" applyFill="1" applyBorder="1"/>
    <xf numFmtId="0" fontId="31" fillId="0" borderId="1" xfId="0" applyFont="1" applyFill="1" applyBorder="1"/>
    <xf numFmtId="0" fontId="25" fillId="0" borderId="23" xfId="0" applyFont="1" applyFill="1" applyBorder="1" applyAlignment="1">
      <alignment horizontal="left" wrapText="1" indent="1"/>
    </xf>
    <xf numFmtId="0" fontId="31" fillId="0" borderId="1" xfId="0" applyFont="1" applyBorder="1"/>
    <xf numFmtId="167" fontId="31" fillId="0" borderId="1" xfId="1" applyNumberFormat="1" applyFont="1" applyBorder="1"/>
    <xf numFmtId="167" fontId="31" fillId="0" borderId="1" xfId="1" applyNumberFormat="1" applyFont="1" applyBorder="1" applyAlignment="1">
      <alignment vertical="top"/>
    </xf>
    <xf numFmtId="0" fontId="30" fillId="8" borderId="23" xfId="0" applyFont="1" applyFill="1" applyBorder="1"/>
    <xf numFmtId="3" fontId="30" fillId="8" borderId="1" xfId="1" applyNumberFormat="1" applyFont="1" applyFill="1" applyBorder="1"/>
    <xf numFmtId="3" fontId="30" fillId="8" borderId="3" xfId="1" applyNumberFormat="1" applyFont="1" applyFill="1" applyBorder="1"/>
    <xf numFmtId="167" fontId="30" fillId="8" borderId="1" xfId="1" applyNumberFormat="1" applyFont="1" applyFill="1" applyBorder="1"/>
    <xf numFmtId="167" fontId="30" fillId="8" borderId="3" xfId="1" applyNumberFormat="1" applyFont="1" applyFill="1" applyBorder="1"/>
    <xf numFmtId="0" fontId="26" fillId="0" borderId="1" xfId="0" applyFont="1" applyFill="1" applyBorder="1" applyAlignment="1">
      <alignment horizontal="justify" wrapText="1"/>
    </xf>
    <xf numFmtId="165" fontId="30" fillId="11" borderId="1" xfId="1" applyNumberFormat="1" applyFont="1" applyFill="1" applyBorder="1"/>
    <xf numFmtId="165" fontId="5" fillId="0" borderId="1" xfId="0" applyNumberFormat="1" applyFont="1" applyFill="1" applyBorder="1" applyAlignment="1">
      <alignment horizontal="right" vertical="top"/>
    </xf>
    <xf numFmtId="165" fontId="16" fillId="6" borderId="1" xfId="0" applyNumberFormat="1" applyFont="1" applyFill="1" applyBorder="1" applyAlignment="1">
      <alignment vertical="center"/>
    </xf>
    <xf numFmtId="165" fontId="16" fillId="6" borderId="1" xfId="1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9" fontId="11" fillId="0" borderId="3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165" fontId="5" fillId="0" borderId="3" xfId="0" applyNumberFormat="1" applyFont="1" applyFill="1" applyBorder="1" applyAlignment="1">
      <alignment horizontal="right" vertical="top" wrapText="1"/>
    </xf>
    <xf numFmtId="165" fontId="5" fillId="0" borderId="3" xfId="0" applyNumberFormat="1" applyFont="1" applyFill="1" applyBorder="1" applyAlignment="1">
      <alignment horizontal="right" vertical="top"/>
    </xf>
    <xf numFmtId="0" fontId="15" fillId="0" borderId="1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9" fontId="5" fillId="0" borderId="3" xfId="0" applyNumberFormat="1" applyFont="1" applyFill="1" applyBorder="1" applyAlignment="1">
      <alignment horizontal="right" vertical="top"/>
    </xf>
    <xf numFmtId="9" fontId="5" fillId="0" borderId="1" xfId="3" applyFont="1" applyFill="1" applyBorder="1" applyAlignment="1">
      <alignment horizontal="right" vertical="top" wrapText="1"/>
    </xf>
    <xf numFmtId="9" fontId="5" fillId="0" borderId="3" xfId="3" applyFont="1" applyFill="1" applyBorder="1" applyAlignment="1">
      <alignment horizontal="right" vertical="top" wrapText="1"/>
    </xf>
    <xf numFmtId="9" fontId="5" fillId="0" borderId="3" xfId="0" applyNumberFormat="1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center" vertical="top" wrapText="1"/>
    </xf>
    <xf numFmtId="165" fontId="5" fillId="0" borderId="17" xfId="1" applyNumberFormat="1" applyFont="1" applyFill="1" applyBorder="1" applyAlignment="1">
      <alignment horizontal="right" vertical="top"/>
    </xf>
    <xf numFmtId="165" fontId="5" fillId="0" borderId="1" xfId="1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right" vertical="top" wrapText="1"/>
    </xf>
    <xf numFmtId="0" fontId="5" fillId="0" borderId="8" xfId="0" applyFont="1" applyFill="1" applyBorder="1" applyAlignment="1">
      <alignment horizontal="right" vertical="top" wrapText="1"/>
    </xf>
    <xf numFmtId="165" fontId="5" fillId="0" borderId="2" xfId="1" applyNumberFormat="1" applyFont="1" applyFill="1" applyBorder="1" applyAlignment="1">
      <alignment horizontal="right" vertical="top"/>
    </xf>
    <xf numFmtId="0" fontId="5" fillId="0" borderId="2" xfId="0" applyFont="1" applyFill="1" applyBorder="1" applyAlignment="1">
      <alignment horizontal="right" vertical="top"/>
    </xf>
    <xf numFmtId="0" fontId="5" fillId="0" borderId="8" xfId="0" applyFont="1" applyFill="1" applyBorder="1" applyAlignment="1">
      <alignment horizontal="right" vertical="top"/>
    </xf>
    <xf numFmtId="165" fontId="5" fillId="0" borderId="14" xfId="1" applyNumberFormat="1" applyFont="1" applyFill="1" applyBorder="1" applyAlignment="1">
      <alignment horizontal="right" vertical="top" wrapText="1"/>
    </xf>
    <xf numFmtId="165" fontId="5" fillId="0" borderId="2" xfId="1" applyNumberFormat="1" applyFont="1" applyFill="1" applyBorder="1" applyAlignment="1">
      <alignment horizontal="right" vertical="top" wrapText="1"/>
    </xf>
    <xf numFmtId="165" fontId="5" fillId="0" borderId="10" xfId="1" applyNumberFormat="1" applyFont="1" applyFill="1" applyBorder="1" applyAlignment="1">
      <alignment horizontal="right" vertical="top"/>
    </xf>
    <xf numFmtId="0" fontId="5" fillId="0" borderId="11" xfId="0" applyFont="1" applyFill="1" applyBorder="1" applyAlignment="1">
      <alignment horizontal="right" vertical="top"/>
    </xf>
    <xf numFmtId="3" fontId="5" fillId="0" borderId="1" xfId="0" applyNumberFormat="1" applyFont="1" applyFill="1" applyBorder="1" applyAlignment="1">
      <alignment horizontal="justify" vertical="top" wrapText="1"/>
    </xf>
    <xf numFmtId="0" fontId="14" fillId="0" borderId="1" xfId="0" applyFont="1" applyFill="1" applyBorder="1" applyAlignment="1">
      <alignment horizontal="right" vertical="top" wrapText="1"/>
    </xf>
    <xf numFmtId="0" fontId="12" fillId="0" borderId="4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right" vertical="top" wrapText="1"/>
    </xf>
    <xf numFmtId="0" fontId="12" fillId="0" borderId="4" xfId="0" applyFont="1" applyFill="1" applyBorder="1" applyAlignment="1">
      <alignment horizontal="right" vertical="top"/>
    </xf>
    <xf numFmtId="0" fontId="12" fillId="0" borderId="16" xfId="0" applyFont="1" applyFill="1" applyBorder="1" applyAlignment="1">
      <alignment horizontal="right" vertical="top"/>
    </xf>
    <xf numFmtId="165" fontId="5" fillId="0" borderId="16" xfId="1" applyNumberFormat="1" applyFont="1" applyFill="1" applyBorder="1" applyAlignment="1">
      <alignment horizontal="righ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right" vertical="top" wrapText="1"/>
    </xf>
    <xf numFmtId="0" fontId="12" fillId="0" borderId="1" xfId="0" applyFont="1" applyFill="1" applyBorder="1" applyAlignment="1">
      <alignment horizontal="right" vertical="top"/>
    </xf>
    <xf numFmtId="0" fontId="12" fillId="0" borderId="3" xfId="0" applyFont="1" applyFill="1" applyBorder="1" applyAlignment="1">
      <alignment horizontal="right" vertical="top"/>
    </xf>
    <xf numFmtId="0" fontId="12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right" vertical="top" wrapText="1"/>
    </xf>
    <xf numFmtId="0" fontId="12" fillId="0" borderId="2" xfId="0" applyFont="1" applyFill="1" applyBorder="1" applyAlignment="1">
      <alignment horizontal="right" vertical="top"/>
    </xf>
    <xf numFmtId="0" fontId="12" fillId="0" borderId="8" xfId="0" applyFont="1" applyFill="1" applyBorder="1" applyAlignment="1">
      <alignment horizontal="right" vertical="top"/>
    </xf>
    <xf numFmtId="165" fontId="5" fillId="0" borderId="31" xfId="1" applyNumberFormat="1" applyFont="1" applyFill="1" applyBorder="1" applyAlignment="1">
      <alignment horizontal="right" vertical="top" wrapText="1"/>
    </xf>
    <xf numFmtId="0" fontId="26" fillId="0" borderId="1" xfId="0" applyFont="1" applyFill="1" applyBorder="1" applyAlignment="1">
      <alignment horizontal="right" wrapText="1"/>
    </xf>
    <xf numFmtId="0" fontId="33" fillId="3" borderId="10" xfId="0" applyFont="1" applyFill="1" applyBorder="1" applyAlignment="1">
      <alignment horizontal="center" vertical="top" wrapText="1"/>
    </xf>
    <xf numFmtId="165" fontId="33" fillId="3" borderId="19" xfId="1" applyNumberFormat="1" applyFont="1" applyFill="1" applyBorder="1" applyAlignment="1">
      <alignment vertical="top" wrapText="1"/>
    </xf>
    <xf numFmtId="3" fontId="33" fillId="3" borderId="2" xfId="0" applyNumberFormat="1" applyFont="1" applyFill="1" applyBorder="1" applyAlignment="1">
      <alignment horizontal="center" vertical="top" wrapText="1"/>
    </xf>
    <xf numFmtId="165" fontId="6" fillId="0" borderId="4" xfId="0" applyNumberFormat="1" applyFont="1" applyBorder="1" applyAlignment="1">
      <alignment vertical="top" wrapText="1"/>
    </xf>
    <xf numFmtId="165" fontId="6" fillId="0" borderId="1" xfId="0" applyNumberFormat="1" applyFont="1" applyBorder="1" applyAlignment="1">
      <alignment vertical="top" wrapText="1"/>
    </xf>
    <xf numFmtId="165" fontId="6" fillId="0" borderId="10" xfId="0" applyNumberFormat="1" applyFont="1" applyBorder="1" applyAlignment="1">
      <alignment vertical="top" wrapText="1"/>
    </xf>
    <xf numFmtId="165" fontId="33" fillId="4" borderId="19" xfId="0" applyNumberFormat="1" applyFont="1" applyFill="1" applyBorder="1" applyAlignment="1">
      <alignment vertical="top" wrapText="1"/>
    </xf>
    <xf numFmtId="165" fontId="33" fillId="3" borderId="10" xfId="1" applyNumberFormat="1" applyFont="1" applyFill="1" applyBorder="1" applyAlignment="1">
      <alignment horizontal="center" vertical="top" wrapText="1"/>
    </xf>
    <xf numFmtId="165" fontId="33" fillId="3" borderId="2" xfId="1" applyNumberFormat="1" applyFont="1" applyFill="1" applyBorder="1" applyAlignment="1">
      <alignment horizontal="center" vertical="top" wrapText="1"/>
    </xf>
    <xf numFmtId="165" fontId="6" fillId="0" borderId="4" xfId="1" applyNumberFormat="1" applyFont="1" applyBorder="1" applyAlignment="1">
      <alignment vertical="top" wrapText="1"/>
    </xf>
    <xf numFmtId="165" fontId="6" fillId="0" borderId="1" xfId="1" applyNumberFormat="1" applyFont="1" applyBorder="1" applyAlignment="1">
      <alignment vertical="top" wrapText="1"/>
    </xf>
    <xf numFmtId="165" fontId="6" fillId="0" borderId="10" xfId="1" applyNumberFormat="1" applyFont="1" applyBorder="1" applyAlignment="1">
      <alignment vertical="top" wrapText="1"/>
    </xf>
    <xf numFmtId="165" fontId="33" fillId="4" borderId="19" xfId="1" applyNumberFormat="1" applyFont="1" applyFill="1" applyBorder="1" applyAlignment="1">
      <alignment vertical="top" wrapText="1"/>
    </xf>
    <xf numFmtId="0" fontId="31" fillId="0" borderId="0" xfId="0" applyFont="1" applyBorder="1" applyAlignment="1">
      <alignment horizontal="center"/>
    </xf>
    <xf numFmtId="0" fontId="31" fillId="0" borderId="0" xfId="0" applyFont="1" applyBorder="1"/>
    <xf numFmtId="167" fontId="31" fillId="0" borderId="0" xfId="1" applyNumberFormat="1" applyFont="1" applyBorder="1"/>
    <xf numFmtId="166" fontId="11" fillId="0" borderId="1" xfId="3" applyNumberFormat="1" applyFont="1" applyFill="1" applyBorder="1" applyAlignment="1">
      <alignment horizontal="center" vertical="top" wrapText="1"/>
    </xf>
    <xf numFmtId="166" fontId="11" fillId="0" borderId="1" xfId="0" applyNumberFormat="1" applyFont="1" applyFill="1" applyBorder="1" applyAlignment="1">
      <alignment horizontal="center" vertical="top"/>
    </xf>
    <xf numFmtId="166" fontId="11" fillId="0" borderId="1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right" vertical="top"/>
    </xf>
    <xf numFmtId="9" fontId="5" fillId="0" borderId="5" xfId="0" applyNumberFormat="1" applyFont="1" applyFill="1" applyBorder="1" applyAlignment="1">
      <alignment horizontal="right" vertical="top"/>
    </xf>
    <xf numFmtId="165" fontId="5" fillId="0" borderId="5" xfId="1" applyNumberFormat="1" applyFont="1" applyFill="1" applyBorder="1" applyAlignment="1">
      <alignment horizontal="right" vertical="top" wrapText="1"/>
    </xf>
    <xf numFmtId="0" fontId="26" fillId="0" borderId="1" xfId="0" applyFont="1" applyFill="1" applyBorder="1"/>
    <xf numFmtId="0" fontId="26" fillId="12" borderId="1" xfId="0" applyFont="1" applyFill="1" applyBorder="1"/>
    <xf numFmtId="167" fontId="34" fillId="12" borderId="1" xfId="1" applyNumberFormat="1" applyFont="1" applyFill="1" applyBorder="1" applyAlignment="1">
      <alignment horizontal="right" vertical="top" wrapText="1"/>
    </xf>
    <xf numFmtId="167" fontId="27" fillId="12" borderId="1" xfId="1" applyNumberFormat="1" applyFont="1" applyFill="1" applyBorder="1"/>
    <xf numFmtId="167" fontId="27" fillId="0" borderId="1" xfId="1" applyNumberFormat="1" applyFont="1" applyBorder="1"/>
    <xf numFmtId="167" fontId="27" fillId="0" borderId="1" xfId="1" applyNumberFormat="1" applyFont="1" applyBorder="1" applyAlignment="1">
      <alignment vertical="top"/>
    </xf>
    <xf numFmtId="3" fontId="27" fillId="12" borderId="1" xfId="1" applyNumberFormat="1" applyFont="1" applyFill="1" applyBorder="1"/>
    <xf numFmtId="0" fontId="27" fillId="0" borderId="0" xfId="0" applyFont="1"/>
    <xf numFmtId="0" fontId="27" fillId="0" borderId="0" xfId="0" applyFont="1" applyFill="1"/>
    <xf numFmtId="0" fontId="30" fillId="0" borderId="0" xfId="0" applyFont="1"/>
    <xf numFmtId="0" fontId="27" fillId="0" borderId="0" xfId="0" applyFont="1" applyBorder="1"/>
    <xf numFmtId="167" fontId="27" fillId="0" borderId="0" xfId="0" applyNumberFormat="1" applyFont="1" applyBorder="1"/>
    <xf numFmtId="167" fontId="27" fillId="0" borderId="0" xfId="0" applyNumberFormat="1" applyFont="1"/>
    <xf numFmtId="165" fontId="27" fillId="0" borderId="0" xfId="1" applyNumberFormat="1" applyFont="1" applyBorder="1"/>
    <xf numFmtId="167" fontId="30" fillId="0" borderId="0" xfId="0" applyNumberFormat="1" applyFont="1"/>
    <xf numFmtId="165" fontId="27" fillId="0" borderId="0" xfId="0" applyNumberFormat="1" applyFont="1" applyBorder="1"/>
    <xf numFmtId="1" fontId="27" fillId="0" borderId="0" xfId="0" applyNumberFormat="1" applyFont="1"/>
    <xf numFmtId="0" fontId="30" fillId="11" borderId="1" xfId="0" applyFont="1" applyFill="1" applyBorder="1"/>
    <xf numFmtId="0" fontId="30" fillId="10" borderId="1" xfId="0" applyFont="1" applyFill="1" applyBorder="1"/>
    <xf numFmtId="165" fontId="30" fillId="10" borderId="1" xfId="0" applyNumberFormat="1" applyFont="1" applyFill="1" applyBorder="1"/>
    <xf numFmtId="0" fontId="27" fillId="10" borderId="1" xfId="0" applyFont="1" applyFill="1" applyBorder="1"/>
    <xf numFmtId="0" fontId="27" fillId="12" borderId="1" xfId="0" applyFont="1" applyFill="1" applyBorder="1"/>
    <xf numFmtId="0" fontId="27" fillId="0" borderId="1" xfId="0" applyFont="1" applyFill="1" applyBorder="1"/>
    <xf numFmtId="167" fontId="27" fillId="0" borderId="0" xfId="0" applyNumberFormat="1" applyFont="1" applyFill="1"/>
    <xf numFmtId="167" fontId="27" fillId="0" borderId="0" xfId="1" applyNumberFormat="1" applyFont="1"/>
    <xf numFmtId="167" fontId="27" fillId="10" borderId="1" xfId="1" applyNumberFormat="1" applyFont="1" applyFill="1" applyBorder="1"/>
    <xf numFmtId="167" fontId="27" fillId="12" borderId="1" xfId="1" applyNumberFormat="1" applyFont="1" applyFill="1" applyBorder="1" applyAlignment="1">
      <alignment horizontal="right" vertical="top" wrapText="1"/>
    </xf>
    <xf numFmtId="167" fontId="27" fillId="12" borderId="1" xfId="1" applyNumberFormat="1" applyFont="1" applyFill="1" applyBorder="1" applyAlignment="1">
      <alignment vertical="top"/>
    </xf>
    <xf numFmtId="167" fontId="27" fillId="0" borderId="0" xfId="1" applyNumberFormat="1" applyFont="1" applyAlignment="1">
      <alignment vertical="top"/>
    </xf>
    <xf numFmtId="167" fontId="27" fillId="12" borderId="1" xfId="0" applyNumberFormat="1" applyFont="1" applyFill="1" applyBorder="1"/>
    <xf numFmtId="167" fontId="27" fillId="0" borderId="1" xfId="0" applyNumberFormat="1" applyFont="1" applyBorder="1"/>
    <xf numFmtId="167" fontId="30" fillId="0" borderId="1" xfId="0" applyNumberFormat="1" applyFont="1" applyBorder="1"/>
    <xf numFmtId="167" fontId="30" fillId="12" borderId="1" xfId="0" applyNumberFormat="1" applyFont="1" applyFill="1" applyBorder="1"/>
    <xf numFmtId="0" fontId="31" fillId="10" borderId="1" xfId="0" applyFont="1" applyFill="1" applyBorder="1"/>
    <xf numFmtId="165" fontId="31" fillId="10" borderId="1" xfId="1" applyNumberFormat="1" applyFont="1" applyFill="1" applyBorder="1"/>
    <xf numFmtId="167" fontId="30" fillId="10" borderId="1" xfId="0" applyNumberFormat="1" applyFont="1" applyFill="1" applyBorder="1"/>
    <xf numFmtId="167" fontId="30" fillId="10" borderId="1" xfId="3" applyNumberFormat="1" applyFont="1" applyFill="1" applyBorder="1"/>
    <xf numFmtId="9" fontId="30" fillId="10" borderId="1" xfId="3" applyFont="1" applyFill="1" applyBorder="1"/>
    <xf numFmtId="9" fontId="30" fillId="10" borderId="1" xfId="1" applyNumberFormat="1" applyFont="1" applyFill="1" applyBorder="1"/>
    <xf numFmtId="167" fontId="31" fillId="10" borderId="1" xfId="1" applyNumberFormat="1" applyFont="1" applyFill="1" applyBorder="1"/>
    <xf numFmtId="0" fontId="31" fillId="10" borderId="1" xfId="0" applyFont="1" applyFill="1" applyBorder="1" applyAlignment="1">
      <alignment horizontal="center"/>
    </xf>
    <xf numFmtId="165" fontId="5" fillId="0" borderId="12" xfId="1" applyNumberFormat="1" applyFont="1" applyFill="1" applyBorder="1" applyAlignment="1">
      <alignment horizontal="right" vertical="top" wrapText="1"/>
    </xf>
    <xf numFmtId="167" fontId="27" fillId="0" borderId="1" xfId="0" applyNumberFormat="1" applyFont="1" applyBorder="1" applyAlignment="1">
      <alignment vertical="top"/>
    </xf>
    <xf numFmtId="0" fontId="6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164" fontId="5" fillId="0" borderId="1" xfId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right" vertical="top" wrapText="1"/>
    </xf>
    <xf numFmtId="165" fontId="6" fillId="0" borderId="1" xfId="1" applyNumberFormat="1" applyFont="1" applyFill="1" applyBorder="1" applyAlignment="1">
      <alignment horizontal="center" vertical="top" wrapText="1"/>
    </xf>
    <xf numFmtId="3" fontId="5" fillId="0" borderId="4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3" fontId="5" fillId="0" borderId="4" xfId="0" applyNumberFormat="1" applyFont="1" applyFill="1" applyBorder="1" applyAlignment="1">
      <alignment horizontal="left" vertical="top" wrapText="1"/>
    </xf>
    <xf numFmtId="3" fontId="5" fillId="0" borderId="6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vertical="top" wrapText="1"/>
    </xf>
    <xf numFmtId="3" fontId="5" fillId="0" borderId="4" xfId="0" applyNumberFormat="1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left" vertical="top" wrapText="1"/>
    </xf>
    <xf numFmtId="3" fontId="5" fillId="0" borderId="10" xfId="0" applyNumberFormat="1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right" vertical="top" wrapText="1"/>
    </xf>
    <xf numFmtId="9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4" fillId="2" borderId="11" xfId="0" applyFont="1" applyFill="1" applyBorder="1" applyAlignment="1">
      <alignment horizontal="center" vertical="top" wrapText="1"/>
    </xf>
    <xf numFmtId="0" fontId="4" fillId="3" borderId="44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165" fontId="5" fillId="0" borderId="0" xfId="0" applyNumberFormat="1" applyFont="1" applyFill="1" applyAlignment="1">
      <alignment horizontal="left" vertical="top"/>
    </xf>
    <xf numFmtId="165" fontId="5" fillId="0" borderId="0" xfId="0" applyNumberFormat="1" applyFont="1" applyAlignment="1">
      <alignment vertical="top"/>
    </xf>
    <xf numFmtId="165" fontId="6" fillId="0" borderId="0" xfId="1" applyNumberFormat="1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165" fontId="5" fillId="0" borderId="4" xfId="0" applyNumberFormat="1" applyFont="1" applyBorder="1" applyAlignment="1">
      <alignment vertical="top" wrapText="1"/>
    </xf>
    <xf numFmtId="165" fontId="5" fillId="0" borderId="16" xfId="0" applyNumberFormat="1" applyFont="1" applyBorder="1" applyAlignment="1">
      <alignment vertical="top" wrapText="1"/>
    </xf>
    <xf numFmtId="165" fontId="5" fillId="0" borderId="1" xfId="0" applyNumberFormat="1" applyFont="1" applyBorder="1" applyAlignment="1">
      <alignment vertical="top" wrapText="1"/>
    </xf>
    <xf numFmtId="165" fontId="5" fillId="0" borderId="3" xfId="0" applyNumberFormat="1" applyFont="1" applyBorder="1" applyAlignment="1">
      <alignment vertical="top" wrapText="1"/>
    </xf>
    <xf numFmtId="165" fontId="5" fillId="0" borderId="34" xfId="0" applyNumberFormat="1" applyFont="1" applyBorder="1" applyAlignment="1">
      <alignment vertical="top" wrapText="1"/>
    </xf>
    <xf numFmtId="165" fontId="5" fillId="0" borderId="10" xfId="0" applyNumberFormat="1" applyFont="1" applyBorder="1" applyAlignment="1">
      <alignment vertical="top" wrapText="1"/>
    </xf>
    <xf numFmtId="165" fontId="5" fillId="0" borderId="11" xfId="0" applyNumberFormat="1" applyFont="1" applyBorder="1" applyAlignment="1">
      <alignment vertical="top" wrapText="1"/>
    </xf>
    <xf numFmtId="165" fontId="6" fillId="0" borderId="0" xfId="0" applyNumberFormat="1" applyFont="1" applyAlignment="1">
      <alignment vertical="top"/>
    </xf>
    <xf numFmtId="165" fontId="27" fillId="0" borderId="0" xfId="0" applyNumberFormat="1" applyFont="1" applyFill="1"/>
    <xf numFmtId="0" fontId="11" fillId="0" borderId="5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/>
    </xf>
    <xf numFmtId="0" fontId="5" fillId="0" borderId="16" xfId="0" applyFont="1" applyFill="1" applyBorder="1" applyAlignment="1">
      <alignment horizontal="right" vertical="top" wrapText="1"/>
    </xf>
    <xf numFmtId="1" fontId="5" fillId="0" borderId="1" xfId="3" applyNumberFormat="1" applyFont="1" applyFill="1" applyBorder="1" applyAlignment="1">
      <alignment horizontal="right" vertical="top" wrapText="1"/>
    </xf>
    <xf numFmtId="9" fontId="5" fillId="0" borderId="1" xfId="0" applyNumberFormat="1" applyFont="1" applyFill="1" applyBorder="1" applyAlignment="1">
      <alignment horizontal="center" vertical="top" wrapText="1"/>
    </xf>
    <xf numFmtId="165" fontId="5" fillId="0" borderId="0" xfId="1" applyNumberFormat="1" applyFont="1" applyFill="1" applyBorder="1" applyAlignment="1">
      <alignment horizontal="right" vertical="top" wrapText="1"/>
    </xf>
    <xf numFmtId="165" fontId="4" fillId="0" borderId="0" xfId="1" applyNumberFormat="1" applyFont="1" applyFill="1" applyBorder="1" applyAlignment="1">
      <alignment horizontal="right" vertical="top" wrapText="1"/>
    </xf>
    <xf numFmtId="9" fontId="5" fillId="0" borderId="1" xfId="1" applyNumberFormat="1" applyFont="1" applyFill="1" applyBorder="1" applyAlignment="1">
      <alignment horizontal="center" vertical="top" wrapText="1"/>
    </xf>
    <xf numFmtId="164" fontId="5" fillId="0" borderId="1" xfId="1" applyFont="1" applyFill="1" applyBorder="1" applyAlignment="1">
      <alignment vertical="top" wrapText="1"/>
    </xf>
    <xf numFmtId="165" fontId="5" fillId="0" borderId="10" xfId="1" applyNumberFormat="1" applyFont="1" applyFill="1" applyBorder="1" applyAlignment="1">
      <alignment vertical="top" wrapText="1"/>
    </xf>
    <xf numFmtId="1" fontId="5" fillId="0" borderId="10" xfId="3" applyNumberFormat="1" applyFont="1" applyFill="1" applyBorder="1" applyAlignment="1">
      <alignment vertical="top" wrapText="1"/>
    </xf>
    <xf numFmtId="165" fontId="5" fillId="0" borderId="46" xfId="1" applyNumberFormat="1" applyFont="1" applyFill="1" applyBorder="1" applyAlignment="1">
      <alignment horizontal="right" vertical="top" wrapText="1"/>
    </xf>
    <xf numFmtId="165" fontId="5" fillId="0" borderId="52" xfId="1" applyNumberFormat="1" applyFont="1" applyFill="1" applyBorder="1" applyAlignment="1">
      <alignment horizontal="right" vertical="top" wrapText="1"/>
    </xf>
    <xf numFmtId="165" fontId="4" fillId="0" borderId="46" xfId="1" applyNumberFormat="1" applyFont="1" applyFill="1" applyBorder="1" applyAlignment="1">
      <alignment horizontal="right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right" vertical="center" wrapText="1"/>
    </xf>
    <xf numFmtId="0" fontId="11" fillId="0" borderId="8" xfId="0" applyFont="1" applyFill="1" applyBorder="1" applyAlignment="1">
      <alignment horizontal="right" vertical="center" wrapText="1"/>
    </xf>
    <xf numFmtId="165" fontId="4" fillId="0" borderId="8" xfId="1" applyNumberFormat="1" applyFont="1" applyFill="1" applyBorder="1" applyAlignment="1">
      <alignment horizontal="right" vertical="top" wrapText="1"/>
    </xf>
    <xf numFmtId="0" fontId="11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right" vertical="top" wrapText="1"/>
    </xf>
    <xf numFmtId="0" fontId="5" fillId="0" borderId="21" xfId="0" applyFont="1" applyFill="1" applyBorder="1" applyAlignment="1">
      <alignment horizontal="right" vertical="top" wrapText="1"/>
    </xf>
    <xf numFmtId="165" fontId="5" fillId="0" borderId="38" xfId="1" applyNumberFormat="1" applyFont="1" applyFill="1" applyBorder="1" applyAlignment="1">
      <alignment horizontal="right" vertical="top" wrapText="1"/>
    </xf>
    <xf numFmtId="165" fontId="4" fillId="0" borderId="21" xfId="1" applyNumberFormat="1" applyFont="1" applyFill="1" applyBorder="1" applyAlignment="1">
      <alignment horizontal="right" vertical="top" wrapText="1"/>
    </xf>
    <xf numFmtId="0" fontId="5" fillId="0" borderId="12" xfId="0" applyFont="1" applyFill="1" applyBorder="1" applyAlignment="1">
      <alignment vertical="top" wrapText="1"/>
    </xf>
    <xf numFmtId="165" fontId="5" fillId="0" borderId="4" xfId="1" applyNumberFormat="1" applyFont="1" applyFill="1" applyBorder="1" applyAlignment="1">
      <alignment horizontal="right" vertical="top"/>
    </xf>
    <xf numFmtId="165" fontId="6" fillId="0" borderId="4" xfId="1" applyNumberFormat="1" applyFont="1" applyFill="1" applyBorder="1" applyAlignment="1">
      <alignment horizontal="right" vertical="top"/>
    </xf>
    <xf numFmtId="0" fontId="5" fillId="0" borderId="16" xfId="0" applyFont="1" applyFill="1" applyBorder="1" applyAlignment="1">
      <alignment horizontal="right" vertical="top"/>
    </xf>
    <xf numFmtId="0" fontId="5" fillId="0" borderId="5" xfId="0" applyFont="1" applyFill="1" applyBorder="1" applyAlignment="1">
      <alignment horizontal="right" vertical="top" wrapText="1"/>
    </xf>
    <xf numFmtId="0" fontId="5" fillId="0" borderId="46" xfId="0" applyFont="1" applyFill="1" applyBorder="1" applyAlignment="1">
      <alignment horizontal="right" vertical="top" wrapText="1"/>
    </xf>
    <xf numFmtId="9" fontId="5" fillId="0" borderId="10" xfId="0" applyNumberFormat="1" applyFont="1" applyFill="1" applyBorder="1" applyAlignment="1">
      <alignment horizontal="right" vertical="top" wrapText="1"/>
    </xf>
    <xf numFmtId="9" fontId="5" fillId="0" borderId="11" xfId="0" applyNumberFormat="1" applyFont="1" applyFill="1" applyBorder="1" applyAlignment="1">
      <alignment horizontal="right"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3" fontId="5" fillId="0" borderId="6" xfId="0" applyNumberFormat="1" applyFont="1" applyFill="1" applyBorder="1" applyAlignment="1">
      <alignment vertical="top" wrapText="1"/>
    </xf>
    <xf numFmtId="3" fontId="5" fillId="0" borderId="55" xfId="0" applyNumberFormat="1" applyFont="1" applyFill="1" applyBorder="1" applyAlignment="1">
      <alignment vertical="top" wrapText="1"/>
    </xf>
    <xf numFmtId="165" fontId="5" fillId="0" borderId="43" xfId="1" applyNumberFormat="1" applyFont="1" applyFill="1" applyBorder="1" applyAlignment="1">
      <alignment horizontal="right" vertical="top" wrapText="1"/>
    </xf>
    <xf numFmtId="165" fontId="5" fillId="0" borderId="6" xfId="1" applyNumberFormat="1" applyFont="1" applyFill="1" applyBorder="1" applyAlignment="1">
      <alignment horizontal="right" vertical="top" wrapText="1"/>
    </xf>
    <xf numFmtId="3" fontId="5" fillId="0" borderId="4" xfId="0" applyNumberFormat="1" applyFont="1" applyFill="1" applyBorder="1" applyAlignment="1">
      <alignment horizontal="justify" vertical="top" wrapText="1"/>
    </xf>
    <xf numFmtId="3" fontId="5" fillId="0" borderId="4" xfId="0" applyNumberFormat="1" applyFont="1" applyFill="1" applyBorder="1" applyAlignment="1">
      <alignment horizontal="right" vertical="top" wrapText="1"/>
    </xf>
    <xf numFmtId="3" fontId="5" fillId="0" borderId="16" xfId="0" applyNumberFormat="1" applyFont="1" applyFill="1" applyBorder="1" applyAlignment="1">
      <alignment horizontal="right" vertical="top" wrapText="1"/>
    </xf>
    <xf numFmtId="3" fontId="5" fillId="0" borderId="2" xfId="0" applyNumberFormat="1" applyFont="1" applyFill="1" applyBorder="1" applyAlignment="1">
      <alignment horizontal="right" vertical="top" wrapText="1"/>
    </xf>
    <xf numFmtId="3" fontId="5" fillId="0" borderId="2" xfId="0" applyNumberFormat="1" applyFont="1" applyFill="1" applyBorder="1" applyAlignment="1">
      <alignment vertical="top" wrapText="1"/>
    </xf>
    <xf numFmtId="3" fontId="5" fillId="0" borderId="8" xfId="0" applyNumberFormat="1" applyFont="1" applyFill="1" applyBorder="1" applyAlignment="1">
      <alignment vertical="top" wrapText="1"/>
    </xf>
    <xf numFmtId="3" fontId="5" fillId="0" borderId="33" xfId="0" applyNumberFormat="1" applyFont="1" applyFill="1" applyBorder="1" applyAlignment="1">
      <alignment vertical="top" wrapText="1"/>
    </xf>
    <xf numFmtId="3" fontId="5" fillId="0" borderId="5" xfId="0" applyNumberFormat="1" applyFont="1" applyFill="1" applyBorder="1" applyAlignment="1">
      <alignment horizontal="right" vertical="top" wrapText="1"/>
    </xf>
    <xf numFmtId="3" fontId="5" fillId="0" borderId="5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horizontal="justify" vertical="top" wrapText="1"/>
    </xf>
    <xf numFmtId="0" fontId="11" fillId="0" borderId="3" xfId="0" applyFont="1" applyFill="1" applyBorder="1" applyAlignment="1">
      <alignment horizontal="right" vertical="top" wrapText="1"/>
    </xf>
    <xf numFmtId="165" fontId="11" fillId="0" borderId="17" xfId="1" applyNumberFormat="1" applyFont="1" applyFill="1" applyBorder="1" applyAlignment="1">
      <alignment horizontal="right" vertical="top" wrapText="1"/>
    </xf>
    <xf numFmtId="3" fontId="5" fillId="0" borderId="1" xfId="1" applyNumberFormat="1" applyFont="1" applyFill="1" applyBorder="1" applyAlignment="1">
      <alignment horizontal="right" vertical="top" wrapText="1"/>
    </xf>
    <xf numFmtId="3" fontId="5" fillId="0" borderId="3" xfId="1" applyNumberFormat="1" applyFont="1" applyFill="1" applyBorder="1" applyAlignment="1">
      <alignment horizontal="right"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3" fontId="5" fillId="0" borderId="10" xfId="1" applyNumberFormat="1" applyFont="1" applyFill="1" applyBorder="1" applyAlignment="1">
      <alignment horizontal="right" vertical="top" wrapText="1"/>
    </xf>
    <xf numFmtId="3" fontId="5" fillId="0" borderId="11" xfId="1" applyNumberFormat="1" applyFont="1" applyFill="1" applyBorder="1" applyAlignment="1">
      <alignment horizontal="right" vertical="top" wrapText="1"/>
    </xf>
    <xf numFmtId="3" fontId="5" fillId="0" borderId="7" xfId="0" applyNumberFormat="1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164" fontId="5" fillId="0" borderId="0" xfId="1" applyFont="1" applyFill="1" applyBorder="1" applyAlignment="1">
      <alignment horizontal="left" vertical="top" wrapText="1"/>
    </xf>
    <xf numFmtId="0" fontId="11" fillId="0" borderId="0" xfId="0" applyFont="1" applyFill="1" applyAlignment="1">
      <alignment vertical="top"/>
    </xf>
    <xf numFmtId="0" fontId="10" fillId="0" borderId="1" xfId="0" applyFont="1" applyFill="1" applyBorder="1" applyAlignment="1">
      <alignment horizontal="left" vertical="top" wrapText="1"/>
    </xf>
    <xf numFmtId="165" fontId="11" fillId="0" borderId="10" xfId="1" applyNumberFormat="1" applyFont="1" applyFill="1" applyBorder="1" applyAlignment="1">
      <alignment horizontal="right" vertical="top"/>
    </xf>
    <xf numFmtId="164" fontId="5" fillId="0" borderId="0" xfId="1" applyFont="1" applyFill="1" applyBorder="1" applyAlignment="1">
      <alignment horizontal="right" vertical="top" wrapText="1"/>
    </xf>
    <xf numFmtId="3" fontId="11" fillId="0" borderId="1" xfId="1" applyNumberFormat="1" applyFont="1" applyFill="1" applyBorder="1" applyAlignment="1">
      <alignment horizontal="right" vertical="top" wrapText="1"/>
    </xf>
    <xf numFmtId="3" fontId="11" fillId="0" borderId="1" xfId="0" applyNumberFormat="1" applyFont="1" applyFill="1" applyBorder="1" applyAlignment="1">
      <alignment horizontal="right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right" vertical="top" wrapText="1"/>
    </xf>
    <xf numFmtId="3" fontId="11" fillId="0" borderId="10" xfId="1" applyNumberFormat="1" applyFont="1" applyFill="1" applyBorder="1" applyAlignment="1">
      <alignment horizontal="right" vertical="top" wrapText="1"/>
    </xf>
    <xf numFmtId="3" fontId="11" fillId="0" borderId="10" xfId="0" applyNumberFormat="1" applyFont="1" applyFill="1" applyBorder="1" applyAlignment="1">
      <alignment horizontal="right" vertical="top" wrapText="1"/>
    </xf>
    <xf numFmtId="165" fontId="11" fillId="0" borderId="10" xfId="1" applyNumberFormat="1" applyFont="1" applyFill="1" applyBorder="1" applyAlignment="1">
      <alignment horizontal="right" vertical="top" wrapText="1"/>
    </xf>
    <xf numFmtId="9" fontId="11" fillId="0" borderId="10" xfId="0" applyNumberFormat="1" applyFont="1" applyFill="1" applyBorder="1" applyAlignment="1">
      <alignment horizontal="right" vertical="top" wrapText="1"/>
    </xf>
    <xf numFmtId="9" fontId="11" fillId="0" borderId="5" xfId="0" applyNumberFormat="1" applyFont="1" applyFill="1" applyBorder="1" applyAlignment="1">
      <alignment horizontal="right" vertical="top" wrapText="1"/>
    </xf>
    <xf numFmtId="165" fontId="11" fillId="0" borderId="5" xfId="1" applyNumberFormat="1" applyFont="1" applyFill="1" applyBorder="1" applyAlignment="1">
      <alignment horizontal="right" vertical="top"/>
    </xf>
    <xf numFmtId="165" fontId="11" fillId="0" borderId="5" xfId="1" applyNumberFormat="1" applyFont="1" applyFill="1" applyBorder="1" applyAlignment="1">
      <alignment horizontal="right" vertical="top" wrapText="1"/>
    </xf>
    <xf numFmtId="165" fontId="6" fillId="0" borderId="5" xfId="1" applyNumberFormat="1" applyFont="1" applyFill="1" applyBorder="1" applyAlignment="1">
      <alignment horizontal="right" vertical="top" wrapText="1"/>
    </xf>
    <xf numFmtId="0" fontId="11" fillId="0" borderId="6" xfId="0" applyFont="1" applyFill="1" applyBorder="1" applyAlignment="1">
      <alignment vertical="top" wrapText="1"/>
    </xf>
    <xf numFmtId="0" fontId="11" fillId="0" borderId="58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165" fontId="5" fillId="0" borderId="41" xfId="1" applyNumberFormat="1" applyFont="1" applyFill="1" applyBorder="1" applyAlignment="1">
      <alignment horizontal="right" vertical="top" wrapText="1"/>
    </xf>
    <xf numFmtId="165" fontId="5" fillId="0" borderId="0" xfId="0" applyNumberFormat="1" applyFont="1" applyFill="1" applyAlignment="1">
      <alignment horizontal="right" vertical="top" wrapText="1"/>
    </xf>
    <xf numFmtId="165" fontId="5" fillId="0" borderId="0" xfId="0" applyNumberFormat="1" applyFont="1" applyFill="1" applyAlignment="1">
      <alignment horizontal="justify" vertical="top" wrapText="1"/>
    </xf>
    <xf numFmtId="166" fontId="6" fillId="0" borderId="1" xfId="3" applyNumberFormat="1" applyFont="1" applyFill="1" applyBorder="1" applyAlignment="1">
      <alignment horizontal="right" vertical="top" wrapText="1"/>
    </xf>
    <xf numFmtId="166" fontId="11" fillId="0" borderId="1" xfId="3" applyNumberFormat="1" applyFont="1" applyFill="1" applyBorder="1" applyAlignment="1">
      <alignment horizontal="right" vertical="top" wrapText="1"/>
    </xf>
    <xf numFmtId="165" fontId="11" fillId="0" borderId="1" xfId="0" applyNumberFormat="1" applyFont="1" applyFill="1" applyBorder="1" applyAlignment="1">
      <alignment horizontal="right" vertical="top" wrapText="1"/>
    </xf>
    <xf numFmtId="166" fontId="11" fillId="0" borderId="1" xfId="3" applyNumberFormat="1" applyFont="1" applyFill="1" applyBorder="1" applyAlignment="1">
      <alignment vertical="top" wrapText="1"/>
    </xf>
    <xf numFmtId="9" fontId="11" fillId="0" borderId="1" xfId="3" applyFont="1" applyFill="1" applyBorder="1" applyAlignment="1">
      <alignment horizontal="center" vertical="top" wrapText="1"/>
    </xf>
    <xf numFmtId="9" fontId="11" fillId="0" borderId="1" xfId="0" applyNumberFormat="1" applyFont="1" applyFill="1" applyBorder="1" applyAlignment="1">
      <alignment horizontal="center" vertical="top" wrapText="1"/>
    </xf>
    <xf numFmtId="166" fontId="11" fillId="0" borderId="10" xfId="3" applyNumberFormat="1" applyFont="1" applyFill="1" applyBorder="1" applyAlignment="1">
      <alignment vertical="top" wrapText="1"/>
    </xf>
    <xf numFmtId="9" fontId="11" fillId="0" borderId="10" xfId="3" applyFont="1" applyFill="1" applyBorder="1" applyAlignment="1">
      <alignment horizontal="center" vertical="top" wrapText="1"/>
    </xf>
    <xf numFmtId="9" fontId="11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right" vertical="top"/>
    </xf>
    <xf numFmtId="0" fontId="11" fillId="0" borderId="56" xfId="0" applyFont="1" applyFill="1" applyBorder="1" applyAlignment="1">
      <alignment horizontal="left" vertical="center" wrapText="1"/>
    </xf>
    <xf numFmtId="0" fontId="11" fillId="0" borderId="57" xfId="0" applyFont="1" applyFill="1" applyBorder="1" applyAlignment="1">
      <alignment horizontal="left" vertical="center" wrapText="1"/>
    </xf>
    <xf numFmtId="0" fontId="11" fillId="0" borderId="59" xfId="0" applyFont="1" applyFill="1" applyBorder="1" applyAlignment="1">
      <alignment horizontal="left" vertical="center" wrapText="1"/>
    </xf>
    <xf numFmtId="0" fontId="29" fillId="9" borderId="58" xfId="0" applyFont="1" applyFill="1" applyBorder="1" applyAlignment="1">
      <alignment horizontal="center" vertical="center"/>
    </xf>
    <xf numFmtId="0" fontId="29" fillId="9" borderId="18" xfId="0" applyFont="1" applyFill="1" applyBorder="1" applyAlignment="1">
      <alignment horizontal="center" vertical="center"/>
    </xf>
    <xf numFmtId="0" fontId="29" fillId="9" borderId="19" xfId="0" applyFont="1" applyFill="1" applyBorder="1" applyAlignment="1">
      <alignment horizontal="center" vertical="center"/>
    </xf>
    <xf numFmtId="0" fontId="29" fillId="9" borderId="20" xfId="0" applyFont="1" applyFill="1" applyBorder="1" applyAlignment="1">
      <alignment horizontal="center" vertical="center"/>
    </xf>
    <xf numFmtId="0" fontId="27" fillId="0" borderId="60" xfId="0" applyFont="1" applyFill="1" applyBorder="1"/>
    <xf numFmtId="3" fontId="27" fillId="0" borderId="61" xfId="1" applyNumberFormat="1" applyFont="1" applyFill="1" applyBorder="1"/>
    <xf numFmtId="167" fontId="27" fillId="0" borderId="5" xfId="1" applyNumberFormat="1" applyFont="1" applyFill="1" applyBorder="1"/>
    <xf numFmtId="167" fontId="27" fillId="0" borderId="46" xfId="1" applyNumberFormat="1" applyFont="1" applyFill="1" applyBorder="1"/>
    <xf numFmtId="0" fontId="27" fillId="0" borderId="54" xfId="0" applyFont="1" applyFill="1" applyBorder="1"/>
    <xf numFmtId="3" fontId="27" fillId="0" borderId="23" xfId="1" applyNumberFormat="1" applyFont="1" applyFill="1" applyBorder="1"/>
    <xf numFmtId="0" fontId="30" fillId="8" borderId="54" xfId="0" applyFont="1" applyFill="1" applyBorder="1"/>
    <xf numFmtId="3" fontId="30" fillId="8" borderId="23" xfId="1" applyNumberFormat="1" applyFont="1" applyFill="1" applyBorder="1"/>
    <xf numFmtId="0" fontId="25" fillId="0" borderId="54" xfId="0" applyFont="1" applyFill="1" applyBorder="1"/>
    <xf numFmtId="0" fontId="25" fillId="0" borderId="54" xfId="0" applyFont="1" applyFill="1" applyBorder="1" applyAlignment="1">
      <alignment horizontal="left" indent="2"/>
    </xf>
    <xf numFmtId="167" fontId="27" fillId="0" borderId="23" xfId="1" applyNumberFormat="1" applyFont="1" applyFill="1" applyBorder="1"/>
    <xf numFmtId="0" fontId="31" fillId="8" borderId="23" xfId="0" applyFont="1" applyFill="1" applyBorder="1"/>
    <xf numFmtId="0" fontId="31" fillId="8" borderId="1" xfId="0" applyFont="1" applyFill="1" applyBorder="1"/>
    <xf numFmtId="0" fontId="31" fillId="8" borderId="54" xfId="0" applyFont="1" applyFill="1" applyBorder="1"/>
    <xf numFmtId="167" fontId="31" fillId="8" borderId="62" xfId="0" applyNumberFormat="1" applyFont="1" applyFill="1" applyBorder="1"/>
    <xf numFmtId="167" fontId="31" fillId="8" borderId="1" xfId="0" applyNumberFormat="1" applyFont="1" applyFill="1" applyBorder="1"/>
    <xf numFmtId="167" fontId="30" fillId="8" borderId="3" xfId="0" applyNumberFormat="1" applyFont="1" applyFill="1" applyBorder="1"/>
    <xf numFmtId="0" fontId="26" fillId="0" borderId="54" xfId="0" applyFont="1" applyFill="1" applyBorder="1"/>
    <xf numFmtId="167" fontId="27" fillId="0" borderId="3" xfId="0" applyNumberFormat="1" applyFont="1" applyFill="1" applyBorder="1"/>
    <xf numFmtId="167" fontId="27" fillId="0" borderId="23" xfId="1" applyNumberFormat="1" applyFont="1" applyFill="1" applyBorder="1" applyAlignment="1">
      <alignment vertical="top"/>
    </xf>
    <xf numFmtId="167" fontId="27" fillId="0" borderId="1" xfId="1" applyNumberFormat="1" applyFont="1" applyFill="1" applyBorder="1" applyAlignment="1">
      <alignment vertical="top"/>
    </xf>
    <xf numFmtId="0" fontId="30" fillId="8" borderId="54" xfId="0" applyFont="1" applyFill="1" applyBorder="1" applyAlignment="1">
      <alignment wrapText="1"/>
    </xf>
    <xf numFmtId="3" fontId="30" fillId="8" borderId="23" xfId="1" applyNumberFormat="1" applyFont="1" applyFill="1" applyBorder="1" applyAlignment="1">
      <alignment vertical="top"/>
    </xf>
    <xf numFmtId="3" fontId="30" fillId="8" borderId="1" xfId="1" applyNumberFormat="1" applyFont="1" applyFill="1" applyBorder="1" applyAlignment="1">
      <alignment vertical="top"/>
    </xf>
    <xf numFmtId="3" fontId="30" fillId="8" borderId="3" xfId="1" applyNumberFormat="1" applyFont="1" applyFill="1" applyBorder="1" applyAlignment="1">
      <alignment vertical="top"/>
    </xf>
    <xf numFmtId="0" fontId="25" fillId="0" borderId="54" xfId="0" applyFont="1" applyFill="1" applyBorder="1" applyAlignment="1">
      <alignment horizontal="left" wrapText="1" indent="1"/>
    </xf>
    <xf numFmtId="0" fontId="25" fillId="0" borderId="54" xfId="0" applyFont="1" applyFill="1" applyBorder="1" applyAlignment="1">
      <alignment horizontal="left" indent="1"/>
    </xf>
    <xf numFmtId="167" fontId="36" fillId="8" borderId="23" xfId="1" applyNumberFormat="1" applyFont="1" applyFill="1" applyBorder="1" applyAlignment="1">
      <alignment horizontal="right" vertical="top" wrapText="1"/>
    </xf>
    <xf numFmtId="167" fontId="30" fillId="8" borderId="23" xfId="1" applyNumberFormat="1" applyFont="1" applyFill="1" applyBorder="1"/>
    <xf numFmtId="167" fontId="30" fillId="8" borderId="1" xfId="1" applyNumberFormat="1" applyFont="1" applyFill="1" applyBorder="1" applyAlignment="1">
      <alignment vertical="top"/>
    </xf>
    <xf numFmtId="167" fontId="30" fillId="8" borderId="3" xfId="1" applyNumberFormat="1" applyFont="1" applyFill="1" applyBorder="1" applyAlignment="1">
      <alignment vertical="top"/>
    </xf>
    <xf numFmtId="0" fontId="25" fillId="8" borderId="54" xfId="0" applyFont="1" applyFill="1" applyBorder="1" applyAlignment="1">
      <alignment horizontal="left" indent="2"/>
    </xf>
    <xf numFmtId="3" fontId="27" fillId="8" borderId="23" xfId="1" applyNumberFormat="1" applyFont="1" applyFill="1" applyBorder="1"/>
    <xf numFmtId="167" fontId="27" fillId="8" borderId="1" xfId="1" applyNumberFormat="1" applyFont="1" applyFill="1" applyBorder="1"/>
    <xf numFmtId="167" fontId="27" fillId="8" borderId="3" xfId="1" applyNumberFormat="1" applyFont="1" applyFill="1" applyBorder="1"/>
    <xf numFmtId="167" fontId="27" fillId="8" borderId="23" xfId="1" applyNumberFormat="1" applyFont="1" applyFill="1" applyBorder="1"/>
    <xf numFmtId="0" fontId="31" fillId="8" borderId="54" xfId="0" applyFont="1" applyFill="1" applyBorder="1" applyAlignment="1">
      <alignment horizontal="justify" wrapText="1"/>
    </xf>
    <xf numFmtId="0" fontId="31" fillId="8" borderId="23" xfId="0" applyFont="1" applyFill="1" applyBorder="1" applyAlignment="1">
      <alignment horizontal="justify" wrapText="1"/>
    </xf>
    <xf numFmtId="0" fontId="31" fillId="8" borderId="1" xfId="0" applyFont="1" applyFill="1" applyBorder="1" applyAlignment="1">
      <alignment horizontal="right" wrapText="1"/>
    </xf>
    <xf numFmtId="0" fontId="31" fillId="8" borderId="54" xfId="0" applyFont="1" applyFill="1" applyBorder="1" applyAlignment="1">
      <alignment wrapText="1"/>
    </xf>
    <xf numFmtId="167" fontId="30" fillId="8" borderId="23" xfId="1" applyNumberFormat="1" applyFont="1" applyFill="1" applyBorder="1" applyAlignment="1">
      <alignment vertical="top"/>
    </xf>
    <xf numFmtId="167" fontId="30" fillId="8" borderId="3" xfId="0" applyNumberFormat="1" applyFont="1" applyFill="1" applyBorder="1" applyAlignment="1">
      <alignment vertical="top"/>
    </xf>
    <xf numFmtId="0" fontId="31" fillId="8" borderId="63" xfId="0" applyFont="1" applyFill="1" applyBorder="1"/>
    <xf numFmtId="167" fontId="30" fillId="8" borderId="31" xfId="1" applyNumberFormat="1" applyFont="1" applyFill="1" applyBorder="1"/>
    <xf numFmtId="167" fontId="30" fillId="8" borderId="2" xfId="1" applyNumberFormat="1" applyFont="1" applyFill="1" applyBorder="1"/>
    <xf numFmtId="167" fontId="30" fillId="8" borderId="8" xfId="1" applyNumberFormat="1" applyFont="1" applyFill="1" applyBorder="1"/>
    <xf numFmtId="165" fontId="30" fillId="8" borderId="23" xfId="1" applyNumberFormat="1" applyFont="1" applyFill="1" applyBorder="1"/>
    <xf numFmtId="165" fontId="30" fillId="8" borderId="1" xfId="1" applyNumberFormat="1" applyFont="1" applyFill="1" applyBorder="1"/>
    <xf numFmtId="0" fontId="29" fillId="13" borderId="58" xfId="0" applyFont="1" applyFill="1" applyBorder="1" applyAlignment="1">
      <alignment horizontal="center" vertical="center"/>
    </xf>
    <xf numFmtId="167" fontId="29" fillId="13" borderId="47" xfId="1" applyNumberFormat="1" applyFont="1" applyFill="1" applyBorder="1" applyAlignment="1">
      <alignment horizontal="right" vertical="center"/>
    </xf>
    <xf numFmtId="167" fontId="29" fillId="13" borderId="48" xfId="1" applyNumberFormat="1" applyFont="1" applyFill="1" applyBorder="1" applyAlignment="1">
      <alignment horizontal="right" vertical="center"/>
    </xf>
    <xf numFmtId="0" fontId="26" fillId="0" borderId="0" xfId="0" applyFont="1"/>
    <xf numFmtId="167" fontId="0" fillId="0" borderId="0" xfId="0" applyNumberFormat="1"/>
    <xf numFmtId="0" fontId="5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right" vertical="top" wrapText="1"/>
    </xf>
    <xf numFmtId="3" fontId="5" fillId="0" borderId="6" xfId="1" applyNumberFormat="1" applyFont="1" applyFill="1" applyBorder="1" applyAlignment="1">
      <alignment horizontal="right" vertical="top" wrapText="1"/>
    </xf>
    <xf numFmtId="3" fontId="5" fillId="0" borderId="6" xfId="0" applyNumberFormat="1" applyFont="1" applyFill="1" applyBorder="1" applyAlignment="1">
      <alignment horizontal="right" vertical="top" wrapText="1"/>
    </xf>
    <xf numFmtId="165" fontId="11" fillId="0" borderId="6" xfId="1" applyNumberFormat="1" applyFont="1" applyFill="1" applyBorder="1" applyAlignment="1">
      <alignment horizontal="right" vertical="top"/>
    </xf>
    <xf numFmtId="165" fontId="6" fillId="0" borderId="6" xfId="1" applyNumberFormat="1" applyFont="1" applyFill="1" applyBorder="1" applyAlignment="1">
      <alignment horizontal="right" vertical="top" wrapText="1"/>
    </xf>
    <xf numFmtId="3" fontId="5" fillId="0" borderId="2" xfId="1" applyNumberFormat="1" applyFont="1" applyFill="1" applyBorder="1" applyAlignment="1">
      <alignment horizontal="right" vertical="top" wrapText="1"/>
    </xf>
    <xf numFmtId="165" fontId="11" fillId="0" borderId="2" xfId="1" applyNumberFormat="1" applyFont="1" applyFill="1" applyBorder="1" applyAlignment="1">
      <alignment horizontal="right" vertical="top"/>
    </xf>
    <xf numFmtId="165" fontId="6" fillId="0" borderId="2" xfId="1" applyNumberFormat="1" applyFont="1" applyFill="1" applyBorder="1" applyAlignment="1">
      <alignment horizontal="right" vertical="top" wrapText="1"/>
    </xf>
    <xf numFmtId="165" fontId="5" fillId="0" borderId="8" xfId="1" applyNumberFormat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vertical="top" wrapText="1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38" fillId="0" borderId="1" xfId="0" applyFont="1" applyBorder="1" applyAlignment="1">
      <alignment horizontal="left" vertical="top" wrapText="1"/>
    </xf>
    <xf numFmtId="166" fontId="38" fillId="0" borderId="1" xfId="3" applyNumberFormat="1" applyFont="1" applyBorder="1" applyAlignment="1">
      <alignment horizontal="center" vertical="center" wrapText="1"/>
    </xf>
    <xf numFmtId="2" fontId="0" fillId="0" borderId="0" xfId="0" applyNumberFormat="1"/>
    <xf numFmtId="0" fontId="38" fillId="0" borderId="1" xfId="0" applyFont="1" applyBorder="1" applyAlignment="1">
      <alignment horizontal="center" vertical="center" wrapText="1"/>
    </xf>
    <xf numFmtId="0" fontId="38" fillId="0" borderId="7" xfId="0" applyFont="1" applyBorder="1" applyAlignment="1">
      <alignment horizontal="left" vertical="center" wrapText="1"/>
    </xf>
    <xf numFmtId="9" fontId="38" fillId="0" borderId="1" xfId="0" applyNumberFormat="1" applyFont="1" applyBorder="1" applyAlignment="1">
      <alignment horizontal="center" vertical="center" wrapText="1"/>
    </xf>
    <xf numFmtId="9" fontId="38" fillId="6" borderId="1" xfId="0" applyNumberFormat="1" applyFont="1" applyFill="1" applyBorder="1" applyAlignment="1">
      <alignment horizontal="center" vertical="center" wrapText="1"/>
    </xf>
    <xf numFmtId="9" fontId="14" fillId="0" borderId="0" xfId="0" applyNumberFormat="1" applyFont="1" applyAlignment="1">
      <alignment horizontal="center" vertical="center"/>
    </xf>
    <xf numFmtId="9" fontId="14" fillId="0" borderId="0" xfId="3" applyFont="1" applyAlignment="1">
      <alignment horizontal="center" vertical="center"/>
    </xf>
    <xf numFmtId="3" fontId="38" fillId="0" borderId="1" xfId="0" applyNumberFormat="1" applyFont="1" applyBorder="1" applyAlignment="1">
      <alignment horizontal="center" vertical="center" wrapText="1"/>
    </xf>
    <xf numFmtId="3" fontId="38" fillId="0" borderId="7" xfId="0" applyNumberFormat="1" applyFont="1" applyBorder="1" applyAlignment="1">
      <alignment vertical="top" wrapText="1"/>
    </xf>
    <xf numFmtId="9" fontId="38" fillId="0" borderId="1" xfId="3" applyFont="1" applyBorder="1" applyAlignment="1">
      <alignment horizontal="center" vertical="center" wrapText="1"/>
    </xf>
    <xf numFmtId="3" fontId="38" fillId="0" borderId="1" xfId="0" applyNumberFormat="1" applyFont="1" applyBorder="1" applyAlignment="1">
      <alignment horizontal="left" vertical="top" wrapText="1"/>
    </xf>
    <xf numFmtId="166" fontId="14" fillId="0" borderId="0" xfId="3" applyNumberFormat="1" applyFont="1" applyAlignment="1">
      <alignment horizontal="center" vertical="center"/>
    </xf>
    <xf numFmtId="0" fontId="37" fillId="14" borderId="1" xfId="0" applyFont="1" applyFill="1" applyBorder="1" applyAlignment="1">
      <alignment horizontal="center" vertical="center" wrapText="1"/>
    </xf>
    <xf numFmtId="9" fontId="37" fillId="1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5" fillId="0" borderId="6" xfId="1" applyFont="1" applyFill="1" applyBorder="1" applyAlignment="1">
      <alignment horizontal="center" vertical="top" wrapText="1"/>
    </xf>
    <xf numFmtId="0" fontId="5" fillId="0" borderId="41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165" fontId="6" fillId="0" borderId="1" xfId="1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top" wrapText="1"/>
    </xf>
    <xf numFmtId="164" fontId="5" fillId="0" borderId="1" xfId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9" fontId="5" fillId="0" borderId="1" xfId="0" applyNumberFormat="1" applyFont="1" applyFill="1" applyBorder="1" applyAlignment="1">
      <alignment horizontal="center" vertical="top" wrapText="1"/>
    </xf>
    <xf numFmtId="166" fontId="5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9" fontId="5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/>
    </xf>
    <xf numFmtId="9" fontId="5" fillId="0" borderId="2" xfId="0" applyNumberFormat="1" applyFont="1" applyFill="1" applyBorder="1" applyAlignment="1">
      <alignment horizontal="center" vertical="top"/>
    </xf>
    <xf numFmtId="9" fontId="5" fillId="0" borderId="5" xfId="0" applyNumberFormat="1" applyFont="1" applyFill="1" applyBorder="1" applyAlignment="1">
      <alignment horizontal="center" vertical="top"/>
    </xf>
    <xf numFmtId="165" fontId="5" fillId="0" borderId="1" xfId="1" applyNumberFormat="1" applyFont="1" applyFill="1" applyBorder="1" applyAlignment="1">
      <alignment horizontal="center" vertical="top" wrapText="1"/>
    </xf>
    <xf numFmtId="164" fontId="5" fillId="0" borderId="4" xfId="1" applyFont="1" applyFill="1" applyBorder="1" applyAlignment="1">
      <alignment horizontal="center" vertical="top" wrapText="1"/>
    </xf>
    <xf numFmtId="164" fontId="5" fillId="0" borderId="10" xfId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9" fillId="2" borderId="2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164" fontId="5" fillId="0" borderId="41" xfId="1" applyFont="1" applyFill="1" applyBorder="1" applyAlignment="1">
      <alignment horizontal="center" vertical="top" wrapText="1"/>
    </xf>
    <xf numFmtId="164" fontId="5" fillId="0" borderId="12" xfId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left" vertical="top"/>
    </xf>
    <xf numFmtId="0" fontId="9" fillId="2" borderId="14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165" fontId="4" fillId="3" borderId="29" xfId="1" applyNumberFormat="1" applyFont="1" applyFill="1" applyBorder="1" applyAlignment="1">
      <alignment horizontal="center" vertical="center" wrapText="1"/>
    </xf>
    <xf numFmtId="165" fontId="9" fillId="3" borderId="29" xfId="1" applyNumberFormat="1" applyFont="1" applyFill="1" applyBorder="1" applyAlignment="1">
      <alignment horizontal="center" vertical="center" wrapText="1"/>
    </xf>
    <xf numFmtId="165" fontId="9" fillId="3" borderId="25" xfId="1" applyNumberFormat="1" applyFont="1" applyFill="1" applyBorder="1" applyAlignment="1">
      <alignment horizontal="center" vertical="center" wrapText="1"/>
    </xf>
    <xf numFmtId="165" fontId="9" fillId="3" borderId="1" xfId="1" applyNumberFormat="1" applyFont="1" applyFill="1" applyBorder="1" applyAlignment="1">
      <alignment horizontal="center" vertical="center" wrapText="1"/>
    </xf>
    <xf numFmtId="165" fontId="9" fillId="3" borderId="7" xfId="1" applyNumberFormat="1" applyFont="1" applyFill="1" applyBorder="1" applyAlignment="1">
      <alignment horizontal="center" vertical="center" wrapText="1"/>
    </xf>
    <xf numFmtId="165" fontId="9" fillId="3" borderId="3" xfId="1" applyNumberFormat="1" applyFont="1" applyFill="1" applyBorder="1" applyAlignment="1">
      <alignment horizontal="center" vertical="center" wrapText="1"/>
    </xf>
    <xf numFmtId="0" fontId="9" fillId="3" borderId="24" xfId="1" applyNumberFormat="1" applyFont="1" applyFill="1" applyBorder="1" applyAlignment="1">
      <alignment horizontal="center" vertical="center" wrapText="1"/>
    </xf>
    <xf numFmtId="0" fontId="9" fillId="3" borderId="17" xfId="1" applyNumberFormat="1" applyFont="1" applyFill="1" applyBorder="1" applyAlignment="1">
      <alignment horizontal="center" vertical="center" wrapText="1"/>
    </xf>
    <xf numFmtId="0" fontId="9" fillId="3" borderId="7" xfId="1" applyNumberFormat="1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center" vertical="center" wrapText="1"/>
    </xf>
    <xf numFmtId="0" fontId="9" fillId="2" borderId="24" xfId="0" applyNumberFormat="1" applyFont="1" applyFill="1" applyBorder="1" applyAlignment="1">
      <alignment horizontal="center" vertical="center" wrapText="1"/>
    </xf>
    <xf numFmtId="0" fontId="9" fillId="2" borderId="33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top" wrapText="1"/>
    </xf>
    <xf numFmtId="0" fontId="9" fillId="2" borderId="19" xfId="0" applyFont="1" applyFill="1" applyBorder="1" applyAlignment="1">
      <alignment horizontal="center" vertical="top" wrapText="1"/>
    </xf>
    <xf numFmtId="0" fontId="9" fillId="2" borderId="20" xfId="0" applyFont="1" applyFill="1" applyBorder="1" applyAlignment="1">
      <alignment horizontal="center" vertical="top" wrapText="1"/>
    </xf>
    <xf numFmtId="0" fontId="9" fillId="0" borderId="26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164" fontId="5" fillId="0" borderId="2" xfId="1" applyFont="1" applyFill="1" applyBorder="1" applyAlignment="1">
      <alignment horizontal="center" vertical="top" wrapText="1"/>
    </xf>
    <xf numFmtId="0" fontId="9" fillId="0" borderId="34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64" fontId="5" fillId="0" borderId="5" xfId="1" applyFont="1" applyFill="1" applyBorder="1" applyAlignment="1">
      <alignment horizontal="center" vertical="top" wrapText="1"/>
    </xf>
    <xf numFmtId="0" fontId="4" fillId="2" borderId="35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164" fontId="6" fillId="0" borderId="1" xfId="1" applyFont="1" applyFill="1" applyBorder="1" applyAlignment="1">
      <alignment horizontal="center" vertical="top" wrapText="1"/>
    </xf>
    <xf numFmtId="164" fontId="6" fillId="0" borderId="10" xfId="1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left" vertical="top" wrapText="1"/>
    </xf>
    <xf numFmtId="0" fontId="4" fillId="0" borderId="43" xfId="0" applyFont="1" applyFill="1" applyBorder="1" applyAlignment="1">
      <alignment horizontal="left" vertical="top" wrapText="1"/>
    </xf>
    <xf numFmtId="0" fontId="4" fillId="0" borderId="35" xfId="0" applyFont="1" applyFill="1" applyBorder="1" applyAlignment="1">
      <alignment horizontal="left" vertical="top" wrapText="1"/>
    </xf>
    <xf numFmtId="166" fontId="5" fillId="0" borderId="1" xfId="0" applyNumberFormat="1" applyFont="1" applyFill="1" applyBorder="1" applyAlignment="1">
      <alignment horizontal="center" vertical="top"/>
    </xf>
    <xf numFmtId="10" fontId="5" fillId="0" borderId="1" xfId="0" applyNumberFormat="1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9" fontId="6" fillId="0" borderId="1" xfId="0" applyNumberFormat="1" applyFont="1" applyFill="1" applyBorder="1" applyAlignment="1">
      <alignment horizontal="center" vertical="top"/>
    </xf>
    <xf numFmtId="165" fontId="5" fillId="0" borderId="17" xfId="1" applyNumberFormat="1" applyFont="1" applyFill="1" applyBorder="1" applyAlignment="1">
      <alignment horizontal="center" vertical="top" wrapText="1"/>
    </xf>
    <xf numFmtId="165" fontId="4" fillId="0" borderId="3" xfId="1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left" vertical="top" wrapText="1"/>
    </xf>
    <xf numFmtId="3" fontId="5" fillId="2" borderId="26" xfId="0" applyNumberFormat="1" applyFont="1" applyFill="1" applyBorder="1" applyAlignment="1">
      <alignment horizontal="center" vertical="top" wrapText="1"/>
    </xf>
    <xf numFmtId="3" fontId="5" fillId="2" borderId="15" xfId="0" applyNumberFormat="1" applyFont="1" applyFill="1" applyBorder="1" applyAlignment="1">
      <alignment horizontal="center" vertical="top" wrapText="1"/>
    </xf>
    <xf numFmtId="3" fontId="5" fillId="2" borderId="4" xfId="0" applyNumberFormat="1" applyFont="1" applyFill="1" applyBorder="1" applyAlignment="1">
      <alignment horizontal="center" vertical="top" wrapText="1"/>
    </xf>
    <xf numFmtId="3" fontId="5" fillId="2" borderId="16" xfId="0" applyNumberFormat="1" applyFont="1" applyFill="1" applyBorder="1" applyAlignment="1">
      <alignment horizontal="center" vertical="top" wrapText="1"/>
    </xf>
    <xf numFmtId="3" fontId="4" fillId="3" borderId="29" xfId="0" applyNumberFormat="1" applyFont="1" applyFill="1" applyBorder="1" applyAlignment="1">
      <alignment horizontal="center" vertical="top" wrapText="1"/>
    </xf>
    <xf numFmtId="3" fontId="4" fillId="3" borderId="25" xfId="0" applyNumberFormat="1" applyFont="1" applyFill="1" applyBorder="1" applyAlignment="1">
      <alignment horizontal="center" vertical="top" wrapText="1"/>
    </xf>
    <xf numFmtId="3" fontId="4" fillId="2" borderId="9" xfId="0" applyNumberFormat="1" applyFont="1" applyFill="1" applyBorder="1" applyAlignment="1">
      <alignment horizontal="center" vertical="top" wrapText="1"/>
    </xf>
    <xf numFmtId="3" fontId="4" fillId="2" borderId="14" xfId="0" applyNumberFormat="1" applyFont="1" applyFill="1" applyBorder="1" applyAlignment="1">
      <alignment horizontal="center" vertical="top" wrapText="1"/>
    </xf>
    <xf numFmtId="3" fontId="4" fillId="2" borderId="30" xfId="0" applyNumberFormat="1" applyFont="1" applyFill="1" applyBorder="1" applyAlignment="1">
      <alignment horizontal="center" vertical="top" wrapText="1"/>
    </xf>
    <xf numFmtId="3" fontId="4" fillId="2" borderId="22" xfId="0" applyNumberFormat="1" applyFont="1" applyFill="1" applyBorder="1" applyAlignment="1">
      <alignment horizontal="center" vertical="top" wrapText="1"/>
    </xf>
    <xf numFmtId="3" fontId="4" fillId="2" borderId="23" xfId="0" applyNumberFormat="1" applyFont="1" applyFill="1" applyBorder="1" applyAlignment="1">
      <alignment horizontal="center" vertical="top" wrapText="1"/>
    </xf>
    <xf numFmtId="3" fontId="4" fillId="2" borderId="31" xfId="0" applyNumberFormat="1" applyFont="1" applyFill="1" applyBorder="1" applyAlignment="1">
      <alignment horizontal="center" vertical="top" wrapText="1"/>
    </xf>
    <xf numFmtId="3" fontId="4" fillId="2" borderId="32" xfId="0" applyNumberFormat="1" applyFont="1" applyFill="1" applyBorder="1" applyAlignment="1">
      <alignment horizontal="center" vertical="top" wrapText="1"/>
    </xf>
    <xf numFmtId="3" fontId="4" fillId="3" borderId="1" xfId="0" applyNumberFormat="1" applyFont="1" applyFill="1" applyBorder="1" applyAlignment="1">
      <alignment horizontal="center" vertical="top" wrapText="1"/>
    </xf>
    <xf numFmtId="3" fontId="4" fillId="3" borderId="7" xfId="0" applyNumberFormat="1" applyFont="1" applyFill="1" applyBorder="1" applyAlignment="1">
      <alignment horizontal="center" vertical="top" wrapText="1"/>
    </xf>
    <xf numFmtId="3" fontId="4" fillId="3" borderId="3" xfId="0" applyNumberFormat="1" applyFont="1" applyFill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center" vertical="top" wrapText="1"/>
    </xf>
    <xf numFmtId="3" fontId="4" fillId="2" borderId="2" xfId="0" applyNumberFormat="1" applyFont="1" applyFill="1" applyBorder="1" applyAlignment="1">
      <alignment horizontal="center" vertical="top" wrapText="1"/>
    </xf>
    <xf numFmtId="3" fontId="4" fillId="2" borderId="3" xfId="0" applyNumberFormat="1" applyFont="1" applyFill="1" applyBorder="1" applyAlignment="1">
      <alignment horizontal="center" vertical="top" wrapText="1"/>
    </xf>
    <xf numFmtId="3" fontId="4" fillId="3" borderId="17" xfId="0" applyNumberFormat="1" applyFont="1" applyFill="1" applyBorder="1" applyAlignment="1">
      <alignment horizontal="center" vertical="top" wrapText="1"/>
    </xf>
    <xf numFmtId="3" fontId="5" fillId="0" borderId="2" xfId="0" applyNumberFormat="1" applyFont="1" applyFill="1" applyBorder="1" applyAlignment="1">
      <alignment horizontal="center" vertical="top" wrapText="1"/>
    </xf>
    <xf numFmtId="3" fontId="5" fillId="0" borderId="6" xfId="0" applyNumberFormat="1" applyFont="1" applyFill="1" applyBorder="1" applyAlignment="1">
      <alignment horizontal="center" vertical="top" wrapText="1"/>
    </xf>
    <xf numFmtId="3" fontId="5" fillId="0" borderId="12" xfId="0" applyNumberFormat="1" applyFont="1" applyFill="1" applyBorder="1" applyAlignment="1">
      <alignment horizontal="center" vertical="top" wrapText="1"/>
    </xf>
    <xf numFmtId="3" fontId="4" fillId="0" borderId="4" xfId="0" applyNumberFormat="1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left" vertical="top" wrapText="1"/>
    </xf>
    <xf numFmtId="3" fontId="5" fillId="0" borderId="10" xfId="0" applyNumberFormat="1" applyFont="1" applyFill="1" applyBorder="1" applyAlignment="1">
      <alignment horizontal="left" vertical="top" wrapText="1"/>
    </xf>
    <xf numFmtId="3" fontId="5" fillId="0" borderId="4" xfId="0" applyNumberFormat="1" applyFont="1" applyFill="1" applyBorder="1" applyAlignment="1">
      <alignment horizontal="center" vertical="top" wrapText="1"/>
    </xf>
    <xf numFmtId="3" fontId="5" fillId="0" borderId="2" xfId="0" applyNumberFormat="1" applyFont="1" applyFill="1" applyBorder="1" applyAlignment="1">
      <alignment horizontal="left" vertical="top" wrapText="1"/>
    </xf>
    <xf numFmtId="3" fontId="5" fillId="0" borderId="5" xfId="0" applyNumberFormat="1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3" fontId="5" fillId="0" borderId="4" xfId="0" applyNumberFormat="1" applyFont="1" applyFill="1" applyBorder="1" applyAlignment="1">
      <alignment horizontal="left" vertical="top" wrapText="1"/>
    </xf>
    <xf numFmtId="3" fontId="5" fillId="0" borderId="4" xfId="0" applyNumberFormat="1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vertical="top" wrapText="1"/>
    </xf>
    <xf numFmtId="3" fontId="5" fillId="0" borderId="5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left" vertical="top" wrapText="1"/>
    </xf>
    <xf numFmtId="3" fontId="4" fillId="0" borderId="42" xfId="0" applyNumberFormat="1" applyFont="1" applyFill="1" applyBorder="1" applyAlignment="1">
      <alignment horizontal="left" vertical="top" wrapText="1"/>
    </xf>
    <xf numFmtId="3" fontId="4" fillId="0" borderId="43" xfId="0" applyNumberFormat="1" applyFont="1" applyFill="1" applyBorder="1" applyAlignment="1">
      <alignment horizontal="left" vertical="top" wrapText="1"/>
    </xf>
    <xf numFmtId="3" fontId="4" fillId="0" borderId="41" xfId="0" applyNumberFormat="1" applyFont="1" applyFill="1" applyBorder="1" applyAlignment="1">
      <alignment horizontal="center" vertical="top" wrapText="1"/>
    </xf>
    <xf numFmtId="3" fontId="4" fillId="0" borderId="6" xfId="0" applyNumberFormat="1" applyFont="1" applyFill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horizontal="center" vertical="top" wrapText="1"/>
    </xf>
    <xf numFmtId="3" fontId="4" fillId="0" borderId="41" xfId="0" applyNumberFormat="1" applyFont="1" applyFill="1" applyBorder="1" applyAlignment="1">
      <alignment horizontal="left" vertical="top" wrapText="1"/>
    </xf>
    <xf numFmtId="3" fontId="4" fillId="0" borderId="6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3" fontId="5" fillId="0" borderId="41" xfId="0" applyNumberFormat="1" applyFont="1" applyFill="1" applyBorder="1" applyAlignment="1">
      <alignment horizontal="center" vertical="top" wrapText="1"/>
    </xf>
    <xf numFmtId="3" fontId="5" fillId="0" borderId="6" xfId="0" applyNumberFormat="1" applyFont="1" applyFill="1" applyBorder="1" applyAlignment="1">
      <alignment horizontal="left" vertical="top" wrapText="1"/>
    </xf>
    <xf numFmtId="3" fontId="5" fillId="0" borderId="12" xfId="0" applyNumberFormat="1" applyFont="1" applyFill="1" applyBorder="1" applyAlignment="1">
      <alignment horizontal="left" vertical="top" wrapText="1"/>
    </xf>
    <xf numFmtId="3" fontId="5" fillId="0" borderId="41" xfId="0" applyNumberFormat="1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 vertical="top"/>
    </xf>
    <xf numFmtId="2" fontId="11" fillId="0" borderId="2" xfId="0" applyNumberFormat="1" applyFont="1" applyFill="1" applyBorder="1" applyAlignment="1">
      <alignment horizontal="left" vertical="top" wrapText="1"/>
    </xf>
    <xf numFmtId="2" fontId="11" fillId="0" borderId="6" xfId="0" applyNumberFormat="1" applyFont="1" applyFill="1" applyBorder="1" applyAlignment="1">
      <alignment horizontal="left" vertical="top" wrapText="1"/>
    </xf>
    <xf numFmtId="3" fontId="4" fillId="0" borderId="2" xfId="0" applyNumberFormat="1" applyFont="1" applyFill="1" applyBorder="1" applyAlignment="1">
      <alignment horizontal="left" vertical="top" wrapText="1"/>
    </xf>
    <xf numFmtId="3" fontId="4" fillId="0" borderId="23" xfId="0" applyNumberFormat="1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left" vertical="top" wrapText="1"/>
    </xf>
    <xf numFmtId="3" fontId="4" fillId="0" borderId="3" xfId="0" applyNumberFormat="1" applyFont="1" applyBorder="1" applyAlignment="1">
      <alignment horizontal="left" vertical="top" wrapText="1"/>
    </xf>
    <xf numFmtId="3" fontId="4" fillId="0" borderId="39" xfId="0" applyNumberFormat="1" applyFont="1" applyBorder="1" applyAlignment="1">
      <alignment horizontal="left" vertical="top" wrapText="1"/>
    </xf>
    <xf numFmtId="3" fontId="4" fillId="0" borderId="36" xfId="0" applyNumberFormat="1" applyFont="1" applyBorder="1" applyAlignment="1">
      <alignment horizontal="left" vertical="top" wrapText="1"/>
    </xf>
    <xf numFmtId="3" fontId="4" fillId="0" borderId="40" xfId="0" applyNumberFormat="1" applyFont="1" applyBorder="1" applyAlignment="1">
      <alignment horizontal="left" vertical="top" wrapText="1"/>
    </xf>
    <xf numFmtId="3" fontId="4" fillId="2" borderId="18" xfId="0" applyNumberFormat="1" applyFont="1" applyFill="1" applyBorder="1" applyAlignment="1">
      <alignment horizontal="center" vertical="top" wrapText="1"/>
    </xf>
    <xf numFmtId="3" fontId="4" fillId="2" borderId="19" xfId="0" applyNumberFormat="1" applyFont="1" applyFill="1" applyBorder="1" applyAlignment="1">
      <alignment horizontal="center" vertical="top" wrapText="1"/>
    </xf>
    <xf numFmtId="3" fontId="4" fillId="2" borderId="20" xfId="0" applyNumberFormat="1" applyFont="1" applyFill="1" applyBorder="1" applyAlignment="1">
      <alignment horizontal="center" vertical="top" wrapText="1"/>
    </xf>
    <xf numFmtId="3" fontId="4" fillId="2" borderId="35" xfId="0" applyNumberFormat="1" applyFont="1" applyFill="1" applyBorder="1" applyAlignment="1">
      <alignment horizontal="center" vertical="top" wrapText="1"/>
    </xf>
    <xf numFmtId="3" fontId="4" fillId="2" borderId="12" xfId="0" applyNumberFormat="1" applyFont="1" applyFill="1" applyBorder="1" applyAlignment="1">
      <alignment horizontal="center" vertical="top" wrapText="1"/>
    </xf>
    <xf numFmtId="3" fontId="4" fillId="2" borderId="21" xfId="0" applyNumberFormat="1" applyFont="1" applyFill="1" applyBorder="1" applyAlignment="1">
      <alignment horizontal="center" vertical="top" wrapText="1"/>
    </xf>
    <xf numFmtId="3" fontId="4" fillId="2" borderId="38" xfId="0" applyNumberFormat="1" applyFont="1" applyFill="1" applyBorder="1" applyAlignment="1">
      <alignment horizontal="center" vertical="top" wrapText="1"/>
    </xf>
    <xf numFmtId="3" fontId="4" fillId="2" borderId="26" xfId="0" applyNumberFormat="1" applyFont="1" applyFill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center" vertical="top" wrapText="1"/>
    </xf>
    <xf numFmtId="3" fontId="4" fillId="2" borderId="16" xfId="0" applyNumberFormat="1" applyFont="1" applyFill="1" applyBorder="1" applyAlignment="1">
      <alignment horizontal="center" vertical="top" wrapText="1"/>
    </xf>
    <xf numFmtId="3" fontId="4" fillId="3" borderId="15" xfId="0" applyNumberFormat="1" applyFont="1" applyFill="1" applyBorder="1" applyAlignment="1">
      <alignment horizontal="center" vertical="top" wrapText="1"/>
    </xf>
    <xf numFmtId="3" fontId="4" fillId="3" borderId="4" xfId="0" applyNumberFormat="1" applyFont="1" applyFill="1" applyBorder="1" applyAlignment="1">
      <alignment horizontal="center" vertical="top" wrapText="1"/>
    </xf>
    <xf numFmtId="3" fontId="4" fillId="3" borderId="27" xfId="0" applyNumberFormat="1" applyFont="1" applyFill="1" applyBorder="1" applyAlignment="1">
      <alignment horizontal="center" vertical="top" wrapText="1"/>
    </xf>
    <xf numFmtId="3" fontId="4" fillId="3" borderId="16" xfId="0" applyNumberFormat="1" applyFont="1" applyFill="1" applyBorder="1" applyAlignment="1">
      <alignment horizontal="center" vertical="top" wrapText="1"/>
    </xf>
    <xf numFmtId="3" fontId="4" fillId="0" borderId="26" xfId="0" applyNumberFormat="1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left" vertical="top" wrapText="1"/>
    </xf>
    <xf numFmtId="3" fontId="4" fillId="0" borderId="16" xfId="0" applyNumberFormat="1" applyFont="1" applyBorder="1" applyAlignment="1">
      <alignment horizontal="left" vertical="top" wrapText="1"/>
    </xf>
    <xf numFmtId="3" fontId="4" fillId="2" borderId="8" xfId="0" applyNumberFormat="1" applyFont="1" applyFill="1" applyBorder="1" applyAlignment="1">
      <alignment horizontal="center" vertical="top" wrapText="1"/>
    </xf>
    <xf numFmtId="0" fontId="4" fillId="2" borderId="21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4" fillId="3" borderId="29" xfId="0" applyFont="1" applyFill="1" applyBorder="1" applyAlignment="1">
      <alignment horizontal="center" vertical="top" wrapText="1"/>
    </xf>
    <xf numFmtId="0" fontId="4" fillId="3" borderId="25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50" xfId="0" applyFont="1" applyFill="1" applyBorder="1" applyAlignment="1">
      <alignment horizontal="center" vertical="top" wrapText="1"/>
    </xf>
    <xf numFmtId="0" fontId="4" fillId="2" borderId="38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2" borderId="26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 horizontal="center" vertical="top" wrapText="1"/>
    </xf>
    <xf numFmtId="0" fontId="4" fillId="2" borderId="34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top"/>
    </xf>
    <xf numFmtId="0" fontId="4" fillId="2" borderId="18" xfId="0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center" vertical="top" wrapText="1"/>
    </xf>
    <xf numFmtId="0" fontId="4" fillId="2" borderId="20" xfId="0" applyFont="1" applyFill="1" applyBorder="1" applyAlignment="1">
      <alignment horizontal="center" vertical="top" wrapText="1"/>
    </xf>
    <xf numFmtId="0" fontId="4" fillId="3" borderId="15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27" xfId="0" applyFont="1" applyFill="1" applyBorder="1" applyAlignment="1">
      <alignment horizontal="center" vertical="top" wrapText="1"/>
    </xf>
    <xf numFmtId="0" fontId="4" fillId="3" borderId="16" xfId="0" applyFont="1" applyFill="1" applyBorder="1" applyAlignment="1">
      <alignment horizontal="center" vertical="top" wrapText="1"/>
    </xf>
    <xf numFmtId="0" fontId="4" fillId="2" borderId="3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1" fillId="0" borderId="4" xfId="0" applyFont="1" applyFill="1" applyBorder="1" applyAlignment="1">
      <alignment horizontal="right" vertical="top" wrapText="1"/>
    </xf>
    <xf numFmtId="0" fontId="11" fillId="0" borderId="4" xfId="0" applyFont="1" applyFill="1" applyBorder="1" applyAlignment="1">
      <alignment horizontal="left" vertical="top" wrapText="1"/>
    </xf>
    <xf numFmtId="9" fontId="11" fillId="0" borderId="5" xfId="0" applyNumberFormat="1" applyFont="1" applyFill="1" applyBorder="1" applyAlignment="1">
      <alignment horizontal="right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left" vertical="top" wrapText="1"/>
    </xf>
    <xf numFmtId="0" fontId="4" fillId="0" borderId="4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3" borderId="28" xfId="0" applyFont="1" applyFill="1" applyBorder="1" applyAlignment="1">
      <alignment horizontal="center" vertical="top" wrapText="1"/>
    </xf>
    <xf numFmtId="0" fontId="4" fillId="2" borderId="28" xfId="0" applyFont="1" applyFill="1" applyBorder="1" applyAlignment="1">
      <alignment horizontal="center" vertical="top" wrapText="1"/>
    </xf>
    <xf numFmtId="0" fontId="4" fillId="2" borderId="29" xfId="0" applyFont="1" applyFill="1" applyBorder="1" applyAlignment="1">
      <alignment horizontal="center" vertical="top" wrapText="1"/>
    </xf>
    <xf numFmtId="0" fontId="4" fillId="2" borderId="25" xfId="0" applyFont="1" applyFill="1" applyBorder="1" applyAlignment="1">
      <alignment horizontal="center" vertical="top" wrapText="1"/>
    </xf>
    <xf numFmtId="9" fontId="5" fillId="0" borderId="4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4" fillId="2" borderId="30" xfId="0" applyFont="1" applyFill="1" applyBorder="1" applyAlignment="1">
      <alignment horizontal="center" vertical="top" wrapText="1"/>
    </xf>
    <xf numFmtId="0" fontId="4" fillId="2" borderId="22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justify" vertical="top" wrapText="1"/>
    </xf>
    <xf numFmtId="0" fontId="4" fillId="2" borderId="19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9" fontId="5" fillId="0" borderId="4" xfId="0" applyNumberFormat="1" applyFont="1" applyFill="1" applyBorder="1" applyAlignment="1">
      <alignment horizontal="center" vertical="top"/>
    </xf>
    <xf numFmtId="9" fontId="5" fillId="0" borderId="10" xfId="0" applyNumberFormat="1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left" vertical="top"/>
    </xf>
    <xf numFmtId="0" fontId="4" fillId="2" borderId="3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47" xfId="0" applyFont="1" applyBorder="1" applyAlignment="1">
      <alignment horizontal="left" vertical="top" wrapText="1"/>
    </xf>
    <xf numFmtId="0" fontId="4" fillId="0" borderId="48" xfId="0" applyFont="1" applyBorder="1" applyAlignment="1">
      <alignment horizontal="left" vertical="top" wrapText="1"/>
    </xf>
    <xf numFmtId="0" fontId="4" fillId="0" borderId="49" xfId="0" applyFont="1" applyBorder="1" applyAlignment="1">
      <alignment horizontal="left" vertical="top" wrapText="1"/>
    </xf>
    <xf numFmtId="165" fontId="5" fillId="0" borderId="3" xfId="1" applyNumberFormat="1" applyFont="1" applyFill="1" applyBorder="1" applyAlignment="1">
      <alignment horizontal="center" vertical="top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/>
    </xf>
    <xf numFmtId="0" fontId="16" fillId="7" borderId="7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7" fillId="10" borderId="1" xfId="0" applyFont="1" applyFill="1" applyBorder="1" applyAlignment="1">
      <alignment horizontal="center" vertical="center"/>
    </xf>
    <xf numFmtId="167" fontId="26" fillId="10" borderId="1" xfId="1" applyNumberFormat="1" applyFont="1" applyFill="1" applyBorder="1" applyAlignment="1">
      <alignment horizontal="center"/>
    </xf>
    <xf numFmtId="167" fontId="27" fillId="10" borderId="1" xfId="1" applyNumberFormat="1" applyFont="1" applyFill="1" applyBorder="1" applyAlignment="1">
      <alignment horizontal="center"/>
    </xf>
    <xf numFmtId="0" fontId="27" fillId="10" borderId="2" xfId="0" applyFont="1" applyFill="1" applyBorder="1" applyAlignment="1">
      <alignment horizontal="center" vertical="center"/>
    </xf>
    <xf numFmtId="0" fontId="27" fillId="10" borderId="5" xfId="0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26" fillId="0" borderId="0" xfId="0" applyFont="1" applyAlignment="1">
      <alignment horizontal="left" vertical="center" wrapText="1"/>
    </xf>
    <xf numFmtId="0" fontId="30" fillId="12" borderId="1" xfId="0" applyFont="1" applyFill="1" applyBorder="1" applyAlignment="1">
      <alignment horizontal="center"/>
    </xf>
    <xf numFmtId="0" fontId="27" fillId="10" borderId="7" xfId="0" applyFont="1" applyFill="1" applyBorder="1" applyAlignment="1">
      <alignment horizontal="center"/>
    </xf>
    <xf numFmtId="0" fontId="27" fillId="10" borderId="24" xfId="0" applyFont="1" applyFill="1" applyBorder="1" applyAlignment="1">
      <alignment horizontal="center"/>
    </xf>
    <xf numFmtId="0" fontId="27" fillId="10" borderId="17" xfId="0" applyFont="1" applyFill="1" applyBorder="1" applyAlignment="1">
      <alignment horizontal="center"/>
    </xf>
    <xf numFmtId="0" fontId="37" fillId="14" borderId="2" xfId="0" applyFont="1" applyFill="1" applyBorder="1" applyAlignment="1">
      <alignment horizontal="center" vertical="center" wrapText="1"/>
    </xf>
    <xf numFmtId="0" fontId="37" fillId="14" borderId="6" xfId="0" applyFont="1" applyFill="1" applyBorder="1" applyAlignment="1">
      <alignment horizontal="center" vertical="center" wrapText="1"/>
    </xf>
    <xf numFmtId="0" fontId="37" fillId="14" borderId="5" xfId="0" applyFont="1" applyFill="1" applyBorder="1" applyAlignment="1">
      <alignment horizontal="center" vertical="center" wrapText="1"/>
    </xf>
    <xf numFmtId="0" fontId="37" fillId="14" borderId="1" xfId="0" applyFont="1" applyFill="1" applyBorder="1" applyAlignment="1">
      <alignment horizontal="center" vertical="center"/>
    </xf>
    <xf numFmtId="0" fontId="37" fillId="14" borderId="9" xfId="0" applyFont="1" applyFill="1" applyBorder="1" applyAlignment="1">
      <alignment horizontal="center" vertical="center"/>
    </xf>
    <xf numFmtId="0" fontId="37" fillId="14" borderId="14" xfId="0" applyFont="1" applyFill="1" applyBorder="1" applyAlignment="1">
      <alignment horizontal="center" vertical="center"/>
    </xf>
    <xf numFmtId="0" fontId="37" fillId="14" borderId="30" xfId="0" applyFont="1" applyFill="1" applyBorder="1" applyAlignment="1">
      <alignment horizontal="center" vertical="center"/>
    </xf>
    <xf numFmtId="0" fontId="37" fillId="14" borderId="22" xfId="0" applyFont="1" applyFill="1" applyBorder="1" applyAlignment="1">
      <alignment horizontal="center" vertical="center"/>
    </xf>
    <xf numFmtId="0" fontId="37" fillId="14" borderId="64" xfId="0" applyFont="1" applyFill="1" applyBorder="1" applyAlignment="1">
      <alignment horizontal="center" vertical="center"/>
    </xf>
    <xf numFmtId="0" fontId="37" fillId="14" borderId="52" xfId="0" applyFont="1" applyFill="1" applyBorder="1" applyAlignment="1">
      <alignment horizontal="center" vertical="center"/>
    </xf>
    <xf numFmtId="0" fontId="37" fillId="14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9" fontId="37" fillId="0" borderId="2" xfId="0" applyNumberFormat="1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left" vertical="center" wrapText="1"/>
    </xf>
    <xf numFmtId="0" fontId="38" fillId="0" borderId="6" xfId="0" applyFont="1" applyBorder="1" applyAlignment="1">
      <alignment horizontal="left" vertical="center" wrapText="1"/>
    </xf>
    <xf numFmtId="0" fontId="38" fillId="0" borderId="5" xfId="0" applyFont="1" applyBorder="1" applyAlignment="1">
      <alignment horizontal="left" vertical="center" wrapText="1"/>
    </xf>
    <xf numFmtId="9" fontId="38" fillId="0" borderId="2" xfId="0" applyNumberFormat="1" applyFont="1" applyBorder="1" applyAlignment="1">
      <alignment horizontal="center" vertical="center" wrapText="1"/>
    </xf>
    <xf numFmtId="3" fontId="38" fillId="0" borderId="2" xfId="0" applyNumberFormat="1" applyFont="1" applyBorder="1" applyAlignment="1">
      <alignment horizontal="center" vertical="center" wrapText="1"/>
    </xf>
    <xf numFmtId="3" fontId="38" fillId="0" borderId="5" xfId="0" applyNumberFormat="1" applyFont="1" applyBorder="1" applyAlignment="1">
      <alignment horizontal="center" vertical="center" wrapText="1"/>
    </xf>
    <xf numFmtId="3" fontId="38" fillId="0" borderId="2" xfId="0" applyNumberFormat="1" applyFont="1" applyBorder="1" applyAlignment="1">
      <alignment horizontal="left" vertical="center" wrapText="1"/>
    </xf>
    <xf numFmtId="3" fontId="38" fillId="0" borderId="5" xfId="0" applyNumberFormat="1" applyFont="1" applyBorder="1" applyAlignment="1">
      <alignment horizontal="left" vertical="center" wrapText="1"/>
    </xf>
    <xf numFmtId="9" fontId="38" fillId="0" borderId="2" xfId="3" applyFont="1" applyBorder="1" applyAlignment="1">
      <alignment horizontal="center" vertical="center" wrapText="1"/>
    </xf>
    <xf numFmtId="9" fontId="38" fillId="0" borderId="5" xfId="3" applyFont="1" applyBorder="1" applyAlignment="1">
      <alignment horizontal="center" vertical="center" wrapText="1"/>
    </xf>
    <xf numFmtId="3" fontId="38" fillId="0" borderId="6" xfId="0" applyNumberFormat="1" applyFont="1" applyBorder="1" applyAlignment="1">
      <alignment horizontal="center" vertical="center" wrapText="1"/>
    </xf>
    <xf numFmtId="3" fontId="38" fillId="0" borderId="6" xfId="0" applyNumberFormat="1" applyFont="1" applyBorder="1" applyAlignment="1">
      <alignment horizontal="left" vertical="center" wrapText="1"/>
    </xf>
    <xf numFmtId="9" fontId="38" fillId="0" borderId="6" xfId="3" applyFont="1" applyBorder="1" applyAlignment="1">
      <alignment horizontal="center" vertical="center" wrapText="1"/>
    </xf>
    <xf numFmtId="0" fontId="38" fillId="6" borderId="7" xfId="0" applyFont="1" applyFill="1" applyBorder="1" applyAlignment="1">
      <alignment horizontal="center" vertical="top" wrapText="1"/>
    </xf>
    <xf numFmtId="0" fontId="38" fillId="6" borderId="24" xfId="0" applyFont="1" applyFill="1" applyBorder="1" applyAlignment="1">
      <alignment horizontal="center" vertical="top" wrapText="1"/>
    </xf>
    <xf numFmtId="0" fontId="38" fillId="0" borderId="2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3" fontId="38" fillId="0" borderId="1" xfId="0" applyNumberFormat="1" applyFont="1" applyBorder="1" applyAlignment="1">
      <alignment horizontal="center" vertical="center" wrapText="1"/>
    </xf>
    <xf numFmtId="3" fontId="38" fillId="0" borderId="1" xfId="0" applyNumberFormat="1" applyFont="1" applyBorder="1" applyAlignment="1">
      <alignment horizontal="left" vertical="center" wrapText="1"/>
    </xf>
    <xf numFmtId="9" fontId="38" fillId="0" borderId="32" xfId="3" applyFont="1" applyBorder="1" applyAlignment="1">
      <alignment horizontal="center" vertical="center" wrapText="1"/>
    </xf>
    <xf numFmtId="9" fontId="38" fillId="0" borderId="0" xfId="3" applyFont="1" applyBorder="1" applyAlignment="1">
      <alignment horizontal="center" vertical="center" wrapText="1"/>
    </xf>
    <xf numFmtId="0" fontId="38" fillId="6" borderId="7" xfId="0" applyFont="1" applyFill="1" applyBorder="1" applyAlignment="1">
      <alignment horizontal="center" vertical="center" wrapText="1"/>
    </xf>
    <xf numFmtId="0" fontId="38" fillId="6" borderId="24" xfId="0" applyFont="1" applyFill="1" applyBorder="1" applyAlignment="1">
      <alignment horizontal="center" vertical="center" wrapText="1"/>
    </xf>
    <xf numFmtId="9" fontId="37" fillId="14" borderId="1" xfId="0" applyNumberFormat="1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0"/>
  <tableStyles count="0" defaultTableStyle="TableStyleMedium2" defaultPivotStyle="PivotStyleLight16"/>
  <colors>
    <mruColors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478902486586791"/>
          <c:y val="0.11138862642169728"/>
          <c:w val="0.77325996900990002"/>
          <c:h val="0.73722274715660541"/>
        </c:manualLayout>
      </c:layout>
      <c:pie3DChart>
        <c:varyColors val="1"/>
        <c:ser>
          <c:idx val="0"/>
          <c:order val="0"/>
          <c:explosion val="25"/>
          <c:dPt>
            <c:idx val="2"/>
            <c:bubble3D val="0"/>
            <c:explosion val="16"/>
          </c:dPt>
          <c:dLbls>
            <c:dLbl>
              <c:idx val="2"/>
              <c:layout>
                <c:manualLayout>
                  <c:x val="0"/>
                  <c:y val="0.1156587926509186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4.4578313253012094E-3"/>
                  <c:y val="9.01973753280847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'Resumen Inversión'!$A$2:$A$8</c:f>
              <c:strCache>
                <c:ptCount val="7"/>
                <c:pt idx="0">
                  <c:v>RP</c:v>
                </c:pt>
                <c:pt idx="1">
                  <c:v>SGP</c:v>
                </c:pt>
                <c:pt idx="2">
                  <c:v>Rentas Cedidas</c:v>
                </c:pt>
                <c:pt idx="3">
                  <c:v>Otras fuentes</c:v>
                </c:pt>
                <c:pt idx="4">
                  <c:v>IVA Telefonía móvil</c:v>
                </c:pt>
                <c:pt idx="5">
                  <c:v>SGR</c:v>
                </c:pt>
                <c:pt idx="6">
                  <c:v>PGN</c:v>
                </c:pt>
              </c:strCache>
            </c:strRef>
          </c:cat>
          <c:val>
            <c:numRef>
              <c:f>'Resumen Inversión'!$F$2:$F$8</c:f>
              <c:numCache>
                <c:formatCode>_(* #,##0_);_(* \(#,##0\);_(* "-"??_);_(@_)</c:formatCode>
                <c:ptCount val="7"/>
                <c:pt idx="0">
                  <c:v>70559</c:v>
                </c:pt>
                <c:pt idx="1">
                  <c:v>1388454.3838879999</c:v>
                </c:pt>
                <c:pt idx="2">
                  <c:v>64041</c:v>
                </c:pt>
                <c:pt idx="3">
                  <c:v>1527653.88</c:v>
                </c:pt>
                <c:pt idx="4">
                  <c:v>5622</c:v>
                </c:pt>
                <c:pt idx="5">
                  <c:v>476115.3</c:v>
                </c:pt>
                <c:pt idx="6">
                  <c:v>754269.3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'Resumen Inversión'!$B$1:$E$1</c:f>
              <c:strCache>
                <c:ptCount val="4"/>
                <c:pt idx="0">
                  <c:v>Objetivo 1</c:v>
                </c:pt>
                <c:pt idx="1">
                  <c:v>Objetivo 2</c:v>
                </c:pt>
                <c:pt idx="2">
                  <c:v>Objetivo 3</c:v>
                </c:pt>
                <c:pt idx="3">
                  <c:v>Objetivo 4</c:v>
                </c:pt>
              </c:strCache>
            </c:strRef>
          </c:cat>
          <c:val>
            <c:numRef>
              <c:f>'Resumen Inversión'!$B$9:$E$9</c:f>
              <c:numCache>
                <c:formatCode>_(* #,##0_);_(* \(#,##0\);_(* "-"??_);_(@_)</c:formatCode>
                <c:ptCount val="4"/>
                <c:pt idx="0">
                  <c:v>2014096.183888</c:v>
                </c:pt>
                <c:pt idx="1">
                  <c:v>518206.68</c:v>
                </c:pt>
                <c:pt idx="2">
                  <c:v>1650583</c:v>
                </c:pt>
                <c:pt idx="3">
                  <c:v>103829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4512128"/>
        <c:axId val="110231936"/>
        <c:axId val="0"/>
      </c:bar3DChart>
      <c:catAx>
        <c:axId val="104512128"/>
        <c:scaling>
          <c:orientation val="minMax"/>
        </c:scaling>
        <c:delete val="0"/>
        <c:axPos val="b"/>
        <c:majorTickMark val="out"/>
        <c:minorTickMark val="none"/>
        <c:tickLblPos val="nextTo"/>
        <c:crossAx val="110231936"/>
        <c:crosses val="autoZero"/>
        <c:auto val="1"/>
        <c:lblAlgn val="ctr"/>
        <c:lblOffset val="100"/>
        <c:noMultiLvlLbl val="0"/>
      </c:catAx>
      <c:valAx>
        <c:axId val="110231936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crossAx val="104512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711414483312448E-2"/>
          <c:y val="0.10766714873087155"/>
          <c:w val="0.73441118858026244"/>
          <c:h val="0.70283478078604356"/>
        </c:manualLayout>
      </c:layout>
      <c:pie3DChart>
        <c:varyColors val="1"/>
        <c:ser>
          <c:idx val="0"/>
          <c:order val="0"/>
          <c:explosion val="16"/>
          <c:dLbls>
            <c:dLbl>
              <c:idx val="1"/>
              <c:layout>
                <c:manualLayout>
                  <c:x val="5.6697725208828993E-2"/>
                  <c:y val="2.33772661957710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5560554775860647"/>
                  <c:y val="3.13810541331266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17213221332452736"/>
                  <c:y val="-0.2067861448733880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.10738200130588474"/>
                  <c:y val="0.116556723049749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txPr>
              <a:bodyPr/>
              <a:lstStyle/>
              <a:p>
                <a:pPr>
                  <a:defRPr sz="1000" b="1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'Fuentes Financiación'!$A$4:$A$10</c:f>
              <c:strCache>
                <c:ptCount val="7"/>
                <c:pt idx="0">
                  <c:v>RECURSOS PROPIOS</c:v>
                </c:pt>
                <c:pt idx="1">
                  <c:v>SGP</c:v>
                </c:pt>
                <c:pt idx="2">
                  <c:v>SGR</c:v>
                </c:pt>
                <c:pt idx="3">
                  <c:v>RENTAS CEDIDAS</c:v>
                </c:pt>
                <c:pt idx="4">
                  <c:v>IVA TELEFONIA CELULAR</c:v>
                </c:pt>
                <c:pt idx="5">
                  <c:v>OTRAS FUENTES</c:v>
                </c:pt>
                <c:pt idx="6">
                  <c:v>PGN</c:v>
                </c:pt>
              </c:strCache>
            </c:strRef>
          </c:cat>
          <c:val>
            <c:numRef>
              <c:f>'Fuentes Financiación'!$B$4:$B$10</c:f>
              <c:numCache>
                <c:formatCode>_ * #,##0_ ;_ * \-#,##0_ ;_ * "-"??_ ;_ @_ </c:formatCode>
                <c:ptCount val="7"/>
                <c:pt idx="0">
                  <c:v>70559</c:v>
                </c:pt>
                <c:pt idx="1">
                  <c:v>1388454.3838880002</c:v>
                </c:pt>
                <c:pt idx="2">
                  <c:v>476115.3</c:v>
                </c:pt>
                <c:pt idx="3">
                  <c:v>64041</c:v>
                </c:pt>
                <c:pt idx="4">
                  <c:v>5622</c:v>
                </c:pt>
                <c:pt idx="5">
                  <c:v>1527653.8800000001</c:v>
                </c:pt>
                <c:pt idx="6">
                  <c:v>754269.3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400050</xdr:colOff>
      <xdr:row>1</xdr:row>
      <xdr:rowOff>76200</xdr:rowOff>
    </xdr:from>
    <xdr:to>
      <xdr:col>12</xdr:col>
      <xdr:colOff>476250</xdr:colOff>
      <xdr:row>17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257175</xdr:colOff>
      <xdr:row>10</xdr:row>
      <xdr:rowOff>0</xdr:rowOff>
    </xdr:from>
    <xdr:to>
      <xdr:col>5</xdr:col>
      <xdr:colOff>66675</xdr:colOff>
      <xdr:row>23</xdr:row>
      <xdr:rowOff>142875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770561</xdr:colOff>
      <xdr:row>0</xdr:row>
      <xdr:rowOff>85619</xdr:rowOff>
    </xdr:from>
    <xdr:to>
      <xdr:col>8</xdr:col>
      <xdr:colOff>1027416</xdr:colOff>
      <xdr:row>20</xdr:row>
      <xdr:rowOff>42809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36"/>
  <sheetViews>
    <sheetView tabSelected="1" workbookViewId="0">
      <selection activeCell="K141" sqref="K141"/>
    </sheetView>
  </sheetViews>
  <sheetFormatPr baseColWidth="10" defaultColWidth="11.42578125" defaultRowHeight="13.5" x14ac:dyDescent="0.25"/>
  <cols>
    <col min="1" max="1" width="11.140625" style="2" bestFit="1" customWidth="1"/>
    <col min="2" max="2" width="3.5703125" style="2" bestFit="1" customWidth="1"/>
    <col min="3" max="3" width="12.140625" style="2" customWidth="1"/>
    <col min="4" max="4" width="12.7109375" style="63" customWidth="1"/>
    <col min="5" max="5" width="9.42578125" style="63" customWidth="1"/>
    <col min="6" max="6" width="11.42578125" style="2" customWidth="1"/>
    <col min="7" max="7" width="10.85546875" style="2" customWidth="1"/>
    <col min="8" max="8" width="4.42578125" style="63" customWidth="1"/>
    <col min="9" max="9" width="18.7109375" style="63" customWidth="1"/>
    <col min="10" max="10" width="11.85546875" style="63" customWidth="1"/>
    <col min="11" max="11" width="22.42578125" style="63" customWidth="1"/>
    <col min="12" max="12" width="15.7109375" style="63" customWidth="1"/>
    <col min="13" max="13" width="8.28515625" style="2" customWidth="1"/>
    <col min="14" max="14" width="8.7109375" style="1" customWidth="1"/>
    <col min="15" max="15" width="7.42578125" style="1" customWidth="1"/>
    <col min="16" max="16" width="9" style="1" customWidth="1"/>
    <col min="17" max="18" width="8.28515625" style="1" customWidth="1"/>
    <col min="19" max="19" width="6.28515625" style="2" customWidth="1"/>
    <col min="20" max="20" width="9.42578125" style="2" bestFit="1" customWidth="1"/>
    <col min="21" max="21" width="10.85546875" style="2" bestFit="1" customWidth="1"/>
    <col min="22" max="22" width="10.28515625" style="2" bestFit="1" customWidth="1"/>
    <col min="23" max="23" width="10" style="2" customWidth="1"/>
    <col min="24" max="25" width="8" style="2" bestFit="1" customWidth="1"/>
    <col min="26" max="26" width="8.7109375" style="2" bestFit="1" customWidth="1"/>
    <col min="27" max="27" width="9.5703125" style="2" bestFit="1" customWidth="1"/>
    <col min="28" max="28" width="9.42578125" style="2" bestFit="1" customWidth="1"/>
    <col min="29" max="29" width="11.42578125" style="2" bestFit="1" customWidth="1"/>
    <col min="30" max="30" width="10.28515625" style="2" bestFit="1" customWidth="1"/>
    <col min="31" max="31" width="10" style="2" customWidth="1"/>
    <col min="32" max="32" width="8" style="2" bestFit="1" customWidth="1"/>
    <col min="33" max="34" width="9.85546875" style="2" bestFit="1" customWidth="1"/>
    <col min="35" max="35" width="9.5703125" style="2" bestFit="1" customWidth="1"/>
    <col min="36" max="36" width="9.42578125" style="2" bestFit="1" customWidth="1"/>
    <col min="37" max="37" width="11.42578125" style="2" bestFit="1" customWidth="1"/>
    <col min="38" max="38" width="10.28515625" style="2" bestFit="1" customWidth="1"/>
    <col min="39" max="39" width="10" style="2" customWidth="1"/>
    <col min="40" max="41" width="8" style="2" bestFit="1" customWidth="1"/>
    <col min="42" max="42" width="8.7109375" style="2" bestFit="1" customWidth="1"/>
    <col min="43" max="43" width="9.5703125" style="2" bestFit="1" customWidth="1"/>
    <col min="44" max="44" width="9.42578125" style="2" bestFit="1" customWidth="1"/>
    <col min="45" max="45" width="10.85546875" style="2" bestFit="1" customWidth="1"/>
    <col min="46" max="46" width="10.42578125" style="2" customWidth="1"/>
    <col min="47" max="47" width="10" style="2" customWidth="1"/>
    <col min="48" max="48" width="9.28515625" style="2" bestFit="1" customWidth="1"/>
    <col min="49" max="50" width="8.7109375" style="2" bestFit="1" customWidth="1"/>
    <col min="51" max="51" width="7.5703125" style="2" customWidth="1"/>
    <col min="52" max="52" width="10.140625" style="2" customWidth="1"/>
    <col min="53" max="53" width="11.42578125" style="2" bestFit="1" customWidth="1"/>
    <col min="54" max="54" width="10.28515625" style="2" bestFit="1" customWidth="1"/>
    <col min="55" max="55" width="10" style="2" customWidth="1"/>
    <col min="56" max="56" width="8.7109375" style="2" bestFit="1" customWidth="1"/>
    <col min="57" max="57" width="9.85546875" style="2" bestFit="1" customWidth="1"/>
    <col min="58" max="58" width="9.85546875" style="11" bestFit="1" customWidth="1"/>
    <col min="59" max="60" width="11.42578125" style="10"/>
    <col min="61" max="16384" width="11.42578125" style="2"/>
  </cols>
  <sheetData>
    <row r="1" spans="1:73" s="31" customFormat="1" x14ac:dyDescent="0.25">
      <c r="A1" s="669" t="s">
        <v>735</v>
      </c>
      <c r="B1" s="670"/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1"/>
      <c r="O1" s="671"/>
      <c r="P1" s="671"/>
      <c r="Q1" s="671"/>
      <c r="R1" s="672"/>
      <c r="S1" s="660" t="s">
        <v>1114</v>
      </c>
      <c r="T1" s="661"/>
      <c r="U1" s="661"/>
      <c r="V1" s="661"/>
      <c r="W1" s="661"/>
      <c r="X1" s="661"/>
      <c r="Y1" s="661"/>
      <c r="Z1" s="661"/>
      <c r="AA1" s="661"/>
      <c r="AB1" s="661"/>
      <c r="AC1" s="661"/>
      <c r="AD1" s="661"/>
      <c r="AE1" s="661"/>
      <c r="AF1" s="661"/>
      <c r="AG1" s="661"/>
      <c r="AH1" s="661"/>
      <c r="AI1" s="661"/>
      <c r="AJ1" s="661"/>
      <c r="AK1" s="661"/>
      <c r="AL1" s="661"/>
      <c r="AM1" s="661"/>
      <c r="AN1" s="661"/>
      <c r="AO1" s="661"/>
      <c r="AP1" s="661"/>
      <c r="AQ1" s="661"/>
      <c r="AR1" s="661"/>
      <c r="AS1" s="661"/>
      <c r="AT1" s="661"/>
      <c r="AU1" s="661"/>
      <c r="AV1" s="661"/>
      <c r="AW1" s="661"/>
      <c r="AX1" s="661"/>
      <c r="AY1" s="661"/>
      <c r="AZ1" s="661"/>
      <c r="BA1" s="661"/>
      <c r="BB1" s="661"/>
      <c r="BC1" s="661"/>
      <c r="BD1" s="661"/>
      <c r="BE1" s="661"/>
      <c r="BF1" s="662"/>
      <c r="BG1" s="30"/>
      <c r="BH1" s="30"/>
    </row>
    <row r="2" spans="1:73" s="33" customFormat="1" x14ac:dyDescent="0.25">
      <c r="A2" s="673" t="s">
        <v>717</v>
      </c>
      <c r="B2" s="673"/>
      <c r="C2" s="658" t="s">
        <v>718</v>
      </c>
      <c r="D2" s="675" t="s">
        <v>725</v>
      </c>
      <c r="E2" s="676"/>
      <c r="F2" s="676"/>
      <c r="G2" s="658"/>
      <c r="H2" s="675" t="s">
        <v>719</v>
      </c>
      <c r="I2" s="658"/>
      <c r="J2" s="681" t="s">
        <v>720</v>
      </c>
      <c r="K2" s="680" t="s">
        <v>726</v>
      </c>
      <c r="L2" s="680"/>
      <c r="M2" s="680"/>
      <c r="N2" s="680"/>
      <c r="O2" s="677" t="s">
        <v>727</v>
      </c>
      <c r="P2" s="678"/>
      <c r="Q2" s="678"/>
      <c r="R2" s="679"/>
      <c r="S2" s="666">
        <v>2012</v>
      </c>
      <c r="T2" s="666"/>
      <c r="U2" s="666"/>
      <c r="V2" s="666"/>
      <c r="W2" s="666"/>
      <c r="X2" s="666"/>
      <c r="Y2" s="666"/>
      <c r="Z2" s="667"/>
      <c r="AA2" s="668">
        <v>2013</v>
      </c>
      <c r="AB2" s="666"/>
      <c r="AC2" s="666"/>
      <c r="AD2" s="666"/>
      <c r="AE2" s="666"/>
      <c r="AF2" s="666"/>
      <c r="AG2" s="666"/>
      <c r="AH2" s="667"/>
      <c r="AI2" s="668">
        <v>2014</v>
      </c>
      <c r="AJ2" s="666"/>
      <c r="AK2" s="666"/>
      <c r="AL2" s="666"/>
      <c r="AM2" s="666"/>
      <c r="AN2" s="666"/>
      <c r="AO2" s="666"/>
      <c r="AP2" s="667"/>
      <c r="AQ2" s="668">
        <v>2015</v>
      </c>
      <c r="AR2" s="666"/>
      <c r="AS2" s="666"/>
      <c r="AT2" s="666"/>
      <c r="AU2" s="666"/>
      <c r="AV2" s="666"/>
      <c r="AW2" s="666"/>
      <c r="AX2" s="667"/>
      <c r="AY2" s="663" t="s">
        <v>734</v>
      </c>
      <c r="AZ2" s="663"/>
      <c r="BA2" s="663"/>
      <c r="BB2" s="663"/>
      <c r="BC2" s="663"/>
      <c r="BD2" s="663"/>
      <c r="BE2" s="664"/>
      <c r="BF2" s="665"/>
      <c r="BG2" s="32"/>
      <c r="BH2" s="32"/>
    </row>
    <row r="3" spans="1:73" s="33" customFormat="1" ht="27.75" thickBot="1" x14ac:dyDescent="0.3">
      <c r="A3" s="674"/>
      <c r="B3" s="674"/>
      <c r="C3" s="659"/>
      <c r="D3" s="42" t="s">
        <v>849</v>
      </c>
      <c r="E3" s="42" t="s">
        <v>736</v>
      </c>
      <c r="F3" s="27" t="s">
        <v>723</v>
      </c>
      <c r="G3" s="171" t="s">
        <v>510</v>
      </c>
      <c r="H3" s="683"/>
      <c r="I3" s="684"/>
      <c r="J3" s="682"/>
      <c r="K3" s="363" t="s">
        <v>721</v>
      </c>
      <c r="L3" s="42" t="s">
        <v>722</v>
      </c>
      <c r="M3" s="27" t="s">
        <v>723</v>
      </c>
      <c r="N3" s="27" t="s">
        <v>510</v>
      </c>
      <c r="O3" s="27">
        <v>2012</v>
      </c>
      <c r="P3" s="27">
        <v>2013</v>
      </c>
      <c r="Q3" s="27">
        <v>2014</v>
      </c>
      <c r="R3" s="13">
        <v>2015</v>
      </c>
      <c r="S3" s="205" t="s">
        <v>1400</v>
      </c>
      <c r="T3" s="34" t="s">
        <v>728</v>
      </c>
      <c r="U3" s="34" t="s">
        <v>729</v>
      </c>
      <c r="V3" s="34" t="s">
        <v>211</v>
      </c>
      <c r="W3" s="14" t="s">
        <v>730</v>
      </c>
      <c r="X3" s="34" t="s">
        <v>731</v>
      </c>
      <c r="Y3" s="34" t="s">
        <v>732</v>
      </c>
      <c r="Z3" s="34" t="s">
        <v>733</v>
      </c>
      <c r="AA3" s="206" t="s">
        <v>1400</v>
      </c>
      <c r="AB3" s="34" t="s">
        <v>728</v>
      </c>
      <c r="AC3" s="34" t="s">
        <v>729</v>
      </c>
      <c r="AD3" s="34" t="s">
        <v>211</v>
      </c>
      <c r="AE3" s="14" t="s">
        <v>730</v>
      </c>
      <c r="AF3" s="34" t="s">
        <v>731</v>
      </c>
      <c r="AG3" s="34" t="s">
        <v>732</v>
      </c>
      <c r="AH3" s="34" t="s">
        <v>733</v>
      </c>
      <c r="AI3" s="206" t="s">
        <v>1400</v>
      </c>
      <c r="AJ3" s="34" t="s">
        <v>728</v>
      </c>
      <c r="AK3" s="34" t="s">
        <v>729</v>
      </c>
      <c r="AL3" s="34" t="s">
        <v>211</v>
      </c>
      <c r="AM3" s="14" t="s">
        <v>730</v>
      </c>
      <c r="AN3" s="34" t="s">
        <v>731</v>
      </c>
      <c r="AO3" s="34" t="s">
        <v>732</v>
      </c>
      <c r="AP3" s="34" t="s">
        <v>733</v>
      </c>
      <c r="AQ3" s="206" t="s">
        <v>1400</v>
      </c>
      <c r="AR3" s="34" t="s">
        <v>728</v>
      </c>
      <c r="AS3" s="34" t="s">
        <v>729</v>
      </c>
      <c r="AT3" s="34" t="s">
        <v>211</v>
      </c>
      <c r="AU3" s="14" t="s">
        <v>730</v>
      </c>
      <c r="AV3" s="34" t="s">
        <v>731</v>
      </c>
      <c r="AW3" s="34" t="s">
        <v>732</v>
      </c>
      <c r="AX3" s="34" t="s">
        <v>733</v>
      </c>
      <c r="AY3" s="206" t="s">
        <v>1400</v>
      </c>
      <c r="AZ3" s="34" t="s">
        <v>728</v>
      </c>
      <c r="BA3" s="34" t="s">
        <v>729</v>
      </c>
      <c r="BB3" s="34" t="s">
        <v>211</v>
      </c>
      <c r="BC3" s="14" t="s">
        <v>730</v>
      </c>
      <c r="BD3" s="34" t="s">
        <v>731</v>
      </c>
      <c r="BE3" s="35" t="s">
        <v>732</v>
      </c>
      <c r="BF3" s="36" t="s">
        <v>824</v>
      </c>
      <c r="BG3" s="32"/>
      <c r="BH3" s="32"/>
    </row>
    <row r="4" spans="1:73" s="91" customFormat="1" ht="40.5" x14ac:dyDescent="0.25">
      <c r="A4" s="706" t="s">
        <v>1160</v>
      </c>
      <c r="B4" s="626" t="s">
        <v>778</v>
      </c>
      <c r="C4" s="626" t="s">
        <v>1508</v>
      </c>
      <c r="D4" s="626"/>
      <c r="E4" s="606"/>
      <c r="F4" s="624"/>
      <c r="G4" s="624"/>
      <c r="H4" s="606" t="s">
        <v>788</v>
      </c>
      <c r="I4" s="629" t="s">
        <v>709</v>
      </c>
      <c r="J4" s="606"/>
      <c r="K4" s="360" t="s">
        <v>710</v>
      </c>
      <c r="L4" s="378" t="s">
        <v>711</v>
      </c>
      <c r="M4" s="118">
        <v>0</v>
      </c>
      <c r="N4" s="118">
        <v>1</v>
      </c>
      <c r="O4" s="118">
        <v>1</v>
      </c>
      <c r="P4" s="118"/>
      <c r="Q4" s="118"/>
      <c r="R4" s="408"/>
      <c r="S4" s="187"/>
      <c r="T4" s="124"/>
      <c r="U4" s="124"/>
      <c r="V4" s="124"/>
      <c r="W4" s="124"/>
      <c r="X4" s="124"/>
      <c r="Y4" s="124"/>
      <c r="Z4" s="124">
        <f>SUM(S4:Y4)</f>
        <v>0</v>
      </c>
      <c r="AA4" s="124"/>
      <c r="AB4" s="124"/>
      <c r="AC4" s="124"/>
      <c r="AD4" s="124"/>
      <c r="AE4" s="124"/>
      <c r="AF4" s="124"/>
      <c r="AG4" s="124"/>
      <c r="AH4" s="124">
        <f>SUM(AA4:AG4)</f>
        <v>0</v>
      </c>
      <c r="AI4" s="124"/>
      <c r="AJ4" s="124"/>
      <c r="AK4" s="124"/>
      <c r="AL4" s="124"/>
      <c r="AM4" s="124"/>
      <c r="AN4" s="124"/>
      <c r="AO4" s="124"/>
      <c r="AP4" s="124">
        <f>SUM(AI4:AO4)</f>
        <v>0</v>
      </c>
      <c r="AQ4" s="124"/>
      <c r="AR4" s="124"/>
      <c r="AS4" s="124"/>
      <c r="AT4" s="124"/>
      <c r="AU4" s="124"/>
      <c r="AV4" s="124"/>
      <c r="AW4" s="124"/>
      <c r="AX4" s="124">
        <f>SUM(AQ4:AW4)</f>
        <v>0</v>
      </c>
      <c r="AY4" s="124">
        <f>+S4+AA4+AI4+AQ4</f>
        <v>0</v>
      </c>
      <c r="AZ4" s="124">
        <f t="shared" ref="AZ4:BE4" si="0">+T4+AB4+AJ4+AR4</f>
        <v>0</v>
      </c>
      <c r="BA4" s="124">
        <f t="shared" si="0"/>
        <v>0</v>
      </c>
      <c r="BB4" s="124">
        <f t="shared" si="0"/>
        <v>0</v>
      </c>
      <c r="BC4" s="124">
        <f t="shared" si="0"/>
        <v>0</v>
      </c>
      <c r="BD4" s="124">
        <f t="shared" si="0"/>
        <v>0</v>
      </c>
      <c r="BE4" s="124">
        <f t="shared" si="0"/>
        <v>0</v>
      </c>
      <c r="BF4" s="125">
        <f>+AY4+AZ4+BA4+BB4+BC4+BD4+BE4:BE5</f>
        <v>0</v>
      </c>
      <c r="BG4" s="47"/>
      <c r="BH4" s="47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</row>
    <row r="5" spans="1:73" s="91" customFormat="1" ht="81" x14ac:dyDescent="0.25">
      <c r="A5" s="707"/>
      <c r="B5" s="627"/>
      <c r="C5" s="627"/>
      <c r="D5" s="627"/>
      <c r="E5" s="603"/>
      <c r="F5" s="612"/>
      <c r="G5" s="612"/>
      <c r="H5" s="603"/>
      <c r="I5" s="620"/>
      <c r="J5" s="603"/>
      <c r="K5" s="355" t="s">
        <v>712</v>
      </c>
      <c r="L5" s="379" t="s">
        <v>969</v>
      </c>
      <c r="M5" s="46">
        <v>0</v>
      </c>
      <c r="N5" s="46">
        <v>1</v>
      </c>
      <c r="O5" s="46">
        <v>1</v>
      </c>
      <c r="P5" s="46">
        <v>1</v>
      </c>
      <c r="Q5" s="46">
        <v>1</v>
      </c>
      <c r="R5" s="198">
        <v>1</v>
      </c>
      <c r="S5" s="185"/>
      <c r="T5" s="44">
        <v>51423</v>
      </c>
      <c r="U5" s="44"/>
      <c r="V5" s="44"/>
      <c r="W5" s="44"/>
      <c r="X5" s="44"/>
      <c r="Y5" s="44"/>
      <c r="Z5" s="44">
        <f t="shared" ref="Z5:Z67" si="1">SUM(S5:Y5)</f>
        <v>51423</v>
      </c>
      <c r="AA5" s="44">
        <v>30</v>
      </c>
      <c r="AB5" s="44">
        <v>55340</v>
      </c>
      <c r="AC5" s="44"/>
      <c r="AD5" s="44"/>
      <c r="AE5" s="44"/>
      <c r="AF5" s="44"/>
      <c r="AG5" s="44"/>
      <c r="AH5" s="44">
        <f t="shared" ref="AH5:AH67" si="2">SUM(AA5:AG5)</f>
        <v>55370</v>
      </c>
      <c r="AI5" s="44">
        <v>50</v>
      </c>
      <c r="AJ5" s="44">
        <v>55784</v>
      </c>
      <c r="AK5" s="44"/>
      <c r="AL5" s="44"/>
      <c r="AM5" s="44"/>
      <c r="AN5" s="44"/>
      <c r="AO5" s="44"/>
      <c r="AP5" s="44">
        <f t="shared" ref="AP5:AP67" si="3">SUM(AI5:AO5)</f>
        <v>55834</v>
      </c>
      <c r="AQ5" s="44">
        <v>50</v>
      </c>
      <c r="AR5" s="44">
        <f>55784+4302+4</f>
        <v>60090</v>
      </c>
      <c r="AS5" s="44"/>
      <c r="AT5" s="44"/>
      <c r="AU5" s="44"/>
      <c r="AV5" s="44"/>
      <c r="AW5" s="44"/>
      <c r="AX5" s="44">
        <f t="shared" ref="AX5:AX67" si="4">SUM(AQ5:AW5)</f>
        <v>60140</v>
      </c>
      <c r="AY5" s="44">
        <f t="shared" ref="AY5:AY67" si="5">+S5+AA5+AI5+AQ5</f>
        <v>130</v>
      </c>
      <c r="AZ5" s="44">
        <f t="shared" ref="AZ5:AZ67" si="6">+T5+AB5+AJ5+AR5</f>
        <v>222637</v>
      </c>
      <c r="BA5" s="44">
        <f t="shared" ref="BA5:BA67" si="7">+U5+AC5+AK5+AS5</f>
        <v>0</v>
      </c>
      <c r="BB5" s="44">
        <f t="shared" ref="BB5:BB67" si="8">+V5+AD5+AL5+AT5</f>
        <v>0</v>
      </c>
      <c r="BC5" s="44">
        <f t="shared" ref="BC5:BC67" si="9">+W5+AE5+AM5+AU5</f>
        <v>0</v>
      </c>
      <c r="BD5" s="44">
        <f t="shared" ref="BD5:BD67" si="10">+X5+AF5+AN5+AV5</f>
        <v>0</v>
      </c>
      <c r="BE5" s="44">
        <f t="shared" ref="BE5:BE67" si="11">+Y5+AG5+AO5+AW5</f>
        <v>0</v>
      </c>
      <c r="BF5" s="83">
        <f t="shared" ref="BF5:BF67" si="12">+AY5+AZ5+BA5+BB5+BC5+BD5+BE5:BE6</f>
        <v>222767</v>
      </c>
      <c r="BG5" s="47"/>
      <c r="BH5" s="47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</row>
    <row r="6" spans="1:73" s="91" customFormat="1" ht="27" x14ac:dyDescent="0.25">
      <c r="A6" s="707"/>
      <c r="B6" s="627"/>
      <c r="C6" s="627"/>
      <c r="D6" s="627"/>
      <c r="E6" s="603"/>
      <c r="F6" s="612"/>
      <c r="G6" s="612"/>
      <c r="H6" s="603" t="s">
        <v>789</v>
      </c>
      <c r="I6" s="603" t="s">
        <v>737</v>
      </c>
      <c r="J6" s="603" t="s">
        <v>561</v>
      </c>
      <c r="K6" s="603" t="s">
        <v>562</v>
      </c>
      <c r="L6" s="379" t="s">
        <v>563</v>
      </c>
      <c r="M6" s="46" t="s">
        <v>564</v>
      </c>
      <c r="N6" s="44">
        <v>28725</v>
      </c>
      <c r="O6" s="17">
        <f>40725-2000</f>
        <v>38725</v>
      </c>
      <c r="P6" s="17">
        <f>+O6-3000</f>
        <v>35725</v>
      </c>
      <c r="Q6" s="17">
        <f>+P6-3500</f>
        <v>32225</v>
      </c>
      <c r="R6" s="39">
        <f>+Q6-3500</f>
        <v>28725</v>
      </c>
      <c r="S6" s="721"/>
      <c r="T6" s="623"/>
      <c r="U6" s="623"/>
      <c r="V6" s="623"/>
      <c r="W6" s="623"/>
      <c r="X6" s="623"/>
      <c r="Y6" s="623">
        <f>16*2000</f>
        <v>32000</v>
      </c>
      <c r="Z6" s="623">
        <f t="shared" si="1"/>
        <v>32000</v>
      </c>
      <c r="AA6" s="623"/>
      <c r="AB6" s="623"/>
      <c r="AC6" s="623"/>
      <c r="AD6" s="623"/>
      <c r="AE6" s="623"/>
      <c r="AF6" s="623"/>
      <c r="AG6" s="623">
        <f>16*3000</f>
        <v>48000</v>
      </c>
      <c r="AH6" s="623">
        <f t="shared" si="2"/>
        <v>48000</v>
      </c>
      <c r="AI6" s="623"/>
      <c r="AJ6" s="623"/>
      <c r="AK6" s="623"/>
      <c r="AL6" s="623"/>
      <c r="AM6" s="623"/>
      <c r="AN6" s="623"/>
      <c r="AO6" s="623">
        <f>16*3500</f>
        <v>56000</v>
      </c>
      <c r="AP6" s="623">
        <f t="shared" si="3"/>
        <v>56000</v>
      </c>
      <c r="AQ6" s="623"/>
      <c r="AR6" s="623"/>
      <c r="AS6" s="623"/>
      <c r="AT6" s="623"/>
      <c r="AU6" s="623"/>
      <c r="AV6" s="623"/>
      <c r="AW6" s="623">
        <f>16*3500</f>
        <v>56000</v>
      </c>
      <c r="AX6" s="623">
        <f t="shared" si="4"/>
        <v>56000</v>
      </c>
      <c r="AY6" s="623">
        <f t="shared" si="5"/>
        <v>0</v>
      </c>
      <c r="AZ6" s="623">
        <f t="shared" si="6"/>
        <v>0</v>
      </c>
      <c r="BA6" s="623">
        <f t="shared" si="7"/>
        <v>0</v>
      </c>
      <c r="BB6" s="623">
        <f t="shared" si="8"/>
        <v>0</v>
      </c>
      <c r="BC6" s="623">
        <f t="shared" si="9"/>
        <v>0</v>
      </c>
      <c r="BD6" s="623">
        <f t="shared" si="10"/>
        <v>0</v>
      </c>
      <c r="BE6" s="623">
        <f t="shared" si="11"/>
        <v>192000</v>
      </c>
      <c r="BF6" s="722">
        <f t="shared" si="12"/>
        <v>192000</v>
      </c>
      <c r="BG6" s="47"/>
      <c r="BH6" s="47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</row>
    <row r="7" spans="1:73" s="91" customFormat="1" ht="40.5" x14ac:dyDescent="0.25">
      <c r="A7" s="707"/>
      <c r="B7" s="627"/>
      <c r="C7" s="627"/>
      <c r="D7" s="627"/>
      <c r="E7" s="603"/>
      <c r="F7" s="612"/>
      <c r="G7" s="612"/>
      <c r="H7" s="603"/>
      <c r="I7" s="603"/>
      <c r="J7" s="603"/>
      <c r="K7" s="603"/>
      <c r="L7" s="379" t="s">
        <v>1100</v>
      </c>
      <c r="M7" s="46"/>
      <c r="N7" s="44">
        <v>12000</v>
      </c>
      <c r="O7" s="17">
        <v>2000</v>
      </c>
      <c r="P7" s="17">
        <v>5000</v>
      </c>
      <c r="Q7" s="17">
        <v>8500</v>
      </c>
      <c r="R7" s="39">
        <v>12000</v>
      </c>
      <c r="S7" s="721"/>
      <c r="T7" s="623"/>
      <c r="U7" s="623"/>
      <c r="V7" s="623"/>
      <c r="W7" s="623"/>
      <c r="X7" s="623"/>
      <c r="Y7" s="623"/>
      <c r="Z7" s="623"/>
      <c r="AA7" s="623"/>
      <c r="AB7" s="623"/>
      <c r="AC7" s="623"/>
      <c r="AD7" s="623"/>
      <c r="AE7" s="623"/>
      <c r="AF7" s="623"/>
      <c r="AG7" s="623"/>
      <c r="AH7" s="623"/>
      <c r="AI7" s="623"/>
      <c r="AJ7" s="623"/>
      <c r="AK7" s="623"/>
      <c r="AL7" s="623"/>
      <c r="AM7" s="623"/>
      <c r="AN7" s="623"/>
      <c r="AO7" s="623"/>
      <c r="AP7" s="623"/>
      <c r="AQ7" s="623"/>
      <c r="AR7" s="623"/>
      <c r="AS7" s="623"/>
      <c r="AT7" s="623"/>
      <c r="AU7" s="623"/>
      <c r="AV7" s="623"/>
      <c r="AW7" s="623"/>
      <c r="AX7" s="623"/>
      <c r="AY7" s="623"/>
      <c r="AZ7" s="623"/>
      <c r="BA7" s="623"/>
      <c r="BB7" s="623"/>
      <c r="BC7" s="623"/>
      <c r="BD7" s="623"/>
      <c r="BE7" s="623"/>
      <c r="BF7" s="722"/>
      <c r="BG7" s="47"/>
      <c r="BH7" s="47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</row>
    <row r="8" spans="1:73" s="91" customFormat="1" ht="54" x14ac:dyDescent="0.25">
      <c r="A8" s="707"/>
      <c r="B8" s="627"/>
      <c r="C8" s="627"/>
      <c r="D8" s="627"/>
      <c r="E8" s="603"/>
      <c r="F8" s="612"/>
      <c r="G8" s="612"/>
      <c r="H8" s="603"/>
      <c r="I8" s="603"/>
      <c r="J8" s="603" t="s">
        <v>565</v>
      </c>
      <c r="K8" s="355" t="s">
        <v>566</v>
      </c>
      <c r="L8" s="379" t="s">
        <v>1101</v>
      </c>
      <c r="M8" s="46">
        <v>2868</v>
      </c>
      <c r="N8" s="44">
        <v>4032</v>
      </c>
      <c r="O8" s="49">
        <f>+M8+291</f>
        <v>3159</v>
      </c>
      <c r="P8" s="49">
        <f>+O8+291</f>
        <v>3450</v>
      </c>
      <c r="Q8" s="49">
        <f>+P8+291</f>
        <v>3741</v>
      </c>
      <c r="R8" s="198">
        <v>4032</v>
      </c>
      <c r="S8" s="185"/>
      <c r="T8" s="44"/>
      <c r="U8" s="44"/>
      <c r="V8" s="44"/>
      <c r="W8" s="44"/>
      <c r="X8" s="44"/>
      <c r="Y8" s="44">
        <v>129</v>
      </c>
      <c r="Z8" s="44">
        <f t="shared" si="1"/>
        <v>129</v>
      </c>
      <c r="AA8" s="44"/>
      <c r="AB8" s="44"/>
      <c r="AC8" s="44"/>
      <c r="AD8" s="44"/>
      <c r="AE8" s="44"/>
      <c r="AF8" s="44"/>
      <c r="AG8" s="44">
        <v>129</v>
      </c>
      <c r="AH8" s="44">
        <f t="shared" si="2"/>
        <v>129</v>
      </c>
      <c r="AI8" s="44"/>
      <c r="AJ8" s="44"/>
      <c r="AK8" s="44"/>
      <c r="AL8" s="44"/>
      <c r="AM8" s="44"/>
      <c r="AN8" s="44"/>
      <c r="AO8" s="44">
        <v>129</v>
      </c>
      <c r="AP8" s="44">
        <f t="shared" si="3"/>
        <v>129</v>
      </c>
      <c r="AQ8" s="44"/>
      <c r="AR8" s="44"/>
      <c r="AS8" s="44"/>
      <c r="AT8" s="44"/>
      <c r="AU8" s="44"/>
      <c r="AV8" s="44"/>
      <c r="AW8" s="44">
        <v>129</v>
      </c>
      <c r="AX8" s="44">
        <f t="shared" si="4"/>
        <v>129</v>
      </c>
      <c r="AY8" s="44">
        <f t="shared" si="5"/>
        <v>0</v>
      </c>
      <c r="AZ8" s="44">
        <f t="shared" si="6"/>
        <v>0</v>
      </c>
      <c r="BA8" s="44">
        <f t="shared" si="7"/>
        <v>0</v>
      </c>
      <c r="BB8" s="44">
        <f t="shared" si="8"/>
        <v>0</v>
      </c>
      <c r="BC8" s="44">
        <f t="shared" si="9"/>
        <v>0</v>
      </c>
      <c r="BD8" s="44">
        <f t="shared" si="10"/>
        <v>0</v>
      </c>
      <c r="BE8" s="44">
        <f t="shared" si="11"/>
        <v>516</v>
      </c>
      <c r="BF8" s="83">
        <f t="shared" si="12"/>
        <v>516</v>
      </c>
      <c r="BG8" s="47"/>
      <c r="BH8" s="47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</row>
    <row r="9" spans="1:73" s="91" customFormat="1" ht="40.5" x14ac:dyDescent="0.25">
      <c r="A9" s="707"/>
      <c r="B9" s="627"/>
      <c r="C9" s="627"/>
      <c r="D9" s="627"/>
      <c r="E9" s="603"/>
      <c r="F9" s="612"/>
      <c r="G9" s="612"/>
      <c r="H9" s="603"/>
      <c r="I9" s="603"/>
      <c r="J9" s="603"/>
      <c r="K9" s="355" t="s">
        <v>1102</v>
      </c>
      <c r="L9" s="379" t="s">
        <v>1103</v>
      </c>
      <c r="M9" s="46" t="s">
        <v>568</v>
      </c>
      <c r="N9" s="409">
        <v>1</v>
      </c>
      <c r="O9" s="46">
        <v>1</v>
      </c>
      <c r="P9" s="46">
        <v>1</v>
      </c>
      <c r="Q9" s="46">
        <v>1</v>
      </c>
      <c r="R9" s="198">
        <v>1</v>
      </c>
      <c r="S9" s="185"/>
      <c r="T9" s="44"/>
      <c r="U9" s="44"/>
      <c r="V9" s="44"/>
      <c r="W9" s="44"/>
      <c r="X9" s="44"/>
      <c r="Y9" s="44"/>
      <c r="Z9" s="44">
        <f t="shared" si="1"/>
        <v>0</v>
      </c>
      <c r="AA9" s="44"/>
      <c r="AB9" s="44"/>
      <c r="AC9" s="44"/>
      <c r="AD9" s="44"/>
      <c r="AE9" s="44"/>
      <c r="AF9" s="44"/>
      <c r="AG9" s="44"/>
      <c r="AH9" s="44">
        <f t="shared" si="2"/>
        <v>0</v>
      </c>
      <c r="AI9" s="44"/>
      <c r="AJ9" s="44"/>
      <c r="AK9" s="44"/>
      <c r="AL9" s="44"/>
      <c r="AM9" s="44"/>
      <c r="AN9" s="44"/>
      <c r="AO9" s="44"/>
      <c r="AP9" s="44">
        <f t="shared" si="3"/>
        <v>0</v>
      </c>
      <c r="AQ9" s="44"/>
      <c r="AR9" s="44"/>
      <c r="AS9" s="44"/>
      <c r="AT9" s="44"/>
      <c r="AU9" s="44"/>
      <c r="AV9" s="44"/>
      <c r="AW9" s="44"/>
      <c r="AX9" s="44">
        <f t="shared" si="4"/>
        <v>0</v>
      </c>
      <c r="AY9" s="44">
        <f t="shared" si="5"/>
        <v>0</v>
      </c>
      <c r="AZ9" s="44">
        <f t="shared" si="6"/>
        <v>0</v>
      </c>
      <c r="BA9" s="44">
        <f t="shared" si="7"/>
        <v>0</v>
      </c>
      <c r="BB9" s="44">
        <f t="shared" si="8"/>
        <v>0</v>
      </c>
      <c r="BC9" s="44">
        <f t="shared" si="9"/>
        <v>0</v>
      </c>
      <c r="BD9" s="44">
        <f t="shared" si="10"/>
        <v>0</v>
      </c>
      <c r="BE9" s="44">
        <f t="shared" si="11"/>
        <v>0</v>
      </c>
      <c r="BF9" s="83">
        <f t="shared" si="12"/>
        <v>0</v>
      </c>
      <c r="BG9" s="47"/>
      <c r="BH9" s="47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</row>
    <row r="10" spans="1:73" s="91" customFormat="1" ht="54" x14ac:dyDescent="0.25">
      <c r="A10" s="707"/>
      <c r="B10" s="627"/>
      <c r="C10" s="627"/>
      <c r="D10" s="627"/>
      <c r="E10" s="603"/>
      <c r="F10" s="612"/>
      <c r="G10" s="612"/>
      <c r="H10" s="603"/>
      <c r="I10" s="603"/>
      <c r="J10" s="355" t="s">
        <v>569</v>
      </c>
      <c r="K10" s="355" t="s">
        <v>570</v>
      </c>
      <c r="L10" s="379" t="s">
        <v>1104</v>
      </c>
      <c r="M10" s="46" t="s">
        <v>571</v>
      </c>
      <c r="N10" s="44">
        <v>2089</v>
      </c>
      <c r="O10" s="46">
        <v>522</v>
      </c>
      <c r="P10" s="46">
        <f>+O10+522</f>
        <v>1044</v>
      </c>
      <c r="Q10" s="46">
        <f>+P10+522</f>
        <v>1566</v>
      </c>
      <c r="R10" s="198">
        <v>2089</v>
      </c>
      <c r="S10" s="185"/>
      <c r="T10" s="44"/>
      <c r="U10" s="44"/>
      <c r="V10" s="44"/>
      <c r="W10" s="44"/>
      <c r="X10" s="44"/>
      <c r="Y10" s="44">
        <f>24*522</f>
        <v>12528</v>
      </c>
      <c r="Z10" s="44">
        <f t="shared" si="1"/>
        <v>12528</v>
      </c>
      <c r="AA10" s="44"/>
      <c r="AB10" s="44"/>
      <c r="AC10" s="44"/>
      <c r="AD10" s="44"/>
      <c r="AE10" s="44"/>
      <c r="AF10" s="44"/>
      <c r="AG10" s="44">
        <f>522*24</f>
        <v>12528</v>
      </c>
      <c r="AH10" s="44">
        <f t="shared" si="2"/>
        <v>12528</v>
      </c>
      <c r="AI10" s="44"/>
      <c r="AJ10" s="44"/>
      <c r="AK10" s="44"/>
      <c r="AL10" s="44"/>
      <c r="AM10" s="44"/>
      <c r="AN10" s="44"/>
      <c r="AO10" s="44">
        <v>12528</v>
      </c>
      <c r="AP10" s="44">
        <f t="shared" si="3"/>
        <v>12528</v>
      </c>
      <c r="AQ10" s="44"/>
      <c r="AR10" s="44"/>
      <c r="AS10" s="44"/>
      <c r="AT10" s="44"/>
      <c r="AU10" s="44"/>
      <c r="AV10" s="44"/>
      <c r="AW10" s="44">
        <v>12528</v>
      </c>
      <c r="AX10" s="44">
        <f t="shared" si="4"/>
        <v>12528</v>
      </c>
      <c r="AY10" s="44">
        <f t="shared" si="5"/>
        <v>0</v>
      </c>
      <c r="AZ10" s="44">
        <f t="shared" si="6"/>
        <v>0</v>
      </c>
      <c r="BA10" s="44">
        <f t="shared" si="7"/>
        <v>0</v>
      </c>
      <c r="BB10" s="44">
        <f t="shared" si="8"/>
        <v>0</v>
      </c>
      <c r="BC10" s="44">
        <f t="shared" si="9"/>
        <v>0</v>
      </c>
      <c r="BD10" s="44">
        <f t="shared" si="10"/>
        <v>0</v>
      </c>
      <c r="BE10" s="44">
        <f t="shared" si="11"/>
        <v>50112</v>
      </c>
      <c r="BF10" s="83">
        <f t="shared" si="12"/>
        <v>50112</v>
      </c>
      <c r="BG10" s="47"/>
      <c r="BH10" s="47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</row>
    <row r="11" spans="1:73" s="91" customFormat="1" ht="27" customHeight="1" x14ac:dyDescent="0.25">
      <c r="A11" s="707"/>
      <c r="B11" s="627"/>
      <c r="C11" s="627"/>
      <c r="D11" s="627"/>
      <c r="E11" s="603"/>
      <c r="F11" s="612"/>
      <c r="G11" s="612"/>
      <c r="H11" s="616" t="s">
        <v>790</v>
      </c>
      <c r="I11" s="652" t="s">
        <v>738</v>
      </c>
      <c r="J11" s="603" t="s">
        <v>1374</v>
      </c>
      <c r="K11" s="355" t="s">
        <v>442</v>
      </c>
      <c r="L11" s="379" t="s">
        <v>443</v>
      </c>
      <c r="M11" s="48">
        <v>0.78</v>
      </c>
      <c r="N11" s="48">
        <v>0.84</v>
      </c>
      <c r="O11" s="48">
        <v>0.84</v>
      </c>
      <c r="P11" s="46"/>
      <c r="Q11" s="46"/>
      <c r="R11" s="198"/>
      <c r="S11" s="185"/>
      <c r="T11" s="44">
        <v>19</v>
      </c>
      <c r="U11" s="44"/>
      <c r="V11" s="44">
        <v>34</v>
      </c>
      <c r="W11" s="44"/>
      <c r="X11" s="44"/>
      <c r="Y11" s="44"/>
      <c r="Z11" s="44">
        <f t="shared" si="1"/>
        <v>53</v>
      </c>
      <c r="AA11" s="44"/>
      <c r="AB11" s="44"/>
      <c r="AC11" s="44"/>
      <c r="AD11" s="44"/>
      <c r="AE11" s="44"/>
      <c r="AF11" s="44"/>
      <c r="AG11" s="44"/>
      <c r="AH11" s="44">
        <f t="shared" si="2"/>
        <v>0</v>
      </c>
      <c r="AI11" s="44"/>
      <c r="AJ11" s="44"/>
      <c r="AK11" s="44"/>
      <c r="AL11" s="44"/>
      <c r="AM11" s="44"/>
      <c r="AN11" s="44"/>
      <c r="AO11" s="44"/>
      <c r="AP11" s="44">
        <f t="shared" si="3"/>
        <v>0</v>
      </c>
      <c r="AQ11" s="44"/>
      <c r="AR11" s="44"/>
      <c r="AS11" s="44"/>
      <c r="AT11" s="44"/>
      <c r="AU11" s="44"/>
      <c r="AV11" s="44"/>
      <c r="AW11" s="44"/>
      <c r="AX11" s="44">
        <f t="shared" si="4"/>
        <v>0</v>
      </c>
      <c r="AY11" s="44">
        <f t="shared" si="5"/>
        <v>0</v>
      </c>
      <c r="AZ11" s="44">
        <f t="shared" si="6"/>
        <v>19</v>
      </c>
      <c r="BA11" s="44">
        <f t="shared" si="7"/>
        <v>0</v>
      </c>
      <c r="BB11" s="44">
        <f t="shared" si="8"/>
        <v>34</v>
      </c>
      <c r="BC11" s="44">
        <f t="shared" si="9"/>
        <v>0</v>
      </c>
      <c r="BD11" s="44">
        <f t="shared" si="10"/>
        <v>0</v>
      </c>
      <c r="BE11" s="44">
        <f t="shared" si="11"/>
        <v>0</v>
      </c>
      <c r="BF11" s="83">
        <f t="shared" si="12"/>
        <v>53</v>
      </c>
      <c r="BG11" s="47"/>
      <c r="BH11" s="47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</row>
    <row r="12" spans="1:73" s="91" customFormat="1" ht="27" x14ac:dyDescent="0.25">
      <c r="A12" s="707"/>
      <c r="B12" s="627"/>
      <c r="C12" s="627"/>
      <c r="D12" s="627"/>
      <c r="E12" s="603"/>
      <c r="F12" s="612"/>
      <c r="G12" s="612"/>
      <c r="H12" s="617"/>
      <c r="I12" s="601"/>
      <c r="J12" s="603"/>
      <c r="K12" s="355" t="s">
        <v>444</v>
      </c>
      <c r="L12" s="379" t="s">
        <v>443</v>
      </c>
      <c r="M12" s="48">
        <v>0.9</v>
      </c>
      <c r="N12" s="48">
        <v>0.95</v>
      </c>
      <c r="O12" s="48">
        <v>0.95</v>
      </c>
      <c r="P12" s="46"/>
      <c r="Q12" s="46"/>
      <c r="R12" s="198"/>
      <c r="S12" s="185"/>
      <c r="T12" s="44">
        <v>1398.7</v>
      </c>
      <c r="U12" s="44"/>
      <c r="V12" s="44">
        <v>8091.7</v>
      </c>
      <c r="W12" s="44"/>
      <c r="X12" s="44"/>
      <c r="Y12" s="44"/>
      <c r="Z12" s="44">
        <f t="shared" si="1"/>
        <v>9490.4</v>
      </c>
      <c r="AA12" s="44"/>
      <c r="AB12" s="44"/>
      <c r="AC12" s="44"/>
      <c r="AD12" s="44"/>
      <c r="AE12" s="44"/>
      <c r="AF12" s="44"/>
      <c r="AG12" s="44"/>
      <c r="AH12" s="44">
        <f t="shared" si="2"/>
        <v>0</v>
      </c>
      <c r="AI12" s="44"/>
      <c r="AJ12" s="44"/>
      <c r="AK12" s="44"/>
      <c r="AL12" s="44"/>
      <c r="AM12" s="44"/>
      <c r="AN12" s="44"/>
      <c r="AO12" s="44"/>
      <c r="AP12" s="44">
        <f t="shared" si="3"/>
        <v>0</v>
      </c>
      <c r="AQ12" s="44"/>
      <c r="AR12" s="44"/>
      <c r="AS12" s="44"/>
      <c r="AT12" s="44"/>
      <c r="AU12" s="44"/>
      <c r="AV12" s="44"/>
      <c r="AW12" s="44"/>
      <c r="AX12" s="44">
        <f t="shared" si="4"/>
        <v>0</v>
      </c>
      <c r="AY12" s="44">
        <f t="shared" si="5"/>
        <v>0</v>
      </c>
      <c r="AZ12" s="44">
        <f t="shared" si="6"/>
        <v>1398.7</v>
      </c>
      <c r="BA12" s="44">
        <f t="shared" si="7"/>
        <v>0</v>
      </c>
      <c r="BB12" s="44">
        <f t="shared" si="8"/>
        <v>8091.7</v>
      </c>
      <c r="BC12" s="44">
        <f t="shared" si="9"/>
        <v>0</v>
      </c>
      <c r="BD12" s="44">
        <f t="shared" si="10"/>
        <v>0</v>
      </c>
      <c r="BE12" s="44">
        <f t="shared" si="11"/>
        <v>0</v>
      </c>
      <c r="BF12" s="83">
        <f t="shared" si="12"/>
        <v>9490.4</v>
      </c>
      <c r="BG12" s="47"/>
      <c r="BH12" s="47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</row>
    <row r="13" spans="1:73" s="91" customFormat="1" ht="40.5" x14ac:dyDescent="0.25">
      <c r="A13" s="707"/>
      <c r="B13" s="627"/>
      <c r="C13" s="627"/>
      <c r="D13" s="627"/>
      <c r="E13" s="603"/>
      <c r="F13" s="612"/>
      <c r="G13" s="612"/>
      <c r="H13" s="617"/>
      <c r="I13" s="601"/>
      <c r="J13" s="603"/>
      <c r="K13" s="355" t="s">
        <v>445</v>
      </c>
      <c r="L13" s="379" t="s">
        <v>443</v>
      </c>
      <c r="M13" s="48">
        <v>0.8</v>
      </c>
      <c r="N13" s="48">
        <v>0.95</v>
      </c>
      <c r="O13" s="48">
        <v>0.95</v>
      </c>
      <c r="P13" s="46"/>
      <c r="Q13" s="46"/>
      <c r="R13" s="198"/>
      <c r="S13" s="185"/>
      <c r="T13" s="44">
        <v>949</v>
      </c>
      <c r="U13" s="44"/>
      <c r="V13" s="44">
        <v>1909.6</v>
      </c>
      <c r="W13" s="44"/>
      <c r="X13" s="44"/>
      <c r="Y13" s="44"/>
      <c r="Z13" s="44">
        <f t="shared" si="1"/>
        <v>2858.6</v>
      </c>
      <c r="AA13" s="44"/>
      <c r="AB13" s="44"/>
      <c r="AC13" s="44"/>
      <c r="AD13" s="44"/>
      <c r="AE13" s="44"/>
      <c r="AF13" s="44"/>
      <c r="AG13" s="44"/>
      <c r="AH13" s="44">
        <f t="shared" si="2"/>
        <v>0</v>
      </c>
      <c r="AI13" s="44"/>
      <c r="AJ13" s="44"/>
      <c r="AK13" s="44"/>
      <c r="AL13" s="44"/>
      <c r="AM13" s="44"/>
      <c r="AN13" s="44"/>
      <c r="AO13" s="44"/>
      <c r="AP13" s="44">
        <f t="shared" si="3"/>
        <v>0</v>
      </c>
      <c r="AQ13" s="44"/>
      <c r="AR13" s="44"/>
      <c r="AS13" s="44"/>
      <c r="AT13" s="44"/>
      <c r="AU13" s="44"/>
      <c r="AV13" s="44"/>
      <c r="AW13" s="44"/>
      <c r="AX13" s="44">
        <f t="shared" si="4"/>
        <v>0</v>
      </c>
      <c r="AY13" s="44">
        <f t="shared" si="5"/>
        <v>0</v>
      </c>
      <c r="AZ13" s="44">
        <f t="shared" si="6"/>
        <v>949</v>
      </c>
      <c r="BA13" s="44">
        <f t="shared" si="7"/>
        <v>0</v>
      </c>
      <c r="BB13" s="44">
        <f t="shared" si="8"/>
        <v>1909.6</v>
      </c>
      <c r="BC13" s="44">
        <f t="shared" si="9"/>
        <v>0</v>
      </c>
      <c r="BD13" s="44">
        <f t="shared" si="10"/>
        <v>0</v>
      </c>
      <c r="BE13" s="44">
        <f t="shared" si="11"/>
        <v>0</v>
      </c>
      <c r="BF13" s="83">
        <f t="shared" si="12"/>
        <v>2858.6</v>
      </c>
      <c r="BG13" s="47"/>
      <c r="BH13" s="47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</row>
    <row r="14" spans="1:73" s="91" customFormat="1" ht="40.5" x14ac:dyDescent="0.25">
      <c r="A14" s="707"/>
      <c r="B14" s="627"/>
      <c r="C14" s="627"/>
      <c r="D14" s="627"/>
      <c r="E14" s="603"/>
      <c r="F14" s="612"/>
      <c r="G14" s="612"/>
      <c r="H14" s="617"/>
      <c r="I14" s="601"/>
      <c r="J14" s="603"/>
      <c r="K14" s="355" t="s">
        <v>469</v>
      </c>
      <c r="L14" s="379" t="s">
        <v>443</v>
      </c>
      <c r="M14" s="48">
        <v>0.95</v>
      </c>
      <c r="N14" s="48">
        <v>0.95</v>
      </c>
      <c r="O14" s="48">
        <v>0.95</v>
      </c>
      <c r="P14" s="46"/>
      <c r="Q14" s="46"/>
      <c r="R14" s="198"/>
      <c r="S14" s="185"/>
      <c r="T14" s="44">
        <v>379</v>
      </c>
      <c r="U14" s="44"/>
      <c r="V14" s="44">
        <v>1294.8</v>
      </c>
      <c r="W14" s="44"/>
      <c r="X14" s="44"/>
      <c r="Y14" s="44"/>
      <c r="Z14" s="44">
        <f t="shared" si="1"/>
        <v>1673.8</v>
      </c>
      <c r="AA14" s="44"/>
      <c r="AB14" s="44"/>
      <c r="AC14" s="44"/>
      <c r="AD14" s="44"/>
      <c r="AE14" s="44"/>
      <c r="AF14" s="44"/>
      <c r="AG14" s="44"/>
      <c r="AH14" s="44">
        <f t="shared" si="2"/>
        <v>0</v>
      </c>
      <c r="AI14" s="44"/>
      <c r="AJ14" s="44"/>
      <c r="AK14" s="44"/>
      <c r="AL14" s="44"/>
      <c r="AM14" s="44"/>
      <c r="AN14" s="44"/>
      <c r="AO14" s="44"/>
      <c r="AP14" s="44">
        <f t="shared" si="3"/>
        <v>0</v>
      </c>
      <c r="AQ14" s="44"/>
      <c r="AR14" s="44"/>
      <c r="AS14" s="44"/>
      <c r="AT14" s="44"/>
      <c r="AU14" s="44"/>
      <c r="AV14" s="44"/>
      <c r="AW14" s="44"/>
      <c r="AX14" s="44">
        <f t="shared" si="4"/>
        <v>0</v>
      </c>
      <c r="AY14" s="44">
        <f t="shared" si="5"/>
        <v>0</v>
      </c>
      <c r="AZ14" s="44">
        <f t="shared" si="6"/>
        <v>379</v>
      </c>
      <c r="BA14" s="44">
        <f t="shared" si="7"/>
        <v>0</v>
      </c>
      <c r="BB14" s="44">
        <f t="shared" si="8"/>
        <v>1294.8</v>
      </c>
      <c r="BC14" s="44">
        <f t="shared" si="9"/>
        <v>0</v>
      </c>
      <c r="BD14" s="44">
        <f t="shared" si="10"/>
        <v>0</v>
      </c>
      <c r="BE14" s="44">
        <f t="shared" si="11"/>
        <v>0</v>
      </c>
      <c r="BF14" s="83">
        <f t="shared" si="12"/>
        <v>1673.8</v>
      </c>
      <c r="BG14" s="47"/>
      <c r="BH14" s="47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</row>
    <row r="15" spans="1:73" s="91" customFormat="1" ht="40.5" x14ac:dyDescent="0.25">
      <c r="A15" s="707"/>
      <c r="B15" s="627"/>
      <c r="C15" s="627"/>
      <c r="D15" s="627"/>
      <c r="E15" s="603"/>
      <c r="F15" s="612"/>
      <c r="G15" s="612"/>
      <c r="H15" s="617"/>
      <c r="I15" s="601"/>
      <c r="J15" s="603"/>
      <c r="K15" s="355" t="s">
        <v>446</v>
      </c>
      <c r="L15" s="379" t="s">
        <v>443</v>
      </c>
      <c r="M15" s="48">
        <v>0.53</v>
      </c>
      <c r="N15" s="48">
        <v>0.95</v>
      </c>
      <c r="O15" s="48">
        <v>0.95</v>
      </c>
      <c r="P15" s="46"/>
      <c r="Q15" s="46"/>
      <c r="R15" s="198"/>
      <c r="S15" s="185"/>
      <c r="T15" s="44">
        <v>761</v>
      </c>
      <c r="U15" s="44"/>
      <c r="V15" s="44">
        <v>2998.6</v>
      </c>
      <c r="W15" s="44"/>
      <c r="X15" s="44"/>
      <c r="Y15" s="44">
        <v>1083</v>
      </c>
      <c r="Z15" s="44">
        <f t="shared" si="1"/>
        <v>4842.6000000000004</v>
      </c>
      <c r="AA15" s="44"/>
      <c r="AB15" s="44"/>
      <c r="AC15" s="44"/>
      <c r="AD15" s="44"/>
      <c r="AE15" s="44"/>
      <c r="AF15" s="44"/>
      <c r="AG15" s="44"/>
      <c r="AH15" s="44">
        <f t="shared" si="2"/>
        <v>0</v>
      </c>
      <c r="AI15" s="44"/>
      <c r="AJ15" s="44"/>
      <c r="AK15" s="44"/>
      <c r="AL15" s="44"/>
      <c r="AM15" s="44"/>
      <c r="AN15" s="44"/>
      <c r="AO15" s="44"/>
      <c r="AP15" s="44">
        <f t="shared" si="3"/>
        <v>0</v>
      </c>
      <c r="AQ15" s="44"/>
      <c r="AR15" s="44"/>
      <c r="AS15" s="44"/>
      <c r="AT15" s="44"/>
      <c r="AU15" s="44"/>
      <c r="AV15" s="44"/>
      <c r="AW15" s="44"/>
      <c r="AX15" s="44">
        <f t="shared" si="4"/>
        <v>0</v>
      </c>
      <c r="AY15" s="44">
        <f t="shared" si="5"/>
        <v>0</v>
      </c>
      <c r="AZ15" s="44">
        <f t="shared" si="6"/>
        <v>761</v>
      </c>
      <c r="BA15" s="44">
        <f t="shared" si="7"/>
        <v>0</v>
      </c>
      <c r="BB15" s="44">
        <f t="shared" si="8"/>
        <v>2998.6</v>
      </c>
      <c r="BC15" s="44">
        <f t="shared" si="9"/>
        <v>0</v>
      </c>
      <c r="BD15" s="44">
        <f t="shared" si="10"/>
        <v>0</v>
      </c>
      <c r="BE15" s="44">
        <f t="shared" si="11"/>
        <v>1083</v>
      </c>
      <c r="BF15" s="83">
        <f t="shared" si="12"/>
        <v>4842.6000000000004</v>
      </c>
      <c r="BG15" s="47"/>
      <c r="BH15" s="47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</row>
    <row r="16" spans="1:73" s="91" customFormat="1" ht="27" x14ac:dyDescent="0.25">
      <c r="A16" s="707"/>
      <c r="B16" s="627"/>
      <c r="C16" s="627"/>
      <c r="D16" s="627"/>
      <c r="E16" s="603"/>
      <c r="F16" s="612"/>
      <c r="G16" s="612"/>
      <c r="H16" s="617"/>
      <c r="I16" s="601"/>
      <c r="J16" s="603"/>
      <c r="K16" s="355" t="s">
        <v>447</v>
      </c>
      <c r="L16" s="379" t="s">
        <v>443</v>
      </c>
      <c r="M16" s="48">
        <v>0.78</v>
      </c>
      <c r="N16" s="48">
        <v>1</v>
      </c>
      <c r="O16" s="46"/>
      <c r="P16" s="46"/>
      <c r="Q16" s="48">
        <v>1</v>
      </c>
      <c r="R16" s="198"/>
      <c r="S16" s="185"/>
      <c r="T16" s="44"/>
      <c r="U16" s="44"/>
      <c r="V16" s="44"/>
      <c r="W16" s="44"/>
      <c r="X16" s="44"/>
      <c r="Y16" s="44"/>
      <c r="Z16" s="44">
        <f t="shared" si="1"/>
        <v>0</v>
      </c>
      <c r="AA16" s="44"/>
      <c r="AB16" s="44"/>
      <c r="AC16" s="44"/>
      <c r="AD16" s="44"/>
      <c r="AE16" s="44"/>
      <c r="AF16" s="44"/>
      <c r="AG16" s="44"/>
      <c r="AH16" s="44">
        <f t="shared" si="2"/>
        <v>0</v>
      </c>
      <c r="AI16" s="44"/>
      <c r="AJ16" s="44">
        <v>448.9</v>
      </c>
      <c r="AK16" s="44"/>
      <c r="AL16" s="44"/>
      <c r="AM16" s="44"/>
      <c r="AN16" s="44"/>
      <c r="AO16" s="44"/>
      <c r="AP16" s="44">
        <f t="shared" si="3"/>
        <v>448.9</v>
      </c>
      <c r="AQ16" s="44"/>
      <c r="AR16" s="44"/>
      <c r="AS16" s="44"/>
      <c r="AT16" s="44"/>
      <c r="AU16" s="44"/>
      <c r="AV16" s="44"/>
      <c r="AW16" s="44"/>
      <c r="AX16" s="44">
        <f t="shared" si="4"/>
        <v>0</v>
      </c>
      <c r="AY16" s="44">
        <f t="shared" si="5"/>
        <v>0</v>
      </c>
      <c r="AZ16" s="44">
        <f t="shared" si="6"/>
        <v>448.9</v>
      </c>
      <c r="BA16" s="44">
        <f t="shared" si="7"/>
        <v>0</v>
      </c>
      <c r="BB16" s="44">
        <f t="shared" si="8"/>
        <v>0</v>
      </c>
      <c r="BC16" s="44">
        <f t="shared" si="9"/>
        <v>0</v>
      </c>
      <c r="BD16" s="44">
        <f t="shared" si="10"/>
        <v>0</v>
      </c>
      <c r="BE16" s="44">
        <f t="shared" si="11"/>
        <v>0</v>
      </c>
      <c r="BF16" s="83">
        <f t="shared" si="12"/>
        <v>448.9</v>
      </c>
      <c r="BG16" s="47"/>
      <c r="BH16" s="47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</row>
    <row r="17" spans="1:73" s="91" customFormat="1" ht="27" x14ac:dyDescent="0.25">
      <c r="A17" s="707"/>
      <c r="B17" s="627"/>
      <c r="C17" s="627"/>
      <c r="D17" s="627"/>
      <c r="E17" s="603"/>
      <c r="F17" s="612"/>
      <c r="G17" s="612"/>
      <c r="H17" s="617"/>
      <c r="I17" s="601"/>
      <c r="J17" s="603"/>
      <c r="K17" s="355" t="s">
        <v>448</v>
      </c>
      <c r="L17" s="379" t="s">
        <v>443</v>
      </c>
      <c r="M17" s="48">
        <v>0.86</v>
      </c>
      <c r="N17" s="48">
        <v>0.95</v>
      </c>
      <c r="O17" s="48">
        <v>0.95</v>
      </c>
      <c r="P17" s="46"/>
      <c r="Q17" s="46"/>
      <c r="R17" s="198"/>
      <c r="S17" s="185"/>
      <c r="T17" s="44">
        <v>865</v>
      </c>
      <c r="U17" s="44"/>
      <c r="V17" s="44">
        <v>5682.7</v>
      </c>
      <c r="W17" s="44"/>
      <c r="X17" s="44"/>
      <c r="Y17" s="44"/>
      <c r="Z17" s="44">
        <f t="shared" si="1"/>
        <v>6547.7</v>
      </c>
      <c r="AA17" s="44"/>
      <c r="AB17" s="44"/>
      <c r="AC17" s="44"/>
      <c r="AD17" s="44"/>
      <c r="AE17" s="44"/>
      <c r="AF17" s="44"/>
      <c r="AG17" s="44"/>
      <c r="AH17" s="44">
        <f t="shared" si="2"/>
        <v>0</v>
      </c>
      <c r="AI17" s="44"/>
      <c r="AJ17" s="44"/>
      <c r="AK17" s="44"/>
      <c r="AL17" s="44"/>
      <c r="AM17" s="44"/>
      <c r="AN17" s="44"/>
      <c r="AO17" s="44"/>
      <c r="AP17" s="44">
        <f t="shared" si="3"/>
        <v>0</v>
      </c>
      <c r="AQ17" s="44"/>
      <c r="AR17" s="44"/>
      <c r="AS17" s="44"/>
      <c r="AT17" s="44"/>
      <c r="AU17" s="44"/>
      <c r="AV17" s="44"/>
      <c r="AW17" s="44"/>
      <c r="AX17" s="44">
        <f t="shared" si="4"/>
        <v>0</v>
      </c>
      <c r="AY17" s="44">
        <f t="shared" si="5"/>
        <v>0</v>
      </c>
      <c r="AZ17" s="44">
        <f t="shared" si="6"/>
        <v>865</v>
      </c>
      <c r="BA17" s="44">
        <f t="shared" si="7"/>
        <v>0</v>
      </c>
      <c r="BB17" s="44">
        <f t="shared" si="8"/>
        <v>5682.7</v>
      </c>
      <c r="BC17" s="44">
        <f t="shared" si="9"/>
        <v>0</v>
      </c>
      <c r="BD17" s="44">
        <f t="shared" si="10"/>
        <v>0</v>
      </c>
      <c r="BE17" s="44">
        <f t="shared" si="11"/>
        <v>0</v>
      </c>
      <c r="BF17" s="83">
        <f t="shared" si="12"/>
        <v>6547.7</v>
      </c>
      <c r="BG17" s="47"/>
      <c r="BH17" s="47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</row>
    <row r="18" spans="1:73" s="91" customFormat="1" ht="27" x14ac:dyDescent="0.25">
      <c r="A18" s="707"/>
      <c r="B18" s="627"/>
      <c r="C18" s="627"/>
      <c r="D18" s="627"/>
      <c r="E18" s="603"/>
      <c r="F18" s="612"/>
      <c r="G18" s="612"/>
      <c r="H18" s="617"/>
      <c r="I18" s="601"/>
      <c r="J18" s="603"/>
      <c r="K18" s="355" t="s">
        <v>449</v>
      </c>
      <c r="L18" s="379" t="s">
        <v>443</v>
      </c>
      <c r="M18" s="48">
        <v>0.85</v>
      </c>
      <c r="N18" s="48">
        <v>0.95</v>
      </c>
      <c r="O18" s="46"/>
      <c r="P18" s="46"/>
      <c r="Q18" s="46"/>
      <c r="R18" s="198"/>
      <c r="S18" s="185"/>
      <c r="T18" s="44">
        <v>261</v>
      </c>
      <c r="U18" s="44"/>
      <c r="V18" s="44">
        <v>850</v>
      </c>
      <c r="W18" s="44"/>
      <c r="X18" s="44"/>
      <c r="Y18" s="44"/>
      <c r="Z18" s="44">
        <f t="shared" si="1"/>
        <v>1111</v>
      </c>
      <c r="AA18" s="44"/>
      <c r="AB18" s="44"/>
      <c r="AC18" s="44"/>
      <c r="AD18" s="44"/>
      <c r="AE18" s="44"/>
      <c r="AF18" s="44"/>
      <c r="AG18" s="44"/>
      <c r="AH18" s="44">
        <f t="shared" si="2"/>
        <v>0</v>
      </c>
      <c r="AI18" s="44"/>
      <c r="AJ18" s="44"/>
      <c r="AK18" s="44"/>
      <c r="AL18" s="44"/>
      <c r="AM18" s="44"/>
      <c r="AN18" s="44"/>
      <c r="AO18" s="44"/>
      <c r="AP18" s="44">
        <f t="shared" si="3"/>
        <v>0</v>
      </c>
      <c r="AQ18" s="44"/>
      <c r="AR18" s="44"/>
      <c r="AS18" s="44"/>
      <c r="AT18" s="44"/>
      <c r="AU18" s="44"/>
      <c r="AV18" s="44"/>
      <c r="AW18" s="44"/>
      <c r="AX18" s="44">
        <f t="shared" si="4"/>
        <v>0</v>
      </c>
      <c r="AY18" s="44">
        <f t="shared" si="5"/>
        <v>0</v>
      </c>
      <c r="AZ18" s="44">
        <f t="shared" si="6"/>
        <v>261</v>
      </c>
      <c r="BA18" s="44">
        <f t="shared" si="7"/>
        <v>0</v>
      </c>
      <c r="BB18" s="44">
        <f t="shared" si="8"/>
        <v>850</v>
      </c>
      <c r="BC18" s="44">
        <f t="shared" si="9"/>
        <v>0</v>
      </c>
      <c r="BD18" s="44">
        <f t="shared" si="10"/>
        <v>0</v>
      </c>
      <c r="BE18" s="44">
        <f t="shared" si="11"/>
        <v>0</v>
      </c>
      <c r="BF18" s="83">
        <f t="shared" si="12"/>
        <v>1111</v>
      </c>
      <c r="BG18" s="47"/>
      <c r="BH18" s="47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</row>
    <row r="19" spans="1:73" s="91" customFormat="1" ht="40.5" x14ac:dyDescent="0.25">
      <c r="A19" s="707"/>
      <c r="B19" s="627"/>
      <c r="C19" s="627"/>
      <c r="D19" s="627"/>
      <c r="E19" s="603"/>
      <c r="F19" s="612"/>
      <c r="G19" s="612"/>
      <c r="H19" s="617"/>
      <c r="I19" s="601"/>
      <c r="J19" s="603"/>
      <c r="K19" s="355" t="s">
        <v>450</v>
      </c>
      <c r="L19" s="379" t="s">
        <v>443</v>
      </c>
      <c r="M19" s="48">
        <v>0.92</v>
      </c>
      <c r="N19" s="48">
        <v>0.92</v>
      </c>
      <c r="O19" s="46"/>
      <c r="P19" s="46"/>
      <c r="Q19" s="48">
        <v>0.92</v>
      </c>
      <c r="R19" s="198"/>
      <c r="S19" s="185"/>
      <c r="T19" s="44"/>
      <c r="U19" s="44"/>
      <c r="V19" s="44"/>
      <c r="W19" s="44"/>
      <c r="X19" s="44"/>
      <c r="Y19" s="44"/>
      <c r="Z19" s="44">
        <f t="shared" si="1"/>
        <v>0</v>
      </c>
      <c r="AA19" s="44"/>
      <c r="AB19" s="44"/>
      <c r="AC19" s="44"/>
      <c r="AD19" s="44"/>
      <c r="AE19" s="44"/>
      <c r="AF19" s="44"/>
      <c r="AG19" s="44"/>
      <c r="AH19" s="44">
        <f t="shared" si="2"/>
        <v>0</v>
      </c>
      <c r="AI19" s="44"/>
      <c r="AJ19" s="44">
        <v>257</v>
      </c>
      <c r="AK19" s="44"/>
      <c r="AL19" s="44"/>
      <c r="AM19" s="44"/>
      <c r="AN19" s="44">
        <v>477.8</v>
      </c>
      <c r="AO19" s="44"/>
      <c r="AP19" s="44">
        <f t="shared" si="3"/>
        <v>734.8</v>
      </c>
      <c r="AQ19" s="44"/>
      <c r="AR19" s="44"/>
      <c r="AS19" s="44"/>
      <c r="AT19" s="44"/>
      <c r="AU19" s="44"/>
      <c r="AV19" s="44"/>
      <c r="AW19" s="44"/>
      <c r="AX19" s="44">
        <f t="shared" si="4"/>
        <v>0</v>
      </c>
      <c r="AY19" s="44">
        <f t="shared" si="5"/>
        <v>0</v>
      </c>
      <c r="AZ19" s="44">
        <f t="shared" si="6"/>
        <v>257</v>
      </c>
      <c r="BA19" s="44">
        <f t="shared" si="7"/>
        <v>0</v>
      </c>
      <c r="BB19" s="44">
        <f t="shared" si="8"/>
        <v>0</v>
      </c>
      <c r="BC19" s="44">
        <f t="shared" si="9"/>
        <v>0</v>
      </c>
      <c r="BD19" s="44">
        <f t="shared" si="10"/>
        <v>477.8</v>
      </c>
      <c r="BE19" s="44">
        <f t="shared" si="11"/>
        <v>0</v>
      </c>
      <c r="BF19" s="83">
        <f t="shared" si="12"/>
        <v>734.8</v>
      </c>
      <c r="BG19" s="47"/>
      <c r="BH19" s="47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</row>
    <row r="20" spans="1:73" s="91" customFormat="1" ht="27" x14ac:dyDescent="0.25">
      <c r="A20" s="707"/>
      <c r="B20" s="627"/>
      <c r="C20" s="627"/>
      <c r="D20" s="627"/>
      <c r="E20" s="603"/>
      <c r="F20" s="612"/>
      <c r="G20" s="612"/>
      <c r="H20" s="617"/>
      <c r="I20" s="601"/>
      <c r="J20" s="603"/>
      <c r="K20" s="355" t="s">
        <v>451</v>
      </c>
      <c r="L20" s="379" t="s">
        <v>443</v>
      </c>
      <c r="M20" s="48">
        <v>0.76</v>
      </c>
      <c r="N20" s="48">
        <v>0.83</v>
      </c>
      <c r="O20" s="48">
        <v>0.83</v>
      </c>
      <c r="P20" s="46"/>
      <c r="Q20" s="46"/>
      <c r="R20" s="198"/>
      <c r="S20" s="185"/>
      <c r="T20" s="44">
        <v>506</v>
      </c>
      <c r="U20" s="44"/>
      <c r="V20" s="44">
        <v>445</v>
      </c>
      <c r="W20" s="44"/>
      <c r="X20" s="44"/>
      <c r="Y20" s="44"/>
      <c r="Z20" s="44">
        <f t="shared" si="1"/>
        <v>951</v>
      </c>
      <c r="AA20" s="44"/>
      <c r="AB20" s="44"/>
      <c r="AC20" s="44"/>
      <c r="AD20" s="44"/>
      <c r="AE20" s="44"/>
      <c r="AF20" s="44"/>
      <c r="AG20" s="44"/>
      <c r="AH20" s="44">
        <f t="shared" si="2"/>
        <v>0</v>
      </c>
      <c r="AI20" s="44"/>
      <c r="AJ20" s="44"/>
      <c r="AK20" s="44"/>
      <c r="AL20" s="44"/>
      <c r="AM20" s="44"/>
      <c r="AN20" s="44"/>
      <c r="AO20" s="44"/>
      <c r="AP20" s="44">
        <f t="shared" si="3"/>
        <v>0</v>
      </c>
      <c r="AQ20" s="44"/>
      <c r="AR20" s="44"/>
      <c r="AS20" s="44"/>
      <c r="AT20" s="44"/>
      <c r="AU20" s="44"/>
      <c r="AV20" s="44"/>
      <c r="AW20" s="44"/>
      <c r="AX20" s="44">
        <f t="shared" si="4"/>
        <v>0</v>
      </c>
      <c r="AY20" s="44">
        <f t="shared" si="5"/>
        <v>0</v>
      </c>
      <c r="AZ20" s="44">
        <f t="shared" si="6"/>
        <v>506</v>
      </c>
      <c r="BA20" s="44">
        <f t="shared" si="7"/>
        <v>0</v>
      </c>
      <c r="BB20" s="44">
        <f t="shared" si="8"/>
        <v>445</v>
      </c>
      <c r="BC20" s="44">
        <f t="shared" si="9"/>
        <v>0</v>
      </c>
      <c r="BD20" s="44">
        <f t="shared" si="10"/>
        <v>0</v>
      </c>
      <c r="BE20" s="44">
        <f t="shared" si="11"/>
        <v>0</v>
      </c>
      <c r="BF20" s="83">
        <f t="shared" si="12"/>
        <v>951</v>
      </c>
      <c r="BG20" s="47"/>
      <c r="BH20" s="47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</row>
    <row r="21" spans="1:73" s="91" customFormat="1" ht="40.5" x14ac:dyDescent="0.25">
      <c r="A21" s="707"/>
      <c r="B21" s="627"/>
      <c r="C21" s="627"/>
      <c r="D21" s="627"/>
      <c r="E21" s="603"/>
      <c r="F21" s="612"/>
      <c r="G21" s="612"/>
      <c r="H21" s="617"/>
      <c r="I21" s="601"/>
      <c r="J21" s="603"/>
      <c r="K21" s="355" t="s">
        <v>452</v>
      </c>
      <c r="L21" s="379" t="s">
        <v>443</v>
      </c>
      <c r="M21" s="46" t="s">
        <v>567</v>
      </c>
      <c r="N21" s="48">
        <v>1</v>
      </c>
      <c r="O21" s="46"/>
      <c r="P21" s="46"/>
      <c r="Q21" s="48">
        <v>1</v>
      </c>
      <c r="R21" s="198"/>
      <c r="S21" s="185"/>
      <c r="T21" s="44"/>
      <c r="U21" s="44"/>
      <c r="V21" s="44"/>
      <c r="W21" s="44"/>
      <c r="X21" s="44"/>
      <c r="Y21" s="44"/>
      <c r="Z21" s="44">
        <f t="shared" si="1"/>
        <v>0</v>
      </c>
      <c r="AA21" s="44"/>
      <c r="AB21" s="44"/>
      <c r="AC21" s="44"/>
      <c r="AD21" s="44"/>
      <c r="AE21" s="44"/>
      <c r="AF21" s="44"/>
      <c r="AG21" s="44"/>
      <c r="AH21" s="44">
        <f t="shared" si="2"/>
        <v>0</v>
      </c>
      <c r="AI21" s="44"/>
      <c r="AJ21" s="44"/>
      <c r="AK21" s="44"/>
      <c r="AL21" s="44"/>
      <c r="AM21" s="44"/>
      <c r="AN21" s="44">
        <v>2262</v>
      </c>
      <c r="AO21" s="44"/>
      <c r="AP21" s="44">
        <f t="shared" si="3"/>
        <v>2262</v>
      </c>
      <c r="AQ21" s="44"/>
      <c r="AR21" s="44"/>
      <c r="AS21" s="44"/>
      <c r="AT21" s="44"/>
      <c r="AU21" s="44"/>
      <c r="AV21" s="44"/>
      <c r="AW21" s="44"/>
      <c r="AX21" s="44">
        <f t="shared" si="4"/>
        <v>0</v>
      </c>
      <c r="AY21" s="44">
        <f t="shared" si="5"/>
        <v>0</v>
      </c>
      <c r="AZ21" s="44">
        <f t="shared" si="6"/>
        <v>0</v>
      </c>
      <c r="BA21" s="44">
        <f t="shared" si="7"/>
        <v>0</v>
      </c>
      <c r="BB21" s="44">
        <f t="shared" si="8"/>
        <v>0</v>
      </c>
      <c r="BC21" s="44">
        <f t="shared" si="9"/>
        <v>0</v>
      </c>
      <c r="BD21" s="44">
        <f t="shared" si="10"/>
        <v>2262</v>
      </c>
      <c r="BE21" s="44">
        <f t="shared" si="11"/>
        <v>0</v>
      </c>
      <c r="BF21" s="83">
        <f t="shared" si="12"/>
        <v>2262</v>
      </c>
      <c r="BG21" s="47"/>
      <c r="BH21" s="47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</row>
    <row r="22" spans="1:73" s="91" customFormat="1" ht="40.5" x14ac:dyDescent="0.25">
      <c r="A22" s="707"/>
      <c r="B22" s="627"/>
      <c r="C22" s="627"/>
      <c r="D22" s="627"/>
      <c r="E22" s="603"/>
      <c r="F22" s="612"/>
      <c r="G22" s="612"/>
      <c r="H22" s="617"/>
      <c r="I22" s="601"/>
      <c r="J22" s="603"/>
      <c r="K22" s="355" t="s">
        <v>453</v>
      </c>
      <c r="L22" s="379" t="s">
        <v>443</v>
      </c>
      <c r="M22" s="48">
        <v>0.68</v>
      </c>
      <c r="N22" s="48">
        <v>0.95</v>
      </c>
      <c r="O22" s="48">
        <v>0.95</v>
      </c>
      <c r="P22" s="46"/>
      <c r="Q22" s="46"/>
      <c r="R22" s="198"/>
      <c r="S22" s="185"/>
      <c r="T22" s="44">
        <v>291.2</v>
      </c>
      <c r="U22" s="44"/>
      <c r="V22" s="44">
        <v>558.9</v>
      </c>
      <c r="W22" s="44"/>
      <c r="X22" s="44"/>
      <c r="Y22" s="44">
        <v>448</v>
      </c>
      <c r="Z22" s="44">
        <f t="shared" si="1"/>
        <v>1298.0999999999999</v>
      </c>
      <c r="AA22" s="44"/>
      <c r="AB22" s="44"/>
      <c r="AC22" s="44"/>
      <c r="AD22" s="44"/>
      <c r="AE22" s="44"/>
      <c r="AF22" s="44"/>
      <c r="AG22" s="44"/>
      <c r="AH22" s="44">
        <f t="shared" si="2"/>
        <v>0</v>
      </c>
      <c r="AI22" s="44"/>
      <c r="AJ22" s="44"/>
      <c r="AK22" s="44"/>
      <c r="AL22" s="44"/>
      <c r="AM22" s="44"/>
      <c r="AN22" s="44"/>
      <c r="AO22" s="44"/>
      <c r="AP22" s="44">
        <f t="shared" si="3"/>
        <v>0</v>
      </c>
      <c r="AQ22" s="44"/>
      <c r="AR22" s="44"/>
      <c r="AS22" s="44"/>
      <c r="AT22" s="44"/>
      <c r="AU22" s="44"/>
      <c r="AV22" s="44"/>
      <c r="AW22" s="44"/>
      <c r="AX22" s="44">
        <f t="shared" si="4"/>
        <v>0</v>
      </c>
      <c r="AY22" s="44">
        <f t="shared" si="5"/>
        <v>0</v>
      </c>
      <c r="AZ22" s="44">
        <f t="shared" si="6"/>
        <v>291.2</v>
      </c>
      <c r="BA22" s="44">
        <f t="shared" si="7"/>
        <v>0</v>
      </c>
      <c r="BB22" s="44">
        <f t="shared" si="8"/>
        <v>558.9</v>
      </c>
      <c r="BC22" s="44">
        <f t="shared" si="9"/>
        <v>0</v>
      </c>
      <c r="BD22" s="44">
        <f t="shared" si="10"/>
        <v>0</v>
      </c>
      <c r="BE22" s="44">
        <f t="shared" si="11"/>
        <v>448</v>
      </c>
      <c r="BF22" s="83">
        <f t="shared" si="12"/>
        <v>1298.0999999999999</v>
      </c>
      <c r="BG22" s="47"/>
      <c r="BH22" s="47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</row>
    <row r="23" spans="1:73" s="91" customFormat="1" ht="40.5" x14ac:dyDescent="0.25">
      <c r="A23" s="707"/>
      <c r="B23" s="627"/>
      <c r="C23" s="627"/>
      <c r="D23" s="627"/>
      <c r="E23" s="603"/>
      <c r="F23" s="612"/>
      <c r="G23" s="612"/>
      <c r="H23" s="617"/>
      <c r="I23" s="601"/>
      <c r="J23" s="603"/>
      <c r="K23" s="355" t="s">
        <v>454</v>
      </c>
      <c r="L23" s="379" t="s">
        <v>443</v>
      </c>
      <c r="M23" s="48">
        <v>0.88</v>
      </c>
      <c r="N23" s="48">
        <v>0.95</v>
      </c>
      <c r="O23" s="48">
        <v>0.95</v>
      </c>
      <c r="P23" s="46"/>
      <c r="Q23" s="46"/>
      <c r="R23" s="198"/>
      <c r="S23" s="185"/>
      <c r="T23" s="44">
        <v>300.7</v>
      </c>
      <c r="U23" s="44"/>
      <c r="V23" s="44">
        <v>1166</v>
      </c>
      <c r="W23" s="44"/>
      <c r="X23" s="44"/>
      <c r="Y23" s="44">
        <v>461.9</v>
      </c>
      <c r="Z23" s="44">
        <f t="shared" si="1"/>
        <v>1928.6</v>
      </c>
      <c r="AA23" s="44"/>
      <c r="AB23" s="44"/>
      <c r="AC23" s="44"/>
      <c r="AD23" s="44"/>
      <c r="AE23" s="44"/>
      <c r="AF23" s="44"/>
      <c r="AG23" s="44"/>
      <c r="AH23" s="44">
        <f t="shared" si="2"/>
        <v>0</v>
      </c>
      <c r="AI23" s="44"/>
      <c r="AJ23" s="44"/>
      <c r="AK23" s="44"/>
      <c r="AL23" s="44"/>
      <c r="AM23" s="44"/>
      <c r="AN23" s="44"/>
      <c r="AO23" s="44"/>
      <c r="AP23" s="44">
        <f t="shared" si="3"/>
        <v>0</v>
      </c>
      <c r="AQ23" s="44"/>
      <c r="AR23" s="44"/>
      <c r="AS23" s="44"/>
      <c r="AT23" s="44"/>
      <c r="AU23" s="44"/>
      <c r="AV23" s="44"/>
      <c r="AW23" s="44"/>
      <c r="AX23" s="44">
        <f t="shared" si="4"/>
        <v>0</v>
      </c>
      <c r="AY23" s="44">
        <f t="shared" si="5"/>
        <v>0</v>
      </c>
      <c r="AZ23" s="44">
        <f t="shared" si="6"/>
        <v>300.7</v>
      </c>
      <c r="BA23" s="44">
        <f t="shared" si="7"/>
        <v>0</v>
      </c>
      <c r="BB23" s="44">
        <f t="shared" si="8"/>
        <v>1166</v>
      </c>
      <c r="BC23" s="44">
        <f t="shared" si="9"/>
        <v>0</v>
      </c>
      <c r="BD23" s="44">
        <f t="shared" si="10"/>
        <v>0</v>
      </c>
      <c r="BE23" s="44">
        <f t="shared" si="11"/>
        <v>461.9</v>
      </c>
      <c r="BF23" s="83">
        <f t="shared" si="12"/>
        <v>1928.6</v>
      </c>
      <c r="BG23" s="47"/>
      <c r="BH23" s="47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</row>
    <row r="24" spans="1:73" s="91" customFormat="1" ht="40.5" x14ac:dyDescent="0.25">
      <c r="A24" s="707"/>
      <c r="B24" s="627"/>
      <c r="C24" s="627"/>
      <c r="D24" s="627"/>
      <c r="E24" s="603"/>
      <c r="F24" s="612"/>
      <c r="G24" s="612"/>
      <c r="H24" s="617"/>
      <c r="I24" s="601"/>
      <c r="J24" s="603"/>
      <c r="K24" s="355" t="s">
        <v>455</v>
      </c>
      <c r="L24" s="379" t="s">
        <v>443</v>
      </c>
      <c r="M24" s="48">
        <v>0.93</v>
      </c>
      <c r="N24" s="48">
        <v>0.95</v>
      </c>
      <c r="O24" s="48">
        <v>0.95</v>
      </c>
      <c r="P24" s="46"/>
      <c r="Q24" s="46"/>
      <c r="R24" s="198"/>
      <c r="S24" s="185"/>
      <c r="T24" s="44">
        <v>244.5</v>
      </c>
      <c r="U24" s="44"/>
      <c r="V24" s="44">
        <v>289.7</v>
      </c>
      <c r="W24" s="44"/>
      <c r="X24" s="44"/>
      <c r="Y24" s="44">
        <v>375.5</v>
      </c>
      <c r="Z24" s="44">
        <f t="shared" si="1"/>
        <v>909.7</v>
      </c>
      <c r="AA24" s="44"/>
      <c r="AB24" s="44"/>
      <c r="AC24" s="44"/>
      <c r="AD24" s="44"/>
      <c r="AE24" s="44"/>
      <c r="AF24" s="44"/>
      <c r="AG24" s="44"/>
      <c r="AH24" s="44">
        <f t="shared" si="2"/>
        <v>0</v>
      </c>
      <c r="AI24" s="44"/>
      <c r="AJ24" s="44"/>
      <c r="AK24" s="44"/>
      <c r="AL24" s="44"/>
      <c r="AM24" s="44"/>
      <c r="AN24" s="44"/>
      <c r="AO24" s="44"/>
      <c r="AP24" s="44">
        <f t="shared" si="3"/>
        <v>0</v>
      </c>
      <c r="AQ24" s="44"/>
      <c r="AR24" s="44"/>
      <c r="AS24" s="44"/>
      <c r="AT24" s="44"/>
      <c r="AU24" s="44"/>
      <c r="AV24" s="44"/>
      <c r="AW24" s="44"/>
      <c r="AX24" s="44">
        <f t="shared" si="4"/>
        <v>0</v>
      </c>
      <c r="AY24" s="44">
        <f t="shared" si="5"/>
        <v>0</v>
      </c>
      <c r="AZ24" s="44">
        <f t="shared" si="6"/>
        <v>244.5</v>
      </c>
      <c r="BA24" s="44">
        <f t="shared" si="7"/>
        <v>0</v>
      </c>
      <c r="BB24" s="44">
        <f t="shared" si="8"/>
        <v>289.7</v>
      </c>
      <c r="BC24" s="44">
        <f t="shared" si="9"/>
        <v>0</v>
      </c>
      <c r="BD24" s="44">
        <f t="shared" si="10"/>
        <v>0</v>
      </c>
      <c r="BE24" s="44">
        <f t="shared" si="11"/>
        <v>375.5</v>
      </c>
      <c r="BF24" s="83">
        <f t="shared" si="12"/>
        <v>909.7</v>
      </c>
      <c r="BG24" s="47"/>
      <c r="BH24" s="47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</row>
    <row r="25" spans="1:73" s="91" customFormat="1" ht="40.5" x14ac:dyDescent="0.25">
      <c r="A25" s="707"/>
      <c r="B25" s="627"/>
      <c r="C25" s="627"/>
      <c r="D25" s="627"/>
      <c r="E25" s="603"/>
      <c r="F25" s="612"/>
      <c r="G25" s="612"/>
      <c r="H25" s="617"/>
      <c r="I25" s="601"/>
      <c r="J25" s="603"/>
      <c r="K25" s="355" t="s">
        <v>456</v>
      </c>
      <c r="L25" s="379" t="s">
        <v>443</v>
      </c>
      <c r="M25" s="48">
        <v>0.76</v>
      </c>
      <c r="N25" s="48">
        <v>0.95</v>
      </c>
      <c r="O25" s="46"/>
      <c r="P25" s="48">
        <v>0.95</v>
      </c>
      <c r="Q25" s="46"/>
      <c r="R25" s="198"/>
      <c r="S25" s="185"/>
      <c r="T25" s="44"/>
      <c r="U25" s="44"/>
      <c r="V25" s="44"/>
      <c r="W25" s="44"/>
      <c r="X25" s="44"/>
      <c r="Y25" s="44"/>
      <c r="Z25" s="44">
        <f t="shared" si="1"/>
        <v>0</v>
      </c>
      <c r="AA25" s="44"/>
      <c r="AB25" s="44">
        <v>364.8</v>
      </c>
      <c r="AC25" s="44"/>
      <c r="AD25" s="44"/>
      <c r="AE25" s="44"/>
      <c r="AF25" s="44">
        <v>1615.9</v>
      </c>
      <c r="AG25" s="44">
        <v>560.20000000000005</v>
      </c>
      <c r="AH25" s="44">
        <f t="shared" si="2"/>
        <v>2540.9</v>
      </c>
      <c r="AI25" s="44"/>
      <c r="AJ25" s="44"/>
      <c r="AK25" s="44"/>
      <c r="AL25" s="44"/>
      <c r="AM25" s="44"/>
      <c r="AN25" s="44"/>
      <c r="AO25" s="44"/>
      <c r="AP25" s="44">
        <f t="shared" si="3"/>
        <v>0</v>
      </c>
      <c r="AQ25" s="44"/>
      <c r="AR25" s="44"/>
      <c r="AS25" s="44"/>
      <c r="AT25" s="44"/>
      <c r="AU25" s="44"/>
      <c r="AV25" s="44"/>
      <c r="AW25" s="44"/>
      <c r="AX25" s="44">
        <f t="shared" si="4"/>
        <v>0</v>
      </c>
      <c r="AY25" s="44">
        <f t="shared" si="5"/>
        <v>0</v>
      </c>
      <c r="AZ25" s="44">
        <f t="shared" si="6"/>
        <v>364.8</v>
      </c>
      <c r="BA25" s="44">
        <f t="shared" si="7"/>
        <v>0</v>
      </c>
      <c r="BB25" s="44">
        <f t="shared" si="8"/>
        <v>0</v>
      </c>
      <c r="BC25" s="44">
        <f t="shared" si="9"/>
        <v>0</v>
      </c>
      <c r="BD25" s="44">
        <f t="shared" si="10"/>
        <v>1615.9</v>
      </c>
      <c r="BE25" s="44">
        <f t="shared" si="11"/>
        <v>560.20000000000005</v>
      </c>
      <c r="BF25" s="83">
        <f t="shared" si="12"/>
        <v>2540.9</v>
      </c>
      <c r="BG25" s="47"/>
      <c r="BH25" s="47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</row>
    <row r="26" spans="1:73" s="91" customFormat="1" ht="40.5" x14ac:dyDescent="0.25">
      <c r="A26" s="707"/>
      <c r="B26" s="627"/>
      <c r="C26" s="627"/>
      <c r="D26" s="627"/>
      <c r="E26" s="603"/>
      <c r="F26" s="612"/>
      <c r="G26" s="612"/>
      <c r="H26" s="617"/>
      <c r="I26" s="601"/>
      <c r="J26" s="603"/>
      <c r="K26" s="355" t="s">
        <v>457</v>
      </c>
      <c r="L26" s="379" t="s">
        <v>443</v>
      </c>
      <c r="M26" s="48">
        <v>0.64</v>
      </c>
      <c r="N26" s="48">
        <v>0.95</v>
      </c>
      <c r="O26" s="48">
        <v>0.95</v>
      </c>
      <c r="P26" s="46"/>
      <c r="Q26" s="46"/>
      <c r="R26" s="198"/>
      <c r="S26" s="185"/>
      <c r="T26" s="44">
        <v>133.4</v>
      </c>
      <c r="U26" s="44"/>
      <c r="V26" s="44">
        <v>639.5</v>
      </c>
      <c r="W26" s="44"/>
      <c r="X26" s="44"/>
      <c r="Y26" s="44">
        <v>204.9</v>
      </c>
      <c r="Z26" s="44">
        <f t="shared" si="1"/>
        <v>977.8</v>
      </c>
      <c r="AA26" s="44"/>
      <c r="AB26" s="44"/>
      <c r="AC26" s="44"/>
      <c r="AD26" s="44"/>
      <c r="AE26" s="44"/>
      <c r="AF26" s="44"/>
      <c r="AG26" s="44"/>
      <c r="AH26" s="44">
        <f t="shared" si="2"/>
        <v>0</v>
      </c>
      <c r="AI26" s="44"/>
      <c r="AJ26" s="44"/>
      <c r="AK26" s="44"/>
      <c r="AL26" s="44"/>
      <c r="AM26" s="44"/>
      <c r="AN26" s="44"/>
      <c r="AO26" s="44"/>
      <c r="AP26" s="44">
        <f t="shared" si="3"/>
        <v>0</v>
      </c>
      <c r="AQ26" s="44"/>
      <c r="AR26" s="44"/>
      <c r="AS26" s="44"/>
      <c r="AT26" s="44"/>
      <c r="AU26" s="44"/>
      <c r="AV26" s="44"/>
      <c r="AW26" s="44"/>
      <c r="AX26" s="44">
        <f t="shared" si="4"/>
        <v>0</v>
      </c>
      <c r="AY26" s="44">
        <f t="shared" si="5"/>
        <v>0</v>
      </c>
      <c r="AZ26" s="44">
        <f t="shared" si="6"/>
        <v>133.4</v>
      </c>
      <c r="BA26" s="44">
        <f t="shared" si="7"/>
        <v>0</v>
      </c>
      <c r="BB26" s="44">
        <f t="shared" si="8"/>
        <v>639.5</v>
      </c>
      <c r="BC26" s="44">
        <f t="shared" si="9"/>
        <v>0</v>
      </c>
      <c r="BD26" s="44">
        <f t="shared" si="10"/>
        <v>0</v>
      </c>
      <c r="BE26" s="44">
        <f t="shared" si="11"/>
        <v>204.9</v>
      </c>
      <c r="BF26" s="83">
        <f t="shared" si="12"/>
        <v>977.8</v>
      </c>
      <c r="BG26" s="47"/>
      <c r="BH26" s="47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</row>
    <row r="27" spans="1:73" s="91" customFormat="1" ht="40.5" x14ac:dyDescent="0.25">
      <c r="A27" s="707"/>
      <c r="B27" s="627"/>
      <c r="C27" s="627"/>
      <c r="D27" s="627"/>
      <c r="E27" s="603"/>
      <c r="F27" s="612"/>
      <c r="G27" s="612"/>
      <c r="H27" s="617"/>
      <c r="I27" s="601"/>
      <c r="J27" s="603"/>
      <c r="K27" s="355" t="s">
        <v>458</v>
      </c>
      <c r="L27" s="379" t="s">
        <v>443</v>
      </c>
      <c r="M27" s="48">
        <v>0.84</v>
      </c>
      <c r="N27" s="48">
        <v>0.95</v>
      </c>
      <c r="O27" s="46"/>
      <c r="P27" s="48">
        <v>0.95</v>
      </c>
      <c r="Q27" s="46"/>
      <c r="R27" s="198"/>
      <c r="S27" s="185"/>
      <c r="T27" s="44"/>
      <c r="U27" s="44"/>
      <c r="V27" s="44"/>
      <c r="W27" s="44"/>
      <c r="X27" s="44"/>
      <c r="Y27" s="44"/>
      <c r="Z27" s="44">
        <f t="shared" si="1"/>
        <v>0</v>
      </c>
      <c r="AA27" s="44"/>
      <c r="AB27" s="44">
        <v>371.9</v>
      </c>
      <c r="AC27" s="44"/>
      <c r="AD27" s="44"/>
      <c r="AE27" s="44"/>
      <c r="AF27" s="44">
        <v>1647.5</v>
      </c>
      <c r="AG27" s="44">
        <v>571.20000000000005</v>
      </c>
      <c r="AH27" s="44">
        <f t="shared" si="2"/>
        <v>2590.6000000000004</v>
      </c>
      <c r="AI27" s="44"/>
      <c r="AJ27" s="44"/>
      <c r="AK27" s="44"/>
      <c r="AL27" s="44"/>
      <c r="AM27" s="44"/>
      <c r="AN27" s="44"/>
      <c r="AO27" s="44"/>
      <c r="AP27" s="44">
        <f t="shared" si="3"/>
        <v>0</v>
      </c>
      <c r="AQ27" s="44"/>
      <c r="AR27" s="44"/>
      <c r="AS27" s="44"/>
      <c r="AT27" s="44"/>
      <c r="AU27" s="44"/>
      <c r="AV27" s="44"/>
      <c r="AW27" s="44"/>
      <c r="AX27" s="44">
        <f t="shared" si="4"/>
        <v>0</v>
      </c>
      <c r="AY27" s="44">
        <f t="shared" si="5"/>
        <v>0</v>
      </c>
      <c r="AZ27" s="44">
        <f t="shared" si="6"/>
        <v>371.9</v>
      </c>
      <c r="BA27" s="44">
        <f t="shared" si="7"/>
        <v>0</v>
      </c>
      <c r="BB27" s="44">
        <f t="shared" si="8"/>
        <v>0</v>
      </c>
      <c r="BC27" s="44">
        <f t="shared" si="9"/>
        <v>0</v>
      </c>
      <c r="BD27" s="44">
        <f t="shared" si="10"/>
        <v>1647.5</v>
      </c>
      <c r="BE27" s="44">
        <f t="shared" si="11"/>
        <v>571.20000000000005</v>
      </c>
      <c r="BF27" s="83">
        <f t="shared" si="12"/>
        <v>2590.6000000000004</v>
      </c>
      <c r="BG27" s="47"/>
      <c r="BH27" s="47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</row>
    <row r="28" spans="1:73" s="91" customFormat="1" ht="40.5" x14ac:dyDescent="0.25">
      <c r="A28" s="707"/>
      <c r="B28" s="627"/>
      <c r="C28" s="627"/>
      <c r="D28" s="627"/>
      <c r="E28" s="603"/>
      <c r="F28" s="612"/>
      <c r="G28" s="612"/>
      <c r="H28" s="617"/>
      <c r="I28" s="601"/>
      <c r="J28" s="603"/>
      <c r="K28" s="355" t="s">
        <v>459</v>
      </c>
      <c r="L28" s="379" t="s">
        <v>443</v>
      </c>
      <c r="M28" s="48">
        <v>0.51</v>
      </c>
      <c r="N28" s="48">
        <v>0.95</v>
      </c>
      <c r="O28" s="46"/>
      <c r="P28" s="48">
        <v>0.95</v>
      </c>
      <c r="Q28" s="46"/>
      <c r="R28" s="198"/>
      <c r="S28" s="185"/>
      <c r="T28" s="44"/>
      <c r="U28" s="44"/>
      <c r="V28" s="44"/>
      <c r="W28" s="44"/>
      <c r="X28" s="44"/>
      <c r="Y28" s="44"/>
      <c r="Z28" s="44">
        <f t="shared" si="1"/>
        <v>0</v>
      </c>
      <c r="AA28" s="44"/>
      <c r="AB28" s="44">
        <v>387</v>
      </c>
      <c r="AC28" s="44"/>
      <c r="AD28" s="44"/>
      <c r="AE28" s="44"/>
      <c r="AF28" s="44">
        <v>1714.4</v>
      </c>
      <c r="AG28" s="44">
        <v>594.29999999999995</v>
      </c>
      <c r="AH28" s="44">
        <f t="shared" si="2"/>
        <v>2695.7</v>
      </c>
      <c r="AI28" s="44"/>
      <c r="AJ28" s="44"/>
      <c r="AK28" s="44"/>
      <c r="AL28" s="44"/>
      <c r="AM28" s="44"/>
      <c r="AN28" s="44"/>
      <c r="AO28" s="44"/>
      <c r="AP28" s="44">
        <f t="shared" si="3"/>
        <v>0</v>
      </c>
      <c r="AQ28" s="44"/>
      <c r="AR28" s="44"/>
      <c r="AS28" s="44"/>
      <c r="AT28" s="44"/>
      <c r="AU28" s="44"/>
      <c r="AV28" s="44"/>
      <c r="AW28" s="44"/>
      <c r="AX28" s="44">
        <f t="shared" si="4"/>
        <v>0</v>
      </c>
      <c r="AY28" s="44">
        <f t="shared" si="5"/>
        <v>0</v>
      </c>
      <c r="AZ28" s="44">
        <f t="shared" si="6"/>
        <v>387</v>
      </c>
      <c r="BA28" s="44">
        <f t="shared" si="7"/>
        <v>0</v>
      </c>
      <c r="BB28" s="44">
        <f t="shared" si="8"/>
        <v>0</v>
      </c>
      <c r="BC28" s="44">
        <f t="shared" si="9"/>
        <v>0</v>
      </c>
      <c r="BD28" s="44">
        <f t="shared" si="10"/>
        <v>1714.4</v>
      </c>
      <c r="BE28" s="44">
        <f t="shared" si="11"/>
        <v>594.29999999999995</v>
      </c>
      <c r="BF28" s="83">
        <f t="shared" si="12"/>
        <v>2695.7</v>
      </c>
      <c r="BG28" s="47"/>
      <c r="BH28" s="47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</row>
    <row r="29" spans="1:73" s="91" customFormat="1" ht="40.5" x14ac:dyDescent="0.25">
      <c r="A29" s="707"/>
      <c r="B29" s="627"/>
      <c r="C29" s="627"/>
      <c r="D29" s="627"/>
      <c r="E29" s="603"/>
      <c r="F29" s="612"/>
      <c r="G29" s="612"/>
      <c r="H29" s="617"/>
      <c r="I29" s="601"/>
      <c r="J29" s="603"/>
      <c r="K29" s="355" t="s">
        <v>460</v>
      </c>
      <c r="L29" s="379" t="s">
        <v>443</v>
      </c>
      <c r="M29" s="48">
        <v>0.84</v>
      </c>
      <c r="N29" s="48">
        <v>0.95</v>
      </c>
      <c r="O29" s="48">
        <v>0.95</v>
      </c>
      <c r="P29" s="46"/>
      <c r="Q29" s="46"/>
      <c r="R29" s="198"/>
      <c r="S29" s="185"/>
      <c r="T29" s="44">
        <v>185</v>
      </c>
      <c r="U29" s="44"/>
      <c r="V29" s="44">
        <v>837</v>
      </c>
      <c r="W29" s="44"/>
      <c r="X29" s="44"/>
      <c r="Y29" s="44">
        <v>284.10000000000002</v>
      </c>
      <c r="Z29" s="44">
        <f t="shared" si="1"/>
        <v>1306.0999999999999</v>
      </c>
      <c r="AA29" s="44"/>
      <c r="AB29" s="44"/>
      <c r="AC29" s="44"/>
      <c r="AD29" s="44"/>
      <c r="AE29" s="44"/>
      <c r="AF29" s="44"/>
      <c r="AG29" s="44"/>
      <c r="AH29" s="44">
        <f t="shared" si="2"/>
        <v>0</v>
      </c>
      <c r="AI29" s="44"/>
      <c r="AJ29" s="44"/>
      <c r="AK29" s="44"/>
      <c r="AL29" s="44"/>
      <c r="AM29" s="44"/>
      <c r="AN29" s="44"/>
      <c r="AO29" s="44"/>
      <c r="AP29" s="44">
        <f t="shared" si="3"/>
        <v>0</v>
      </c>
      <c r="AQ29" s="44"/>
      <c r="AR29" s="44"/>
      <c r="AS29" s="44"/>
      <c r="AT29" s="44"/>
      <c r="AU29" s="44"/>
      <c r="AV29" s="44"/>
      <c r="AW29" s="44"/>
      <c r="AX29" s="44">
        <f t="shared" si="4"/>
        <v>0</v>
      </c>
      <c r="AY29" s="44">
        <f t="shared" si="5"/>
        <v>0</v>
      </c>
      <c r="AZ29" s="44">
        <f t="shared" si="6"/>
        <v>185</v>
      </c>
      <c r="BA29" s="44">
        <f t="shared" si="7"/>
        <v>0</v>
      </c>
      <c r="BB29" s="44">
        <f t="shared" si="8"/>
        <v>837</v>
      </c>
      <c r="BC29" s="44">
        <f t="shared" si="9"/>
        <v>0</v>
      </c>
      <c r="BD29" s="44">
        <f t="shared" si="10"/>
        <v>0</v>
      </c>
      <c r="BE29" s="44">
        <f t="shared" si="11"/>
        <v>284.10000000000002</v>
      </c>
      <c r="BF29" s="83">
        <f t="shared" si="12"/>
        <v>1306.0999999999999</v>
      </c>
      <c r="BG29" s="47"/>
      <c r="BH29" s="47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</row>
    <row r="30" spans="1:73" s="91" customFormat="1" ht="40.5" x14ac:dyDescent="0.25">
      <c r="A30" s="707"/>
      <c r="B30" s="627"/>
      <c r="C30" s="627"/>
      <c r="D30" s="627"/>
      <c r="E30" s="603"/>
      <c r="F30" s="612"/>
      <c r="G30" s="612"/>
      <c r="H30" s="617"/>
      <c r="I30" s="601"/>
      <c r="J30" s="603"/>
      <c r="K30" s="355" t="s">
        <v>461</v>
      </c>
      <c r="L30" s="379" t="s">
        <v>443</v>
      </c>
      <c r="M30" s="48">
        <v>0.69</v>
      </c>
      <c r="N30" s="48">
        <v>0.95</v>
      </c>
      <c r="O30" s="48">
        <v>0.95</v>
      </c>
      <c r="P30" s="46"/>
      <c r="Q30" s="46"/>
      <c r="R30" s="198"/>
      <c r="S30" s="185"/>
      <c r="T30" s="44">
        <v>267.3</v>
      </c>
      <c r="U30" s="44"/>
      <c r="V30" s="44">
        <v>860.1</v>
      </c>
      <c r="W30" s="44"/>
      <c r="X30" s="44"/>
      <c r="Y30" s="44">
        <v>410.4</v>
      </c>
      <c r="Z30" s="44">
        <f t="shared" si="1"/>
        <v>1537.8000000000002</v>
      </c>
      <c r="AA30" s="44"/>
      <c r="AB30" s="44"/>
      <c r="AC30" s="44"/>
      <c r="AD30" s="44"/>
      <c r="AE30" s="44"/>
      <c r="AF30" s="44"/>
      <c r="AG30" s="44"/>
      <c r="AH30" s="44">
        <f t="shared" si="2"/>
        <v>0</v>
      </c>
      <c r="AI30" s="44"/>
      <c r="AJ30" s="44"/>
      <c r="AK30" s="44"/>
      <c r="AL30" s="44"/>
      <c r="AM30" s="44"/>
      <c r="AN30" s="44"/>
      <c r="AO30" s="44"/>
      <c r="AP30" s="44">
        <f t="shared" si="3"/>
        <v>0</v>
      </c>
      <c r="AQ30" s="44"/>
      <c r="AR30" s="44"/>
      <c r="AS30" s="44"/>
      <c r="AT30" s="44"/>
      <c r="AU30" s="44"/>
      <c r="AV30" s="44"/>
      <c r="AW30" s="44"/>
      <c r="AX30" s="44">
        <f t="shared" si="4"/>
        <v>0</v>
      </c>
      <c r="AY30" s="44">
        <f t="shared" si="5"/>
        <v>0</v>
      </c>
      <c r="AZ30" s="44">
        <f t="shared" si="6"/>
        <v>267.3</v>
      </c>
      <c r="BA30" s="44">
        <f t="shared" si="7"/>
        <v>0</v>
      </c>
      <c r="BB30" s="44">
        <f t="shared" si="8"/>
        <v>860.1</v>
      </c>
      <c r="BC30" s="44">
        <f t="shared" si="9"/>
        <v>0</v>
      </c>
      <c r="BD30" s="44">
        <f t="shared" si="10"/>
        <v>0</v>
      </c>
      <c r="BE30" s="44">
        <f t="shared" si="11"/>
        <v>410.4</v>
      </c>
      <c r="BF30" s="83">
        <f t="shared" si="12"/>
        <v>1537.8000000000002</v>
      </c>
      <c r="BG30" s="47"/>
      <c r="BH30" s="47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</row>
    <row r="31" spans="1:73" s="91" customFormat="1" ht="40.5" x14ac:dyDescent="0.25">
      <c r="A31" s="707"/>
      <c r="B31" s="627"/>
      <c r="C31" s="627"/>
      <c r="D31" s="627"/>
      <c r="E31" s="603"/>
      <c r="F31" s="612"/>
      <c r="G31" s="612"/>
      <c r="H31" s="617"/>
      <c r="I31" s="601"/>
      <c r="J31" s="603"/>
      <c r="K31" s="355" t="s">
        <v>462</v>
      </c>
      <c r="L31" s="379" t="s">
        <v>443</v>
      </c>
      <c r="M31" s="48">
        <v>0.72</v>
      </c>
      <c r="N31" s="48">
        <v>0.95</v>
      </c>
      <c r="O31" s="48">
        <v>0.95</v>
      </c>
      <c r="P31" s="46"/>
      <c r="Q31" s="46"/>
      <c r="R31" s="198"/>
      <c r="S31" s="185"/>
      <c r="T31" s="44">
        <v>277.89999999999998</v>
      </c>
      <c r="U31" s="44"/>
      <c r="V31" s="44">
        <v>1319.5</v>
      </c>
      <c r="W31" s="44"/>
      <c r="X31" s="44"/>
      <c r="Y31" s="44">
        <v>426.8</v>
      </c>
      <c r="Z31" s="44">
        <f t="shared" si="1"/>
        <v>2024.2</v>
      </c>
      <c r="AA31" s="44"/>
      <c r="AB31" s="44"/>
      <c r="AC31" s="44"/>
      <c r="AD31" s="44"/>
      <c r="AE31" s="44"/>
      <c r="AF31" s="44"/>
      <c r="AG31" s="44"/>
      <c r="AH31" s="44">
        <f t="shared" si="2"/>
        <v>0</v>
      </c>
      <c r="AI31" s="44"/>
      <c r="AJ31" s="44"/>
      <c r="AK31" s="44"/>
      <c r="AL31" s="44"/>
      <c r="AM31" s="44"/>
      <c r="AN31" s="44"/>
      <c r="AO31" s="44"/>
      <c r="AP31" s="44">
        <f t="shared" si="3"/>
        <v>0</v>
      </c>
      <c r="AQ31" s="44"/>
      <c r="AR31" s="44"/>
      <c r="AS31" s="44"/>
      <c r="AT31" s="44"/>
      <c r="AU31" s="44"/>
      <c r="AV31" s="44"/>
      <c r="AW31" s="44"/>
      <c r="AX31" s="44">
        <f t="shared" si="4"/>
        <v>0</v>
      </c>
      <c r="AY31" s="44">
        <f t="shared" si="5"/>
        <v>0</v>
      </c>
      <c r="AZ31" s="44">
        <f t="shared" si="6"/>
        <v>277.89999999999998</v>
      </c>
      <c r="BA31" s="44">
        <f t="shared" si="7"/>
        <v>0</v>
      </c>
      <c r="BB31" s="44">
        <f t="shared" si="8"/>
        <v>1319.5</v>
      </c>
      <c r="BC31" s="44">
        <f t="shared" si="9"/>
        <v>0</v>
      </c>
      <c r="BD31" s="44">
        <f t="shared" si="10"/>
        <v>0</v>
      </c>
      <c r="BE31" s="44">
        <f t="shared" si="11"/>
        <v>426.8</v>
      </c>
      <c r="BF31" s="83">
        <f t="shared" si="12"/>
        <v>2024.2</v>
      </c>
      <c r="BG31" s="47"/>
      <c r="BH31" s="47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</row>
    <row r="32" spans="1:73" s="91" customFormat="1" ht="40.5" x14ac:dyDescent="0.25">
      <c r="A32" s="707"/>
      <c r="B32" s="627"/>
      <c r="C32" s="627"/>
      <c r="D32" s="627"/>
      <c r="E32" s="603"/>
      <c r="F32" s="612"/>
      <c r="G32" s="612"/>
      <c r="H32" s="617"/>
      <c r="I32" s="601"/>
      <c r="J32" s="603"/>
      <c r="K32" s="355" t="s">
        <v>463</v>
      </c>
      <c r="L32" s="379" t="s">
        <v>443</v>
      </c>
      <c r="M32" s="48">
        <v>0.54</v>
      </c>
      <c r="N32" s="48">
        <v>0.95</v>
      </c>
      <c r="O32" s="48">
        <v>0.95</v>
      </c>
      <c r="P32" s="46"/>
      <c r="Q32" s="46"/>
      <c r="R32" s="198"/>
      <c r="S32" s="185"/>
      <c r="T32" s="44">
        <v>312.5</v>
      </c>
      <c r="U32" s="44"/>
      <c r="V32" s="44">
        <v>1640.4</v>
      </c>
      <c r="W32" s="44"/>
      <c r="X32" s="44"/>
      <c r="Y32" s="44">
        <v>480</v>
      </c>
      <c r="Z32" s="44">
        <f t="shared" si="1"/>
        <v>2432.9</v>
      </c>
      <c r="AA32" s="44"/>
      <c r="AB32" s="44"/>
      <c r="AC32" s="44"/>
      <c r="AD32" s="44"/>
      <c r="AE32" s="44"/>
      <c r="AF32" s="44"/>
      <c r="AG32" s="44"/>
      <c r="AH32" s="44">
        <f t="shared" si="2"/>
        <v>0</v>
      </c>
      <c r="AI32" s="44"/>
      <c r="AJ32" s="44"/>
      <c r="AK32" s="44"/>
      <c r="AL32" s="44"/>
      <c r="AM32" s="44"/>
      <c r="AN32" s="44"/>
      <c r="AO32" s="44"/>
      <c r="AP32" s="44">
        <f t="shared" si="3"/>
        <v>0</v>
      </c>
      <c r="AQ32" s="44"/>
      <c r="AR32" s="44"/>
      <c r="AS32" s="44"/>
      <c r="AT32" s="44"/>
      <c r="AU32" s="44"/>
      <c r="AV32" s="44"/>
      <c r="AW32" s="44"/>
      <c r="AX32" s="44">
        <f t="shared" si="4"/>
        <v>0</v>
      </c>
      <c r="AY32" s="44">
        <f t="shared" si="5"/>
        <v>0</v>
      </c>
      <c r="AZ32" s="44">
        <f t="shared" si="6"/>
        <v>312.5</v>
      </c>
      <c r="BA32" s="44">
        <f t="shared" si="7"/>
        <v>0</v>
      </c>
      <c r="BB32" s="44">
        <f t="shared" si="8"/>
        <v>1640.4</v>
      </c>
      <c r="BC32" s="44">
        <f t="shared" si="9"/>
        <v>0</v>
      </c>
      <c r="BD32" s="44">
        <f t="shared" si="10"/>
        <v>0</v>
      </c>
      <c r="BE32" s="44">
        <f t="shared" si="11"/>
        <v>480</v>
      </c>
      <c r="BF32" s="83">
        <f t="shared" si="12"/>
        <v>2432.9</v>
      </c>
      <c r="BG32" s="47"/>
      <c r="BH32" s="47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</row>
    <row r="33" spans="1:73" s="91" customFormat="1" ht="40.5" x14ac:dyDescent="0.25">
      <c r="A33" s="707"/>
      <c r="B33" s="627"/>
      <c r="C33" s="627"/>
      <c r="D33" s="627"/>
      <c r="E33" s="603"/>
      <c r="F33" s="612"/>
      <c r="G33" s="612"/>
      <c r="H33" s="617"/>
      <c r="I33" s="601"/>
      <c r="J33" s="603" t="s">
        <v>1316</v>
      </c>
      <c r="K33" s="355" t="s">
        <v>464</v>
      </c>
      <c r="L33" s="379" t="s">
        <v>443</v>
      </c>
      <c r="M33" s="48">
        <v>0</v>
      </c>
      <c r="N33" s="48">
        <v>0.85</v>
      </c>
      <c r="O33" s="46"/>
      <c r="P33" s="48">
        <v>0.85</v>
      </c>
      <c r="Q33" s="46"/>
      <c r="R33" s="198"/>
      <c r="S33" s="185"/>
      <c r="T33" s="44"/>
      <c r="U33" s="44"/>
      <c r="V33" s="44"/>
      <c r="W33" s="44"/>
      <c r="X33" s="44"/>
      <c r="Y33" s="44"/>
      <c r="Z33" s="44">
        <f t="shared" si="1"/>
        <v>0</v>
      </c>
      <c r="AA33" s="44"/>
      <c r="AB33" s="44">
        <v>3231.6</v>
      </c>
      <c r="AC33" s="44"/>
      <c r="AD33" s="44"/>
      <c r="AE33" s="44"/>
      <c r="AF33" s="44">
        <v>7157.5</v>
      </c>
      <c r="AG33" s="44"/>
      <c r="AH33" s="44">
        <f t="shared" si="2"/>
        <v>10389.1</v>
      </c>
      <c r="AI33" s="44"/>
      <c r="AJ33" s="44"/>
      <c r="AK33" s="44"/>
      <c r="AL33" s="44"/>
      <c r="AM33" s="44"/>
      <c r="AN33" s="44"/>
      <c r="AO33" s="44"/>
      <c r="AP33" s="44">
        <f t="shared" si="3"/>
        <v>0</v>
      </c>
      <c r="AQ33" s="44"/>
      <c r="AR33" s="44"/>
      <c r="AS33" s="44"/>
      <c r="AT33" s="44"/>
      <c r="AU33" s="44"/>
      <c r="AV33" s="44"/>
      <c r="AW33" s="44"/>
      <c r="AX33" s="44">
        <f t="shared" si="4"/>
        <v>0</v>
      </c>
      <c r="AY33" s="44">
        <f t="shared" si="5"/>
        <v>0</v>
      </c>
      <c r="AZ33" s="44">
        <f t="shared" si="6"/>
        <v>3231.6</v>
      </c>
      <c r="BA33" s="44">
        <f t="shared" si="7"/>
        <v>0</v>
      </c>
      <c r="BB33" s="44">
        <f t="shared" si="8"/>
        <v>0</v>
      </c>
      <c r="BC33" s="44">
        <f t="shared" si="9"/>
        <v>0</v>
      </c>
      <c r="BD33" s="44">
        <f t="shared" si="10"/>
        <v>7157.5</v>
      </c>
      <c r="BE33" s="44">
        <f t="shared" si="11"/>
        <v>0</v>
      </c>
      <c r="BF33" s="83">
        <f t="shared" si="12"/>
        <v>10389.1</v>
      </c>
      <c r="BG33" s="47"/>
      <c r="BH33" s="47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</row>
    <row r="34" spans="1:73" s="91" customFormat="1" ht="40.5" x14ac:dyDescent="0.25">
      <c r="A34" s="707"/>
      <c r="B34" s="627"/>
      <c r="C34" s="627"/>
      <c r="D34" s="627"/>
      <c r="E34" s="603"/>
      <c r="F34" s="612"/>
      <c r="G34" s="612"/>
      <c r="H34" s="617"/>
      <c r="I34" s="601"/>
      <c r="J34" s="603"/>
      <c r="K34" s="355" t="s">
        <v>465</v>
      </c>
      <c r="L34" s="379" t="s">
        <v>443</v>
      </c>
      <c r="M34" s="48">
        <v>0.5</v>
      </c>
      <c r="N34" s="48">
        <v>0.85</v>
      </c>
      <c r="O34" s="48">
        <v>0.85</v>
      </c>
      <c r="P34" s="46"/>
      <c r="Q34" s="46"/>
      <c r="R34" s="198"/>
      <c r="S34" s="185"/>
      <c r="T34" s="44">
        <v>1900.2</v>
      </c>
      <c r="U34" s="44"/>
      <c r="V34" s="44">
        <v>2020.7</v>
      </c>
      <c r="W34" s="44"/>
      <c r="X34" s="44"/>
      <c r="Y34" s="44"/>
      <c r="Z34" s="44">
        <f t="shared" si="1"/>
        <v>3920.9</v>
      </c>
      <c r="AA34" s="44"/>
      <c r="AB34" s="44"/>
      <c r="AC34" s="44"/>
      <c r="AD34" s="44"/>
      <c r="AE34" s="44"/>
      <c r="AF34" s="44"/>
      <c r="AG34" s="44"/>
      <c r="AH34" s="44">
        <f t="shared" si="2"/>
        <v>0</v>
      </c>
      <c r="AI34" s="44"/>
      <c r="AJ34" s="44"/>
      <c r="AK34" s="44"/>
      <c r="AL34" s="44"/>
      <c r="AM34" s="44"/>
      <c r="AN34" s="44"/>
      <c r="AO34" s="44"/>
      <c r="AP34" s="44">
        <f t="shared" si="3"/>
        <v>0</v>
      </c>
      <c r="AQ34" s="44"/>
      <c r="AR34" s="44"/>
      <c r="AS34" s="44"/>
      <c r="AT34" s="44"/>
      <c r="AU34" s="44"/>
      <c r="AV34" s="44"/>
      <c r="AW34" s="44"/>
      <c r="AX34" s="44">
        <f t="shared" si="4"/>
        <v>0</v>
      </c>
      <c r="AY34" s="44">
        <f t="shared" si="5"/>
        <v>0</v>
      </c>
      <c r="AZ34" s="44">
        <f t="shared" si="6"/>
        <v>1900.2</v>
      </c>
      <c r="BA34" s="44">
        <f t="shared" si="7"/>
        <v>0</v>
      </c>
      <c r="BB34" s="44">
        <f t="shared" si="8"/>
        <v>2020.7</v>
      </c>
      <c r="BC34" s="44">
        <f t="shared" si="9"/>
        <v>0</v>
      </c>
      <c r="BD34" s="44">
        <f t="shared" si="10"/>
        <v>0</v>
      </c>
      <c r="BE34" s="44">
        <f t="shared" si="11"/>
        <v>0</v>
      </c>
      <c r="BF34" s="83">
        <f t="shared" si="12"/>
        <v>3920.9</v>
      </c>
      <c r="BG34" s="47"/>
      <c r="BH34" s="47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</row>
    <row r="35" spans="1:73" s="91" customFormat="1" ht="27" x14ac:dyDescent="0.25">
      <c r="A35" s="707"/>
      <c r="B35" s="627"/>
      <c r="C35" s="627"/>
      <c r="D35" s="627"/>
      <c r="E35" s="603"/>
      <c r="F35" s="612"/>
      <c r="G35" s="612"/>
      <c r="H35" s="617"/>
      <c r="I35" s="601"/>
      <c r="J35" s="603"/>
      <c r="K35" s="355" t="s">
        <v>466</v>
      </c>
      <c r="L35" s="379" t="s">
        <v>443</v>
      </c>
      <c r="M35" s="48">
        <v>0.15</v>
      </c>
      <c r="N35" s="48">
        <v>0.85</v>
      </c>
      <c r="O35" s="46"/>
      <c r="P35" s="48">
        <v>0.85</v>
      </c>
      <c r="Q35" s="46"/>
      <c r="R35" s="198"/>
      <c r="S35" s="185"/>
      <c r="T35" s="44"/>
      <c r="U35" s="44"/>
      <c r="V35" s="44"/>
      <c r="W35" s="44"/>
      <c r="X35" s="44"/>
      <c r="Y35" s="44"/>
      <c r="Z35" s="44">
        <f t="shared" si="1"/>
        <v>0</v>
      </c>
      <c r="AA35" s="44"/>
      <c r="AB35" s="44">
        <v>2502.3000000000002</v>
      </c>
      <c r="AC35" s="44"/>
      <c r="AD35" s="44"/>
      <c r="AE35" s="44"/>
      <c r="AF35" s="44">
        <v>14476.2</v>
      </c>
      <c r="AG35" s="44"/>
      <c r="AH35" s="44">
        <f t="shared" si="2"/>
        <v>16978.5</v>
      </c>
      <c r="AI35" s="44"/>
      <c r="AJ35" s="44"/>
      <c r="AK35" s="44"/>
      <c r="AL35" s="44"/>
      <c r="AM35" s="44"/>
      <c r="AN35" s="44"/>
      <c r="AO35" s="44"/>
      <c r="AP35" s="44">
        <f t="shared" si="3"/>
        <v>0</v>
      </c>
      <c r="AQ35" s="44"/>
      <c r="AR35" s="44"/>
      <c r="AS35" s="44"/>
      <c r="AT35" s="44"/>
      <c r="AU35" s="44"/>
      <c r="AV35" s="44"/>
      <c r="AW35" s="44"/>
      <c r="AX35" s="44">
        <f t="shared" si="4"/>
        <v>0</v>
      </c>
      <c r="AY35" s="44">
        <f t="shared" si="5"/>
        <v>0</v>
      </c>
      <c r="AZ35" s="44">
        <f t="shared" si="6"/>
        <v>2502.3000000000002</v>
      </c>
      <c r="BA35" s="44">
        <f t="shared" si="7"/>
        <v>0</v>
      </c>
      <c r="BB35" s="44">
        <f t="shared" si="8"/>
        <v>0</v>
      </c>
      <c r="BC35" s="44">
        <f t="shared" si="9"/>
        <v>0</v>
      </c>
      <c r="BD35" s="44">
        <f t="shared" si="10"/>
        <v>14476.2</v>
      </c>
      <c r="BE35" s="44">
        <f t="shared" si="11"/>
        <v>0</v>
      </c>
      <c r="BF35" s="83">
        <f t="shared" si="12"/>
        <v>16978.5</v>
      </c>
      <c r="BG35" s="47"/>
      <c r="BH35" s="47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</row>
    <row r="36" spans="1:73" s="91" customFormat="1" ht="40.5" x14ac:dyDescent="0.25">
      <c r="A36" s="707"/>
      <c r="B36" s="627"/>
      <c r="C36" s="627"/>
      <c r="D36" s="627"/>
      <c r="E36" s="603"/>
      <c r="F36" s="612"/>
      <c r="G36" s="612"/>
      <c r="H36" s="617"/>
      <c r="I36" s="601"/>
      <c r="J36" s="603"/>
      <c r="K36" s="355" t="s">
        <v>467</v>
      </c>
      <c r="L36" s="379" t="s">
        <v>443</v>
      </c>
      <c r="M36" s="48">
        <v>0.15</v>
      </c>
      <c r="N36" s="48">
        <v>0.85</v>
      </c>
      <c r="O36" s="46"/>
      <c r="P36" s="48">
        <v>0.85</v>
      </c>
      <c r="Q36" s="46"/>
      <c r="R36" s="198"/>
      <c r="S36" s="185"/>
      <c r="T36" s="44">
        <v>1219.4000000000001</v>
      </c>
      <c r="U36" s="44"/>
      <c r="V36" s="44">
        <v>2453.1</v>
      </c>
      <c r="W36" s="44"/>
      <c r="X36" s="44"/>
      <c r="Y36" s="44"/>
      <c r="Z36" s="44">
        <f t="shared" si="1"/>
        <v>3672.5</v>
      </c>
      <c r="AA36" s="44"/>
      <c r="AB36" s="44"/>
      <c r="AC36" s="44"/>
      <c r="AD36" s="44"/>
      <c r="AE36" s="44"/>
      <c r="AF36" s="44"/>
      <c r="AG36" s="44"/>
      <c r="AH36" s="44">
        <f t="shared" si="2"/>
        <v>0</v>
      </c>
      <c r="AI36" s="44"/>
      <c r="AJ36" s="44"/>
      <c r="AK36" s="44"/>
      <c r="AL36" s="44"/>
      <c r="AM36" s="44"/>
      <c r="AN36" s="44"/>
      <c r="AO36" s="44"/>
      <c r="AP36" s="44">
        <f t="shared" si="3"/>
        <v>0</v>
      </c>
      <c r="AQ36" s="44"/>
      <c r="AR36" s="44"/>
      <c r="AS36" s="44"/>
      <c r="AT36" s="44"/>
      <c r="AU36" s="44"/>
      <c r="AV36" s="44"/>
      <c r="AW36" s="44"/>
      <c r="AX36" s="44">
        <f t="shared" si="4"/>
        <v>0</v>
      </c>
      <c r="AY36" s="44">
        <f t="shared" si="5"/>
        <v>0</v>
      </c>
      <c r="AZ36" s="44">
        <f t="shared" si="6"/>
        <v>1219.4000000000001</v>
      </c>
      <c r="BA36" s="44">
        <f t="shared" si="7"/>
        <v>0</v>
      </c>
      <c r="BB36" s="44">
        <f t="shared" si="8"/>
        <v>2453.1</v>
      </c>
      <c r="BC36" s="44">
        <f t="shared" si="9"/>
        <v>0</v>
      </c>
      <c r="BD36" s="44">
        <f t="shared" si="10"/>
        <v>0</v>
      </c>
      <c r="BE36" s="44">
        <f t="shared" si="11"/>
        <v>0</v>
      </c>
      <c r="BF36" s="83">
        <f t="shared" si="12"/>
        <v>3672.5</v>
      </c>
      <c r="BG36" s="47"/>
      <c r="BH36" s="47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</row>
    <row r="37" spans="1:73" s="91" customFormat="1" ht="40.5" x14ac:dyDescent="0.25">
      <c r="A37" s="707"/>
      <c r="B37" s="627"/>
      <c r="C37" s="627"/>
      <c r="D37" s="627"/>
      <c r="E37" s="603"/>
      <c r="F37" s="612"/>
      <c r="G37" s="612"/>
      <c r="H37" s="617"/>
      <c r="I37" s="601"/>
      <c r="J37" s="603"/>
      <c r="K37" s="355" t="s">
        <v>468</v>
      </c>
      <c r="L37" s="379" t="s">
        <v>443</v>
      </c>
      <c r="M37" s="48">
        <v>1</v>
      </c>
      <c r="N37" s="48">
        <v>1</v>
      </c>
      <c r="O37" s="48">
        <v>1</v>
      </c>
      <c r="P37" s="46"/>
      <c r="Q37" s="46"/>
      <c r="R37" s="198"/>
      <c r="S37" s="185"/>
      <c r="T37" s="44">
        <v>58</v>
      </c>
      <c r="U37" s="44"/>
      <c r="V37" s="44">
        <v>191</v>
      </c>
      <c r="W37" s="44"/>
      <c r="X37" s="44"/>
      <c r="Y37" s="44"/>
      <c r="Z37" s="44">
        <f t="shared" si="1"/>
        <v>249</v>
      </c>
      <c r="AA37" s="44"/>
      <c r="AB37" s="44"/>
      <c r="AC37" s="44"/>
      <c r="AD37" s="44"/>
      <c r="AE37" s="44"/>
      <c r="AF37" s="44"/>
      <c r="AG37" s="44"/>
      <c r="AH37" s="44">
        <f t="shared" si="2"/>
        <v>0</v>
      </c>
      <c r="AI37" s="44"/>
      <c r="AJ37" s="44"/>
      <c r="AK37" s="44"/>
      <c r="AL37" s="44"/>
      <c r="AM37" s="44"/>
      <c r="AN37" s="44"/>
      <c r="AO37" s="44"/>
      <c r="AP37" s="44">
        <f t="shared" si="3"/>
        <v>0</v>
      </c>
      <c r="AQ37" s="44"/>
      <c r="AR37" s="44"/>
      <c r="AS37" s="44"/>
      <c r="AT37" s="44"/>
      <c r="AU37" s="44"/>
      <c r="AV37" s="44"/>
      <c r="AW37" s="44"/>
      <c r="AX37" s="44">
        <f t="shared" si="4"/>
        <v>0</v>
      </c>
      <c r="AY37" s="44">
        <f t="shared" si="5"/>
        <v>0</v>
      </c>
      <c r="AZ37" s="44">
        <f t="shared" si="6"/>
        <v>58</v>
      </c>
      <c r="BA37" s="44">
        <f t="shared" si="7"/>
        <v>0</v>
      </c>
      <c r="BB37" s="44">
        <f t="shared" si="8"/>
        <v>191</v>
      </c>
      <c r="BC37" s="44">
        <f t="shared" si="9"/>
        <v>0</v>
      </c>
      <c r="BD37" s="44">
        <f t="shared" si="10"/>
        <v>0</v>
      </c>
      <c r="BE37" s="44">
        <f t="shared" si="11"/>
        <v>0</v>
      </c>
      <c r="BF37" s="83">
        <f t="shared" si="12"/>
        <v>249</v>
      </c>
      <c r="BG37" s="47"/>
      <c r="BH37" s="47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</row>
    <row r="38" spans="1:73" s="91" customFormat="1" ht="40.5" x14ac:dyDescent="0.25">
      <c r="A38" s="707"/>
      <c r="B38" s="627"/>
      <c r="C38" s="627"/>
      <c r="D38" s="627"/>
      <c r="E38" s="603"/>
      <c r="F38" s="612"/>
      <c r="G38" s="612"/>
      <c r="H38" s="617"/>
      <c r="I38" s="601"/>
      <c r="J38" s="603"/>
      <c r="K38" s="355" t="s">
        <v>470</v>
      </c>
      <c r="L38" s="379" t="s">
        <v>443</v>
      </c>
      <c r="M38" s="48">
        <v>0.49</v>
      </c>
      <c r="N38" s="48">
        <v>1</v>
      </c>
      <c r="O38" s="48">
        <v>1</v>
      </c>
      <c r="P38" s="46"/>
      <c r="Q38" s="46"/>
      <c r="R38" s="198"/>
      <c r="S38" s="185"/>
      <c r="T38" s="44">
        <v>1811.4</v>
      </c>
      <c r="U38" s="44"/>
      <c r="V38" s="44">
        <v>2328.1999999999998</v>
      </c>
      <c r="W38" s="44"/>
      <c r="X38" s="44"/>
      <c r="Y38" s="44">
        <v>782.5</v>
      </c>
      <c r="Z38" s="44">
        <f t="shared" si="1"/>
        <v>4922.1000000000004</v>
      </c>
      <c r="AA38" s="44"/>
      <c r="AB38" s="44"/>
      <c r="AC38" s="44"/>
      <c r="AD38" s="44"/>
      <c r="AE38" s="44"/>
      <c r="AF38" s="44"/>
      <c r="AG38" s="44"/>
      <c r="AH38" s="44">
        <f t="shared" si="2"/>
        <v>0</v>
      </c>
      <c r="AI38" s="44"/>
      <c r="AJ38" s="44"/>
      <c r="AK38" s="44"/>
      <c r="AL38" s="44"/>
      <c r="AM38" s="44"/>
      <c r="AN38" s="44"/>
      <c r="AO38" s="44"/>
      <c r="AP38" s="44">
        <f t="shared" si="3"/>
        <v>0</v>
      </c>
      <c r="AQ38" s="44"/>
      <c r="AR38" s="44"/>
      <c r="AS38" s="44"/>
      <c r="AT38" s="44"/>
      <c r="AU38" s="44"/>
      <c r="AV38" s="44"/>
      <c r="AW38" s="44"/>
      <c r="AX38" s="44">
        <f t="shared" si="4"/>
        <v>0</v>
      </c>
      <c r="AY38" s="44">
        <f t="shared" si="5"/>
        <v>0</v>
      </c>
      <c r="AZ38" s="44">
        <f t="shared" si="6"/>
        <v>1811.4</v>
      </c>
      <c r="BA38" s="44">
        <f t="shared" si="7"/>
        <v>0</v>
      </c>
      <c r="BB38" s="44">
        <f t="shared" si="8"/>
        <v>2328.1999999999998</v>
      </c>
      <c r="BC38" s="44">
        <f t="shared" si="9"/>
        <v>0</v>
      </c>
      <c r="BD38" s="44">
        <f t="shared" si="10"/>
        <v>0</v>
      </c>
      <c r="BE38" s="44">
        <f t="shared" si="11"/>
        <v>782.5</v>
      </c>
      <c r="BF38" s="83">
        <f t="shared" si="12"/>
        <v>4922.1000000000004</v>
      </c>
      <c r="BG38" s="47"/>
      <c r="BH38" s="47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</row>
    <row r="39" spans="1:73" s="91" customFormat="1" ht="40.5" x14ac:dyDescent="0.25">
      <c r="A39" s="707"/>
      <c r="B39" s="627"/>
      <c r="C39" s="627"/>
      <c r="D39" s="627"/>
      <c r="E39" s="603"/>
      <c r="F39" s="612"/>
      <c r="G39" s="612"/>
      <c r="H39" s="617"/>
      <c r="I39" s="601"/>
      <c r="J39" s="603"/>
      <c r="K39" s="355" t="s">
        <v>471</v>
      </c>
      <c r="L39" s="379" t="s">
        <v>443</v>
      </c>
      <c r="M39" s="48">
        <v>0.27</v>
      </c>
      <c r="N39" s="48">
        <v>0.85</v>
      </c>
      <c r="O39" s="48">
        <v>0.85</v>
      </c>
      <c r="P39" s="46"/>
      <c r="Q39" s="46"/>
      <c r="R39" s="198"/>
      <c r="S39" s="185"/>
      <c r="T39" s="44">
        <v>5769.2</v>
      </c>
      <c r="U39" s="44"/>
      <c r="V39" s="44">
        <v>14373.5</v>
      </c>
      <c r="W39" s="44"/>
      <c r="X39" s="44"/>
      <c r="Y39" s="44">
        <v>5048.5</v>
      </c>
      <c r="Z39" s="44">
        <f t="shared" si="1"/>
        <v>25191.200000000001</v>
      </c>
      <c r="AA39" s="44"/>
      <c r="AB39" s="44"/>
      <c r="AC39" s="44"/>
      <c r="AD39" s="44"/>
      <c r="AE39" s="44"/>
      <c r="AF39" s="44"/>
      <c r="AG39" s="44"/>
      <c r="AH39" s="44">
        <f t="shared" si="2"/>
        <v>0</v>
      </c>
      <c r="AI39" s="44"/>
      <c r="AJ39" s="44"/>
      <c r="AK39" s="44"/>
      <c r="AL39" s="44"/>
      <c r="AM39" s="44"/>
      <c r="AN39" s="44"/>
      <c r="AO39" s="44"/>
      <c r="AP39" s="44">
        <f t="shared" si="3"/>
        <v>0</v>
      </c>
      <c r="AQ39" s="44"/>
      <c r="AR39" s="44"/>
      <c r="AS39" s="44"/>
      <c r="AT39" s="44"/>
      <c r="AU39" s="44"/>
      <c r="AV39" s="44"/>
      <c r="AW39" s="44"/>
      <c r="AX39" s="44">
        <f t="shared" si="4"/>
        <v>0</v>
      </c>
      <c r="AY39" s="44">
        <f t="shared" si="5"/>
        <v>0</v>
      </c>
      <c r="AZ39" s="44">
        <f t="shared" si="6"/>
        <v>5769.2</v>
      </c>
      <c r="BA39" s="44">
        <f t="shared" si="7"/>
        <v>0</v>
      </c>
      <c r="BB39" s="44">
        <f t="shared" si="8"/>
        <v>14373.5</v>
      </c>
      <c r="BC39" s="44">
        <f t="shared" si="9"/>
        <v>0</v>
      </c>
      <c r="BD39" s="44">
        <f t="shared" si="10"/>
        <v>0</v>
      </c>
      <c r="BE39" s="44">
        <f t="shared" si="11"/>
        <v>5048.5</v>
      </c>
      <c r="BF39" s="83">
        <f t="shared" si="12"/>
        <v>25191.200000000001</v>
      </c>
      <c r="BG39" s="47"/>
      <c r="BH39" s="47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</row>
    <row r="40" spans="1:73" s="91" customFormat="1" ht="40.5" x14ac:dyDescent="0.25">
      <c r="A40" s="707"/>
      <c r="B40" s="627"/>
      <c r="C40" s="627"/>
      <c r="D40" s="627"/>
      <c r="E40" s="603"/>
      <c r="F40" s="612"/>
      <c r="G40" s="612"/>
      <c r="H40" s="617"/>
      <c r="I40" s="601"/>
      <c r="J40" s="603"/>
      <c r="K40" s="355" t="s">
        <v>472</v>
      </c>
      <c r="L40" s="379" t="s">
        <v>443</v>
      </c>
      <c r="M40" s="48">
        <v>0</v>
      </c>
      <c r="N40" s="48">
        <v>0.85</v>
      </c>
      <c r="O40" s="46"/>
      <c r="P40" s="46"/>
      <c r="Q40" s="48">
        <v>0.85</v>
      </c>
      <c r="R40" s="198"/>
      <c r="S40" s="185"/>
      <c r="T40" s="44"/>
      <c r="U40" s="44"/>
      <c r="V40" s="44"/>
      <c r="W40" s="44"/>
      <c r="X40" s="44"/>
      <c r="Y40" s="44"/>
      <c r="Z40" s="44">
        <f t="shared" si="1"/>
        <v>0</v>
      </c>
      <c r="AA40" s="44"/>
      <c r="AB40" s="44"/>
      <c r="AC40" s="44"/>
      <c r="AD40" s="44"/>
      <c r="AE40" s="44"/>
      <c r="AF40" s="44"/>
      <c r="AG40" s="44"/>
      <c r="AH40" s="44">
        <f t="shared" si="2"/>
        <v>0</v>
      </c>
      <c r="AI40" s="44"/>
      <c r="AJ40" s="44"/>
      <c r="AK40" s="44"/>
      <c r="AL40" s="44"/>
      <c r="AM40" s="44"/>
      <c r="AN40" s="44">
        <v>4949.2</v>
      </c>
      <c r="AO40" s="44"/>
      <c r="AP40" s="44">
        <f t="shared" si="3"/>
        <v>4949.2</v>
      </c>
      <c r="AQ40" s="44"/>
      <c r="AR40" s="44"/>
      <c r="AS40" s="44"/>
      <c r="AT40" s="44"/>
      <c r="AU40" s="44"/>
      <c r="AV40" s="44"/>
      <c r="AW40" s="44"/>
      <c r="AX40" s="44">
        <f t="shared" si="4"/>
        <v>0</v>
      </c>
      <c r="AY40" s="44">
        <f t="shared" si="5"/>
        <v>0</v>
      </c>
      <c r="AZ40" s="44">
        <f t="shared" si="6"/>
        <v>0</v>
      </c>
      <c r="BA40" s="44">
        <f t="shared" si="7"/>
        <v>0</v>
      </c>
      <c r="BB40" s="44">
        <f t="shared" si="8"/>
        <v>0</v>
      </c>
      <c r="BC40" s="44">
        <f t="shared" si="9"/>
        <v>0</v>
      </c>
      <c r="BD40" s="44">
        <f t="shared" si="10"/>
        <v>4949.2</v>
      </c>
      <c r="BE40" s="44">
        <f t="shared" si="11"/>
        <v>0</v>
      </c>
      <c r="BF40" s="83">
        <f t="shared" si="12"/>
        <v>4949.2</v>
      </c>
      <c r="BG40" s="47"/>
      <c r="BH40" s="47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</row>
    <row r="41" spans="1:73" s="91" customFormat="1" ht="40.5" x14ac:dyDescent="0.25">
      <c r="A41" s="707"/>
      <c r="B41" s="627"/>
      <c r="C41" s="627"/>
      <c r="D41" s="627"/>
      <c r="E41" s="603"/>
      <c r="F41" s="612"/>
      <c r="G41" s="612"/>
      <c r="H41" s="617"/>
      <c r="I41" s="601"/>
      <c r="J41" s="603"/>
      <c r="K41" s="355" t="s">
        <v>473</v>
      </c>
      <c r="L41" s="379" t="s">
        <v>443</v>
      </c>
      <c r="M41" s="48">
        <v>0.75</v>
      </c>
      <c r="N41" s="48">
        <v>0.85</v>
      </c>
      <c r="O41" s="48">
        <v>0.85</v>
      </c>
      <c r="P41" s="46"/>
      <c r="Q41" s="46"/>
      <c r="R41" s="198"/>
      <c r="S41" s="185"/>
      <c r="T41" s="44">
        <v>966.7</v>
      </c>
      <c r="U41" s="44"/>
      <c r="V41" s="44">
        <v>3300</v>
      </c>
      <c r="W41" s="44"/>
      <c r="X41" s="44"/>
      <c r="Y41" s="44"/>
      <c r="Z41" s="44">
        <f t="shared" si="1"/>
        <v>4266.7</v>
      </c>
      <c r="AA41" s="44"/>
      <c r="AB41" s="44"/>
      <c r="AC41" s="44"/>
      <c r="AD41" s="44"/>
      <c r="AE41" s="44"/>
      <c r="AF41" s="44"/>
      <c r="AG41" s="44"/>
      <c r="AH41" s="44">
        <f t="shared" si="2"/>
        <v>0</v>
      </c>
      <c r="AI41" s="44"/>
      <c r="AJ41" s="44"/>
      <c r="AK41" s="44"/>
      <c r="AL41" s="44"/>
      <c r="AM41" s="44"/>
      <c r="AN41" s="44"/>
      <c r="AO41" s="44"/>
      <c r="AP41" s="44">
        <f t="shared" si="3"/>
        <v>0</v>
      </c>
      <c r="AQ41" s="44"/>
      <c r="AR41" s="44"/>
      <c r="AS41" s="44"/>
      <c r="AT41" s="44"/>
      <c r="AU41" s="44"/>
      <c r="AV41" s="44"/>
      <c r="AW41" s="44"/>
      <c r="AX41" s="44">
        <f t="shared" si="4"/>
        <v>0</v>
      </c>
      <c r="AY41" s="44">
        <f t="shared" si="5"/>
        <v>0</v>
      </c>
      <c r="AZ41" s="44">
        <f t="shared" si="6"/>
        <v>966.7</v>
      </c>
      <c r="BA41" s="44">
        <f t="shared" si="7"/>
        <v>0</v>
      </c>
      <c r="BB41" s="44">
        <f t="shared" si="8"/>
        <v>3300</v>
      </c>
      <c r="BC41" s="44">
        <f t="shared" si="9"/>
        <v>0</v>
      </c>
      <c r="BD41" s="44">
        <f t="shared" si="10"/>
        <v>0</v>
      </c>
      <c r="BE41" s="44">
        <f t="shared" si="11"/>
        <v>0</v>
      </c>
      <c r="BF41" s="83">
        <f t="shared" si="12"/>
        <v>4266.7</v>
      </c>
      <c r="BG41" s="47"/>
      <c r="BH41" s="47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</row>
    <row r="42" spans="1:73" s="91" customFormat="1" ht="40.5" x14ac:dyDescent="0.25">
      <c r="A42" s="707"/>
      <c r="B42" s="627"/>
      <c r="C42" s="627"/>
      <c r="D42" s="627"/>
      <c r="E42" s="603"/>
      <c r="F42" s="612"/>
      <c r="G42" s="612"/>
      <c r="H42" s="617"/>
      <c r="I42" s="601"/>
      <c r="J42" s="603"/>
      <c r="K42" s="355" t="s">
        <v>474</v>
      </c>
      <c r="L42" s="379" t="s">
        <v>443</v>
      </c>
      <c r="M42" s="48">
        <v>0</v>
      </c>
      <c r="N42" s="48">
        <v>0.85</v>
      </c>
      <c r="O42" s="46"/>
      <c r="P42" s="46"/>
      <c r="Q42" s="48">
        <v>0.85</v>
      </c>
      <c r="R42" s="198"/>
      <c r="S42" s="185"/>
      <c r="T42" s="44"/>
      <c r="U42" s="44"/>
      <c r="V42" s="44"/>
      <c r="W42" s="44"/>
      <c r="X42" s="44"/>
      <c r="Y42" s="44"/>
      <c r="Z42" s="44">
        <f t="shared" si="1"/>
        <v>0</v>
      </c>
      <c r="AA42" s="44"/>
      <c r="AB42" s="44"/>
      <c r="AC42" s="44"/>
      <c r="AD42" s="44"/>
      <c r="AE42" s="44"/>
      <c r="AF42" s="44"/>
      <c r="AG42" s="44"/>
      <c r="AH42" s="44">
        <f t="shared" si="2"/>
        <v>0</v>
      </c>
      <c r="AI42" s="44"/>
      <c r="AJ42" s="44">
        <v>1743.9</v>
      </c>
      <c r="AK42" s="44"/>
      <c r="AL42" s="44"/>
      <c r="AM42" s="44"/>
      <c r="AN42" s="44">
        <v>9509.7000000000007</v>
      </c>
      <c r="AO42" s="44"/>
      <c r="AP42" s="44">
        <f t="shared" si="3"/>
        <v>11253.6</v>
      </c>
      <c r="AQ42" s="44"/>
      <c r="AR42" s="44"/>
      <c r="AS42" s="44"/>
      <c r="AT42" s="44"/>
      <c r="AU42" s="44"/>
      <c r="AV42" s="44"/>
      <c r="AW42" s="44"/>
      <c r="AX42" s="44">
        <f t="shared" si="4"/>
        <v>0</v>
      </c>
      <c r="AY42" s="44">
        <f t="shared" si="5"/>
        <v>0</v>
      </c>
      <c r="AZ42" s="44">
        <f t="shared" si="6"/>
        <v>1743.9</v>
      </c>
      <c r="BA42" s="44">
        <f t="shared" si="7"/>
        <v>0</v>
      </c>
      <c r="BB42" s="44">
        <f t="shared" si="8"/>
        <v>0</v>
      </c>
      <c r="BC42" s="44">
        <f t="shared" si="9"/>
        <v>0</v>
      </c>
      <c r="BD42" s="44">
        <f t="shared" si="10"/>
        <v>9509.7000000000007</v>
      </c>
      <c r="BE42" s="44">
        <f t="shared" si="11"/>
        <v>0</v>
      </c>
      <c r="BF42" s="83">
        <f t="shared" si="12"/>
        <v>11253.6</v>
      </c>
      <c r="BG42" s="47"/>
      <c r="BH42" s="47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</row>
    <row r="43" spans="1:73" s="91" customFormat="1" ht="27" x14ac:dyDescent="0.25">
      <c r="A43" s="707"/>
      <c r="B43" s="627"/>
      <c r="C43" s="627"/>
      <c r="D43" s="627"/>
      <c r="E43" s="603"/>
      <c r="F43" s="612"/>
      <c r="G43" s="612"/>
      <c r="H43" s="617"/>
      <c r="I43" s="601"/>
      <c r="J43" s="603"/>
      <c r="K43" s="355" t="s">
        <v>475</v>
      </c>
      <c r="L43" s="379" t="s">
        <v>443</v>
      </c>
      <c r="M43" s="48">
        <v>0.5</v>
      </c>
      <c r="N43" s="48">
        <v>0.85</v>
      </c>
      <c r="O43" s="48">
        <v>0.7</v>
      </c>
      <c r="P43" s="48">
        <v>0.85</v>
      </c>
      <c r="Q43" s="46"/>
      <c r="R43" s="198"/>
      <c r="S43" s="185"/>
      <c r="T43" s="44">
        <v>3413</v>
      </c>
      <c r="U43" s="44"/>
      <c r="V43" s="44">
        <v>11100.8</v>
      </c>
      <c r="W43" s="44"/>
      <c r="X43" s="44"/>
      <c r="Y43" s="44"/>
      <c r="Z43" s="44">
        <f t="shared" si="1"/>
        <v>14513.8</v>
      </c>
      <c r="AA43" s="44"/>
      <c r="AB43" s="44">
        <v>2158</v>
      </c>
      <c r="AC43" s="44"/>
      <c r="AD43" s="44"/>
      <c r="AE43" s="44"/>
      <c r="AF43" s="44">
        <v>7019</v>
      </c>
      <c r="AG43" s="44"/>
      <c r="AH43" s="44">
        <f t="shared" si="2"/>
        <v>9177</v>
      </c>
      <c r="AI43" s="44"/>
      <c r="AJ43" s="44"/>
      <c r="AK43" s="44"/>
      <c r="AL43" s="44"/>
      <c r="AM43" s="44"/>
      <c r="AN43" s="44"/>
      <c r="AO43" s="44"/>
      <c r="AP43" s="44">
        <f t="shared" si="3"/>
        <v>0</v>
      </c>
      <c r="AQ43" s="44"/>
      <c r="AR43" s="44"/>
      <c r="AS43" s="44"/>
      <c r="AT43" s="44"/>
      <c r="AU43" s="44"/>
      <c r="AV43" s="44"/>
      <c r="AW43" s="44"/>
      <c r="AX43" s="44">
        <f t="shared" si="4"/>
        <v>0</v>
      </c>
      <c r="AY43" s="44">
        <f t="shared" si="5"/>
        <v>0</v>
      </c>
      <c r="AZ43" s="44">
        <f t="shared" si="6"/>
        <v>5571</v>
      </c>
      <c r="BA43" s="44">
        <f t="shared" si="7"/>
        <v>0</v>
      </c>
      <c r="BB43" s="44">
        <f t="shared" si="8"/>
        <v>11100.8</v>
      </c>
      <c r="BC43" s="44">
        <f t="shared" si="9"/>
        <v>0</v>
      </c>
      <c r="BD43" s="44">
        <f t="shared" si="10"/>
        <v>7019</v>
      </c>
      <c r="BE43" s="44">
        <f t="shared" si="11"/>
        <v>0</v>
      </c>
      <c r="BF43" s="83">
        <f t="shared" si="12"/>
        <v>23690.799999999999</v>
      </c>
      <c r="BG43" s="47"/>
      <c r="BH43" s="47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</row>
    <row r="44" spans="1:73" s="91" customFormat="1" ht="40.5" x14ac:dyDescent="0.25">
      <c r="A44" s="707"/>
      <c r="B44" s="627"/>
      <c r="C44" s="627"/>
      <c r="D44" s="627"/>
      <c r="E44" s="603"/>
      <c r="F44" s="612"/>
      <c r="G44" s="612"/>
      <c r="H44" s="617"/>
      <c r="I44" s="601"/>
      <c r="J44" s="603"/>
      <c r="K44" s="355" t="s">
        <v>476</v>
      </c>
      <c r="L44" s="379" t="s">
        <v>443</v>
      </c>
      <c r="M44" s="48">
        <v>0</v>
      </c>
      <c r="N44" s="48">
        <v>0.85</v>
      </c>
      <c r="O44" s="46"/>
      <c r="P44" s="48">
        <v>0.85</v>
      </c>
      <c r="Q44" s="46"/>
      <c r="R44" s="198"/>
      <c r="S44" s="185"/>
      <c r="T44" s="44"/>
      <c r="U44" s="44"/>
      <c r="V44" s="44"/>
      <c r="W44" s="44"/>
      <c r="X44" s="44"/>
      <c r="Y44" s="44"/>
      <c r="Z44" s="44">
        <f t="shared" si="1"/>
        <v>0</v>
      </c>
      <c r="AA44" s="44"/>
      <c r="AB44" s="44">
        <v>2569</v>
      </c>
      <c r="AC44" s="44"/>
      <c r="AD44" s="44"/>
      <c r="AE44" s="44"/>
      <c r="AF44" s="44">
        <v>10058</v>
      </c>
      <c r="AG44" s="44"/>
      <c r="AH44" s="44">
        <f t="shared" si="2"/>
        <v>12627</v>
      </c>
      <c r="AI44" s="44"/>
      <c r="AJ44" s="44"/>
      <c r="AK44" s="44"/>
      <c r="AL44" s="44"/>
      <c r="AM44" s="44"/>
      <c r="AN44" s="44"/>
      <c r="AO44" s="44"/>
      <c r="AP44" s="44">
        <f t="shared" si="3"/>
        <v>0</v>
      </c>
      <c r="AQ44" s="44"/>
      <c r="AR44" s="44"/>
      <c r="AS44" s="44"/>
      <c r="AT44" s="44"/>
      <c r="AU44" s="44"/>
      <c r="AV44" s="44"/>
      <c r="AW44" s="44"/>
      <c r="AX44" s="44">
        <f t="shared" si="4"/>
        <v>0</v>
      </c>
      <c r="AY44" s="44">
        <f t="shared" si="5"/>
        <v>0</v>
      </c>
      <c r="AZ44" s="44">
        <f t="shared" si="6"/>
        <v>2569</v>
      </c>
      <c r="BA44" s="44">
        <f t="shared" si="7"/>
        <v>0</v>
      </c>
      <c r="BB44" s="44">
        <f t="shared" si="8"/>
        <v>0</v>
      </c>
      <c r="BC44" s="44">
        <f t="shared" si="9"/>
        <v>0</v>
      </c>
      <c r="BD44" s="44">
        <f t="shared" si="10"/>
        <v>10058</v>
      </c>
      <c r="BE44" s="44">
        <f t="shared" si="11"/>
        <v>0</v>
      </c>
      <c r="BF44" s="83">
        <f t="shared" si="12"/>
        <v>12627</v>
      </c>
      <c r="BG44" s="47"/>
      <c r="BH44" s="47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</row>
    <row r="45" spans="1:73" s="91" customFormat="1" ht="40.5" x14ac:dyDescent="0.25">
      <c r="A45" s="707"/>
      <c r="B45" s="627"/>
      <c r="C45" s="627"/>
      <c r="D45" s="627"/>
      <c r="E45" s="603"/>
      <c r="F45" s="612"/>
      <c r="G45" s="612"/>
      <c r="H45" s="617"/>
      <c r="I45" s="601"/>
      <c r="J45" s="603"/>
      <c r="K45" s="355" t="s">
        <v>477</v>
      </c>
      <c r="L45" s="379" t="s">
        <v>443</v>
      </c>
      <c r="M45" s="48">
        <v>0.8</v>
      </c>
      <c r="N45" s="48">
        <v>0.85</v>
      </c>
      <c r="O45" s="46"/>
      <c r="P45" s="48">
        <v>0.85</v>
      </c>
      <c r="Q45" s="46"/>
      <c r="R45" s="198"/>
      <c r="S45" s="185"/>
      <c r="T45" s="44"/>
      <c r="U45" s="44"/>
      <c r="V45" s="44"/>
      <c r="W45" s="44"/>
      <c r="X45" s="44"/>
      <c r="Y45" s="44"/>
      <c r="Z45" s="44">
        <f t="shared" si="1"/>
        <v>0</v>
      </c>
      <c r="AA45" s="44"/>
      <c r="AB45" s="44">
        <v>2237.6</v>
      </c>
      <c r="AC45" s="44"/>
      <c r="AD45" s="44"/>
      <c r="AE45" s="44"/>
      <c r="AF45" s="44">
        <v>497</v>
      </c>
      <c r="AG45" s="44"/>
      <c r="AH45" s="44">
        <f t="shared" si="2"/>
        <v>2734.6</v>
      </c>
      <c r="AI45" s="44"/>
      <c r="AJ45" s="44"/>
      <c r="AK45" s="44"/>
      <c r="AL45" s="44"/>
      <c r="AM45" s="44"/>
      <c r="AN45" s="44"/>
      <c r="AO45" s="44"/>
      <c r="AP45" s="44">
        <f t="shared" si="3"/>
        <v>0</v>
      </c>
      <c r="AQ45" s="44"/>
      <c r="AR45" s="44"/>
      <c r="AS45" s="44"/>
      <c r="AT45" s="44"/>
      <c r="AU45" s="44"/>
      <c r="AV45" s="44"/>
      <c r="AW45" s="44"/>
      <c r="AX45" s="44">
        <f t="shared" si="4"/>
        <v>0</v>
      </c>
      <c r="AY45" s="44">
        <f t="shared" si="5"/>
        <v>0</v>
      </c>
      <c r="AZ45" s="44">
        <f t="shared" si="6"/>
        <v>2237.6</v>
      </c>
      <c r="BA45" s="44">
        <f t="shared" si="7"/>
        <v>0</v>
      </c>
      <c r="BB45" s="44">
        <f t="shared" si="8"/>
        <v>0</v>
      </c>
      <c r="BC45" s="44">
        <f t="shared" si="9"/>
        <v>0</v>
      </c>
      <c r="BD45" s="44">
        <f t="shared" si="10"/>
        <v>497</v>
      </c>
      <c r="BE45" s="44">
        <f t="shared" si="11"/>
        <v>0</v>
      </c>
      <c r="BF45" s="83">
        <f t="shared" si="12"/>
        <v>2734.6</v>
      </c>
      <c r="BG45" s="47"/>
      <c r="BH45" s="47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</row>
    <row r="46" spans="1:73" s="91" customFormat="1" ht="40.5" x14ac:dyDescent="0.25">
      <c r="A46" s="707"/>
      <c r="B46" s="627"/>
      <c r="C46" s="627"/>
      <c r="D46" s="627"/>
      <c r="E46" s="603"/>
      <c r="F46" s="612"/>
      <c r="G46" s="612"/>
      <c r="H46" s="617"/>
      <c r="I46" s="601"/>
      <c r="J46" s="603"/>
      <c r="K46" s="355" t="s">
        <v>478</v>
      </c>
      <c r="L46" s="379" t="s">
        <v>443</v>
      </c>
      <c r="M46" s="48">
        <v>0</v>
      </c>
      <c r="N46" s="48">
        <v>0.85</v>
      </c>
      <c r="O46" s="48">
        <v>0.85</v>
      </c>
      <c r="P46" s="46"/>
      <c r="Q46" s="46"/>
      <c r="R46" s="198"/>
      <c r="S46" s="185"/>
      <c r="T46" s="44">
        <v>2409</v>
      </c>
      <c r="U46" s="44"/>
      <c r="V46" s="44">
        <v>6993.9</v>
      </c>
      <c r="W46" s="44"/>
      <c r="X46" s="44"/>
      <c r="Y46" s="44">
        <v>2312</v>
      </c>
      <c r="Z46" s="44">
        <f t="shared" si="1"/>
        <v>11714.9</v>
      </c>
      <c r="AA46" s="44"/>
      <c r="AB46" s="44"/>
      <c r="AC46" s="44"/>
      <c r="AD46" s="44"/>
      <c r="AE46" s="44"/>
      <c r="AF46" s="44"/>
      <c r="AG46" s="44"/>
      <c r="AH46" s="44">
        <f t="shared" si="2"/>
        <v>0</v>
      </c>
      <c r="AI46" s="44"/>
      <c r="AJ46" s="44"/>
      <c r="AK46" s="44"/>
      <c r="AL46" s="44"/>
      <c r="AM46" s="44"/>
      <c r="AN46" s="44"/>
      <c r="AO46" s="44"/>
      <c r="AP46" s="44">
        <f t="shared" si="3"/>
        <v>0</v>
      </c>
      <c r="AQ46" s="44"/>
      <c r="AR46" s="44"/>
      <c r="AS46" s="44"/>
      <c r="AT46" s="44"/>
      <c r="AU46" s="44"/>
      <c r="AV46" s="44"/>
      <c r="AW46" s="44"/>
      <c r="AX46" s="44">
        <f t="shared" si="4"/>
        <v>0</v>
      </c>
      <c r="AY46" s="44">
        <f t="shared" si="5"/>
        <v>0</v>
      </c>
      <c r="AZ46" s="44">
        <f t="shared" si="6"/>
        <v>2409</v>
      </c>
      <c r="BA46" s="44">
        <f t="shared" si="7"/>
        <v>0</v>
      </c>
      <c r="BB46" s="44">
        <f t="shared" si="8"/>
        <v>6993.9</v>
      </c>
      <c r="BC46" s="44">
        <f t="shared" si="9"/>
        <v>0</v>
      </c>
      <c r="BD46" s="44">
        <f t="shared" si="10"/>
        <v>0</v>
      </c>
      <c r="BE46" s="44">
        <f t="shared" si="11"/>
        <v>2312</v>
      </c>
      <c r="BF46" s="83">
        <f t="shared" si="12"/>
        <v>11714.9</v>
      </c>
      <c r="BG46" s="47"/>
      <c r="BH46" s="47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</row>
    <row r="47" spans="1:73" s="91" customFormat="1" ht="40.5" x14ac:dyDescent="0.25">
      <c r="A47" s="707"/>
      <c r="B47" s="627"/>
      <c r="C47" s="627"/>
      <c r="D47" s="627"/>
      <c r="E47" s="603"/>
      <c r="F47" s="612"/>
      <c r="G47" s="612"/>
      <c r="H47" s="617"/>
      <c r="I47" s="601"/>
      <c r="J47" s="603"/>
      <c r="K47" s="355" t="s">
        <v>479</v>
      </c>
      <c r="L47" s="379" t="s">
        <v>443</v>
      </c>
      <c r="M47" s="48">
        <v>0.71</v>
      </c>
      <c r="N47" s="48">
        <v>0.83</v>
      </c>
      <c r="O47" s="48">
        <v>0.79</v>
      </c>
      <c r="P47" s="46"/>
      <c r="Q47" s="48">
        <v>0.83</v>
      </c>
      <c r="R47" s="198"/>
      <c r="S47" s="185"/>
      <c r="T47" s="44">
        <v>7788</v>
      </c>
      <c r="U47" s="44"/>
      <c r="V47" s="44">
        <v>6849.9</v>
      </c>
      <c r="W47" s="44"/>
      <c r="X47" s="44"/>
      <c r="Y47" s="44"/>
      <c r="Z47" s="44">
        <f t="shared" si="1"/>
        <v>14637.9</v>
      </c>
      <c r="AA47" s="44"/>
      <c r="AB47" s="44"/>
      <c r="AC47" s="44"/>
      <c r="AD47" s="44"/>
      <c r="AE47" s="44"/>
      <c r="AF47" s="44"/>
      <c r="AG47" s="44"/>
      <c r="AH47" s="44">
        <f t="shared" si="2"/>
        <v>0</v>
      </c>
      <c r="AI47" s="44"/>
      <c r="AJ47" s="44">
        <v>1665.5</v>
      </c>
      <c r="AK47" s="44"/>
      <c r="AL47" s="44"/>
      <c r="AM47" s="44"/>
      <c r="AN47" s="44">
        <v>1464.8</v>
      </c>
      <c r="AO47" s="44"/>
      <c r="AP47" s="44">
        <f t="shared" si="3"/>
        <v>3130.3</v>
      </c>
      <c r="AQ47" s="44"/>
      <c r="AR47" s="44"/>
      <c r="AS47" s="44"/>
      <c r="AT47" s="44"/>
      <c r="AU47" s="44"/>
      <c r="AV47" s="44"/>
      <c r="AW47" s="44"/>
      <c r="AX47" s="44">
        <f t="shared" si="4"/>
        <v>0</v>
      </c>
      <c r="AY47" s="44">
        <f t="shared" si="5"/>
        <v>0</v>
      </c>
      <c r="AZ47" s="44">
        <f t="shared" si="6"/>
        <v>9453.5</v>
      </c>
      <c r="BA47" s="44">
        <f t="shared" si="7"/>
        <v>0</v>
      </c>
      <c r="BB47" s="44">
        <f t="shared" si="8"/>
        <v>6849.9</v>
      </c>
      <c r="BC47" s="44">
        <f t="shared" si="9"/>
        <v>0</v>
      </c>
      <c r="BD47" s="44">
        <f t="shared" si="10"/>
        <v>1464.8</v>
      </c>
      <c r="BE47" s="44">
        <f t="shared" si="11"/>
        <v>0</v>
      </c>
      <c r="BF47" s="83">
        <f t="shared" si="12"/>
        <v>17768.2</v>
      </c>
      <c r="BG47" s="47"/>
      <c r="BH47" s="47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</row>
    <row r="48" spans="1:73" s="91" customFormat="1" ht="40.5" x14ac:dyDescent="0.25">
      <c r="A48" s="707"/>
      <c r="B48" s="627"/>
      <c r="C48" s="627"/>
      <c r="D48" s="627"/>
      <c r="E48" s="603"/>
      <c r="F48" s="612"/>
      <c r="G48" s="612"/>
      <c r="H48" s="617"/>
      <c r="I48" s="601"/>
      <c r="J48" s="603"/>
      <c r="K48" s="355" t="s">
        <v>480</v>
      </c>
      <c r="L48" s="379" t="s">
        <v>443</v>
      </c>
      <c r="M48" s="48">
        <v>0</v>
      </c>
      <c r="N48" s="48">
        <v>0.85</v>
      </c>
      <c r="O48" s="46"/>
      <c r="P48" s="48">
        <v>0.85</v>
      </c>
      <c r="Q48" s="46"/>
      <c r="R48" s="198"/>
      <c r="S48" s="185"/>
      <c r="T48" s="44"/>
      <c r="U48" s="44"/>
      <c r="V48" s="44"/>
      <c r="W48" s="44"/>
      <c r="X48" s="44"/>
      <c r="Y48" s="44"/>
      <c r="Z48" s="44">
        <f t="shared" si="1"/>
        <v>0</v>
      </c>
      <c r="AA48" s="44"/>
      <c r="AB48" s="44">
        <v>1864</v>
      </c>
      <c r="AC48" s="44"/>
      <c r="AD48" s="44"/>
      <c r="AE48" s="44"/>
      <c r="AF48" s="44">
        <v>9022</v>
      </c>
      <c r="AG48" s="44"/>
      <c r="AH48" s="44">
        <f t="shared" si="2"/>
        <v>10886</v>
      </c>
      <c r="AI48" s="44"/>
      <c r="AJ48" s="44"/>
      <c r="AK48" s="44"/>
      <c r="AL48" s="44"/>
      <c r="AM48" s="44"/>
      <c r="AN48" s="44"/>
      <c r="AO48" s="44"/>
      <c r="AP48" s="44">
        <f t="shared" si="3"/>
        <v>0</v>
      </c>
      <c r="AQ48" s="44"/>
      <c r="AR48" s="44"/>
      <c r="AS48" s="44"/>
      <c r="AT48" s="44"/>
      <c r="AU48" s="44"/>
      <c r="AV48" s="44"/>
      <c r="AW48" s="44"/>
      <c r="AX48" s="44">
        <f t="shared" si="4"/>
        <v>0</v>
      </c>
      <c r="AY48" s="44">
        <f t="shared" si="5"/>
        <v>0</v>
      </c>
      <c r="AZ48" s="44">
        <f t="shared" si="6"/>
        <v>1864</v>
      </c>
      <c r="BA48" s="44">
        <f t="shared" si="7"/>
        <v>0</v>
      </c>
      <c r="BB48" s="44">
        <f t="shared" si="8"/>
        <v>0</v>
      </c>
      <c r="BC48" s="44">
        <f t="shared" si="9"/>
        <v>0</v>
      </c>
      <c r="BD48" s="44">
        <f t="shared" si="10"/>
        <v>9022</v>
      </c>
      <c r="BE48" s="44">
        <f t="shared" si="11"/>
        <v>0</v>
      </c>
      <c r="BF48" s="83">
        <f t="shared" si="12"/>
        <v>10886</v>
      </c>
      <c r="BG48" s="47"/>
      <c r="BH48" s="47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</row>
    <row r="49" spans="1:73" s="91" customFormat="1" ht="27" x14ac:dyDescent="0.25">
      <c r="A49" s="707"/>
      <c r="B49" s="627"/>
      <c r="C49" s="627"/>
      <c r="D49" s="627"/>
      <c r="E49" s="603"/>
      <c r="F49" s="612"/>
      <c r="G49" s="612"/>
      <c r="H49" s="617"/>
      <c r="I49" s="601"/>
      <c r="J49" s="603"/>
      <c r="K49" s="355" t="s">
        <v>481</v>
      </c>
      <c r="L49" s="379" t="s">
        <v>443</v>
      </c>
      <c r="M49" s="48">
        <v>0</v>
      </c>
      <c r="N49" s="48">
        <v>1</v>
      </c>
      <c r="O49" s="48">
        <v>1</v>
      </c>
      <c r="P49" s="46"/>
      <c r="Q49" s="46"/>
      <c r="R49" s="198"/>
      <c r="S49" s="185"/>
      <c r="T49" s="44">
        <v>1214</v>
      </c>
      <c r="U49" s="44"/>
      <c r="V49" s="44">
        <v>1913</v>
      </c>
      <c r="W49" s="44"/>
      <c r="X49" s="44"/>
      <c r="Y49" s="44"/>
      <c r="Z49" s="44">
        <f t="shared" si="1"/>
        <v>3127</v>
      </c>
      <c r="AA49" s="44"/>
      <c r="AB49" s="44"/>
      <c r="AC49" s="44"/>
      <c r="AD49" s="44"/>
      <c r="AE49" s="44"/>
      <c r="AF49" s="44"/>
      <c r="AG49" s="44"/>
      <c r="AH49" s="44">
        <f t="shared" si="2"/>
        <v>0</v>
      </c>
      <c r="AI49" s="44"/>
      <c r="AJ49" s="44"/>
      <c r="AK49" s="44"/>
      <c r="AL49" s="44"/>
      <c r="AM49" s="44"/>
      <c r="AN49" s="44"/>
      <c r="AO49" s="44"/>
      <c r="AP49" s="44">
        <f t="shared" si="3"/>
        <v>0</v>
      </c>
      <c r="AQ49" s="44"/>
      <c r="AR49" s="44"/>
      <c r="AS49" s="44"/>
      <c r="AT49" s="44"/>
      <c r="AU49" s="44"/>
      <c r="AV49" s="44"/>
      <c r="AW49" s="44"/>
      <c r="AX49" s="44">
        <f t="shared" si="4"/>
        <v>0</v>
      </c>
      <c r="AY49" s="44">
        <f t="shared" si="5"/>
        <v>0</v>
      </c>
      <c r="AZ49" s="44">
        <f t="shared" si="6"/>
        <v>1214</v>
      </c>
      <c r="BA49" s="44">
        <f t="shared" si="7"/>
        <v>0</v>
      </c>
      <c r="BB49" s="44">
        <f t="shared" si="8"/>
        <v>1913</v>
      </c>
      <c r="BC49" s="44">
        <f t="shared" si="9"/>
        <v>0</v>
      </c>
      <c r="BD49" s="44">
        <f t="shared" si="10"/>
        <v>0</v>
      </c>
      <c r="BE49" s="44">
        <f t="shared" si="11"/>
        <v>0</v>
      </c>
      <c r="BF49" s="83">
        <f t="shared" si="12"/>
        <v>3127</v>
      </c>
      <c r="BG49" s="47"/>
      <c r="BH49" s="47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</row>
    <row r="50" spans="1:73" s="91" customFormat="1" ht="40.5" x14ac:dyDescent="0.25">
      <c r="A50" s="707"/>
      <c r="B50" s="627"/>
      <c r="C50" s="627"/>
      <c r="D50" s="627"/>
      <c r="E50" s="603"/>
      <c r="F50" s="612"/>
      <c r="G50" s="612"/>
      <c r="H50" s="617"/>
      <c r="I50" s="601"/>
      <c r="J50" s="603"/>
      <c r="K50" s="355" t="s">
        <v>482</v>
      </c>
      <c r="L50" s="379" t="s">
        <v>443</v>
      </c>
      <c r="M50" s="48">
        <v>0</v>
      </c>
      <c r="N50" s="48">
        <v>0.3</v>
      </c>
      <c r="O50" s="46"/>
      <c r="P50" s="46"/>
      <c r="Q50" s="48">
        <v>0.3</v>
      </c>
      <c r="R50" s="198"/>
      <c r="S50" s="185"/>
      <c r="T50" s="44"/>
      <c r="U50" s="44"/>
      <c r="V50" s="44"/>
      <c r="W50" s="44"/>
      <c r="X50" s="44"/>
      <c r="Y50" s="44"/>
      <c r="Z50" s="44">
        <f t="shared" si="1"/>
        <v>0</v>
      </c>
      <c r="AA50" s="44"/>
      <c r="AB50" s="44"/>
      <c r="AC50" s="44"/>
      <c r="AD50" s="44"/>
      <c r="AE50" s="44"/>
      <c r="AF50" s="44"/>
      <c r="AG50" s="44"/>
      <c r="AH50" s="44">
        <f t="shared" si="2"/>
        <v>0</v>
      </c>
      <c r="AI50" s="44"/>
      <c r="AJ50" s="44">
        <v>3983</v>
      </c>
      <c r="AK50" s="44"/>
      <c r="AL50" s="44"/>
      <c r="AM50" s="44"/>
      <c r="AN50" s="44">
        <v>22053</v>
      </c>
      <c r="AO50" s="44"/>
      <c r="AP50" s="44">
        <f t="shared" si="3"/>
        <v>26036</v>
      </c>
      <c r="AQ50" s="44"/>
      <c r="AR50" s="44"/>
      <c r="AS50" s="44"/>
      <c r="AT50" s="44"/>
      <c r="AU50" s="44"/>
      <c r="AV50" s="44"/>
      <c r="AW50" s="44"/>
      <c r="AX50" s="44">
        <f t="shared" si="4"/>
        <v>0</v>
      </c>
      <c r="AY50" s="44">
        <f t="shared" si="5"/>
        <v>0</v>
      </c>
      <c r="AZ50" s="44">
        <f t="shared" si="6"/>
        <v>3983</v>
      </c>
      <c r="BA50" s="44">
        <f t="shared" si="7"/>
        <v>0</v>
      </c>
      <c r="BB50" s="44">
        <f t="shared" si="8"/>
        <v>0</v>
      </c>
      <c r="BC50" s="44">
        <f t="shared" si="9"/>
        <v>0</v>
      </c>
      <c r="BD50" s="44">
        <f t="shared" si="10"/>
        <v>22053</v>
      </c>
      <c r="BE50" s="44">
        <f t="shared" si="11"/>
        <v>0</v>
      </c>
      <c r="BF50" s="83">
        <f t="shared" si="12"/>
        <v>26036</v>
      </c>
      <c r="BG50" s="47"/>
      <c r="BH50" s="47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</row>
    <row r="51" spans="1:73" s="91" customFormat="1" ht="40.5" x14ac:dyDescent="0.25">
      <c r="A51" s="707"/>
      <c r="B51" s="627"/>
      <c r="C51" s="627"/>
      <c r="D51" s="627"/>
      <c r="E51" s="603"/>
      <c r="F51" s="612"/>
      <c r="G51" s="612"/>
      <c r="H51" s="617"/>
      <c r="I51" s="601"/>
      <c r="J51" s="603" t="s">
        <v>1317</v>
      </c>
      <c r="K51" s="355" t="s">
        <v>484</v>
      </c>
      <c r="L51" s="379" t="s">
        <v>483</v>
      </c>
      <c r="M51" s="46">
        <v>0</v>
      </c>
      <c r="N51" s="46">
        <v>1</v>
      </c>
      <c r="O51" s="46"/>
      <c r="P51" s="46">
        <v>1</v>
      </c>
      <c r="Q51" s="46"/>
      <c r="R51" s="198"/>
      <c r="S51" s="185"/>
      <c r="T51" s="44"/>
      <c r="U51" s="44"/>
      <c r="V51" s="44"/>
      <c r="W51" s="44"/>
      <c r="X51" s="44"/>
      <c r="Y51" s="44"/>
      <c r="Z51" s="44">
        <f t="shared" si="1"/>
        <v>0</v>
      </c>
      <c r="AA51" s="44"/>
      <c r="AB51" s="44"/>
      <c r="AC51" s="44"/>
      <c r="AD51" s="44"/>
      <c r="AE51" s="44"/>
      <c r="AF51" s="44">
        <v>383</v>
      </c>
      <c r="AG51" s="44"/>
      <c r="AH51" s="44">
        <f t="shared" si="2"/>
        <v>383</v>
      </c>
      <c r="AI51" s="44"/>
      <c r="AJ51" s="44"/>
      <c r="AK51" s="44"/>
      <c r="AL51" s="44"/>
      <c r="AM51" s="44"/>
      <c r="AN51" s="44"/>
      <c r="AO51" s="44"/>
      <c r="AP51" s="44">
        <f t="shared" si="3"/>
        <v>0</v>
      </c>
      <c r="AQ51" s="44"/>
      <c r="AR51" s="44"/>
      <c r="AS51" s="44"/>
      <c r="AT51" s="44"/>
      <c r="AU51" s="44"/>
      <c r="AV51" s="44"/>
      <c r="AW51" s="44"/>
      <c r="AX51" s="44">
        <f t="shared" si="4"/>
        <v>0</v>
      </c>
      <c r="AY51" s="44">
        <f t="shared" si="5"/>
        <v>0</v>
      </c>
      <c r="AZ51" s="44">
        <f t="shared" si="6"/>
        <v>0</v>
      </c>
      <c r="BA51" s="44">
        <f t="shared" si="7"/>
        <v>0</v>
      </c>
      <c r="BB51" s="44">
        <f t="shared" si="8"/>
        <v>0</v>
      </c>
      <c r="BC51" s="44">
        <f t="shared" si="9"/>
        <v>0</v>
      </c>
      <c r="BD51" s="44">
        <f t="shared" si="10"/>
        <v>383</v>
      </c>
      <c r="BE51" s="44">
        <f t="shared" si="11"/>
        <v>0</v>
      </c>
      <c r="BF51" s="83">
        <f t="shared" si="12"/>
        <v>383</v>
      </c>
      <c r="BG51" s="47"/>
      <c r="BH51" s="47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</row>
    <row r="52" spans="1:73" s="91" customFormat="1" ht="40.5" x14ac:dyDescent="0.25">
      <c r="A52" s="707"/>
      <c r="B52" s="627"/>
      <c r="C52" s="627"/>
      <c r="D52" s="627"/>
      <c r="E52" s="603"/>
      <c r="F52" s="612"/>
      <c r="G52" s="612"/>
      <c r="H52" s="617"/>
      <c r="I52" s="601"/>
      <c r="J52" s="603"/>
      <c r="K52" s="355" t="s">
        <v>485</v>
      </c>
      <c r="L52" s="379" t="s">
        <v>483</v>
      </c>
      <c r="M52" s="46">
        <v>0</v>
      </c>
      <c r="N52" s="46">
        <v>1</v>
      </c>
      <c r="O52" s="46">
        <v>1</v>
      </c>
      <c r="P52" s="46"/>
      <c r="Q52" s="46"/>
      <c r="R52" s="198"/>
      <c r="S52" s="185"/>
      <c r="T52" s="44"/>
      <c r="U52" s="44"/>
      <c r="V52" s="44">
        <v>626</v>
      </c>
      <c r="W52" s="44"/>
      <c r="X52" s="44"/>
      <c r="Y52" s="44"/>
      <c r="Z52" s="44">
        <f t="shared" si="1"/>
        <v>626</v>
      </c>
      <c r="AA52" s="44"/>
      <c r="AB52" s="44"/>
      <c r="AC52" s="44"/>
      <c r="AD52" s="44"/>
      <c r="AE52" s="44"/>
      <c r="AF52" s="44"/>
      <c r="AG52" s="44"/>
      <c r="AH52" s="44">
        <f t="shared" si="2"/>
        <v>0</v>
      </c>
      <c r="AI52" s="44"/>
      <c r="AJ52" s="44"/>
      <c r="AK52" s="44"/>
      <c r="AL52" s="44"/>
      <c r="AM52" s="44"/>
      <c r="AN52" s="44"/>
      <c r="AO52" s="44"/>
      <c r="AP52" s="44">
        <f t="shared" si="3"/>
        <v>0</v>
      </c>
      <c r="AQ52" s="44"/>
      <c r="AR52" s="44"/>
      <c r="AS52" s="44"/>
      <c r="AT52" s="44"/>
      <c r="AU52" s="44"/>
      <c r="AV52" s="44"/>
      <c r="AW52" s="44"/>
      <c r="AX52" s="44">
        <f t="shared" si="4"/>
        <v>0</v>
      </c>
      <c r="AY52" s="44">
        <f t="shared" si="5"/>
        <v>0</v>
      </c>
      <c r="AZ52" s="44">
        <f t="shared" si="6"/>
        <v>0</v>
      </c>
      <c r="BA52" s="44">
        <f t="shared" si="7"/>
        <v>0</v>
      </c>
      <c r="BB52" s="44">
        <f t="shared" si="8"/>
        <v>626</v>
      </c>
      <c r="BC52" s="44">
        <f t="shared" si="9"/>
        <v>0</v>
      </c>
      <c r="BD52" s="44">
        <f t="shared" si="10"/>
        <v>0</v>
      </c>
      <c r="BE52" s="44">
        <f t="shared" si="11"/>
        <v>0</v>
      </c>
      <c r="BF52" s="83">
        <f t="shared" si="12"/>
        <v>626</v>
      </c>
      <c r="BG52" s="47"/>
      <c r="BH52" s="47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</row>
    <row r="53" spans="1:73" s="91" customFormat="1" ht="40.5" x14ac:dyDescent="0.25">
      <c r="A53" s="707"/>
      <c r="B53" s="627"/>
      <c r="C53" s="627"/>
      <c r="D53" s="627"/>
      <c r="E53" s="603"/>
      <c r="F53" s="612"/>
      <c r="G53" s="612"/>
      <c r="H53" s="617"/>
      <c r="I53" s="601"/>
      <c r="J53" s="603"/>
      <c r="K53" s="355" t="s">
        <v>486</v>
      </c>
      <c r="L53" s="379" t="s">
        <v>483</v>
      </c>
      <c r="M53" s="46">
        <v>0</v>
      </c>
      <c r="N53" s="46">
        <v>1</v>
      </c>
      <c r="O53" s="46">
        <v>1</v>
      </c>
      <c r="P53" s="46"/>
      <c r="Q53" s="46"/>
      <c r="R53" s="198"/>
      <c r="S53" s="185"/>
      <c r="T53" s="44"/>
      <c r="U53" s="44"/>
      <c r="V53" s="44">
        <v>518.70000000000005</v>
      </c>
      <c r="W53" s="44"/>
      <c r="X53" s="44"/>
      <c r="Y53" s="44"/>
      <c r="Z53" s="44">
        <f t="shared" si="1"/>
        <v>518.70000000000005</v>
      </c>
      <c r="AA53" s="44"/>
      <c r="AB53" s="44"/>
      <c r="AC53" s="44"/>
      <c r="AD53" s="44"/>
      <c r="AE53" s="44"/>
      <c r="AF53" s="44"/>
      <c r="AG53" s="44"/>
      <c r="AH53" s="44">
        <f t="shared" si="2"/>
        <v>0</v>
      </c>
      <c r="AI53" s="44"/>
      <c r="AJ53" s="44"/>
      <c r="AK53" s="44"/>
      <c r="AL53" s="44"/>
      <c r="AM53" s="44"/>
      <c r="AN53" s="44"/>
      <c r="AO53" s="44"/>
      <c r="AP53" s="44">
        <f t="shared" si="3"/>
        <v>0</v>
      </c>
      <c r="AQ53" s="44"/>
      <c r="AR53" s="44"/>
      <c r="AS53" s="44"/>
      <c r="AT53" s="44"/>
      <c r="AU53" s="44"/>
      <c r="AV53" s="44"/>
      <c r="AW53" s="44"/>
      <c r="AX53" s="44">
        <f t="shared" si="4"/>
        <v>0</v>
      </c>
      <c r="AY53" s="44">
        <f t="shared" si="5"/>
        <v>0</v>
      </c>
      <c r="AZ53" s="44">
        <f t="shared" si="6"/>
        <v>0</v>
      </c>
      <c r="BA53" s="44">
        <f t="shared" si="7"/>
        <v>0</v>
      </c>
      <c r="BB53" s="44">
        <f t="shared" si="8"/>
        <v>518.70000000000005</v>
      </c>
      <c r="BC53" s="44">
        <f t="shared" si="9"/>
        <v>0</v>
      </c>
      <c r="BD53" s="44">
        <f t="shared" si="10"/>
        <v>0</v>
      </c>
      <c r="BE53" s="44">
        <f t="shared" si="11"/>
        <v>0</v>
      </c>
      <c r="BF53" s="83">
        <f t="shared" si="12"/>
        <v>518.70000000000005</v>
      </c>
      <c r="BG53" s="47"/>
      <c r="BH53" s="47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</row>
    <row r="54" spans="1:73" s="91" customFormat="1" ht="40.5" x14ac:dyDescent="0.25">
      <c r="A54" s="707"/>
      <c r="B54" s="627"/>
      <c r="C54" s="627"/>
      <c r="D54" s="627"/>
      <c r="E54" s="603"/>
      <c r="F54" s="612"/>
      <c r="G54" s="612"/>
      <c r="H54" s="617"/>
      <c r="I54" s="601"/>
      <c r="J54" s="603"/>
      <c r="K54" s="355" t="s">
        <v>488</v>
      </c>
      <c r="L54" s="379" t="s">
        <v>483</v>
      </c>
      <c r="M54" s="46">
        <v>0</v>
      </c>
      <c r="N54" s="46">
        <v>1</v>
      </c>
      <c r="O54" s="46">
        <v>1</v>
      </c>
      <c r="P54" s="46"/>
      <c r="Q54" s="46"/>
      <c r="R54" s="198"/>
      <c r="S54" s="185"/>
      <c r="T54" s="44"/>
      <c r="U54" s="44"/>
      <c r="V54" s="44">
        <v>337.7</v>
      </c>
      <c r="W54" s="44"/>
      <c r="X54" s="44"/>
      <c r="Y54" s="44"/>
      <c r="Z54" s="44">
        <f t="shared" si="1"/>
        <v>337.7</v>
      </c>
      <c r="AA54" s="44"/>
      <c r="AB54" s="44"/>
      <c r="AC54" s="44"/>
      <c r="AD54" s="44"/>
      <c r="AE54" s="44"/>
      <c r="AF54" s="44"/>
      <c r="AG54" s="44"/>
      <c r="AH54" s="44">
        <f t="shared" si="2"/>
        <v>0</v>
      </c>
      <c r="AI54" s="44"/>
      <c r="AJ54" s="44"/>
      <c r="AK54" s="44"/>
      <c r="AL54" s="44"/>
      <c r="AM54" s="44"/>
      <c r="AN54" s="44"/>
      <c r="AO54" s="44"/>
      <c r="AP54" s="44">
        <f t="shared" si="3"/>
        <v>0</v>
      </c>
      <c r="AQ54" s="44"/>
      <c r="AR54" s="44"/>
      <c r="AS54" s="44"/>
      <c r="AT54" s="44"/>
      <c r="AU54" s="44"/>
      <c r="AV54" s="44"/>
      <c r="AW54" s="44"/>
      <c r="AX54" s="44">
        <f t="shared" si="4"/>
        <v>0</v>
      </c>
      <c r="AY54" s="44">
        <f t="shared" si="5"/>
        <v>0</v>
      </c>
      <c r="AZ54" s="44">
        <f t="shared" si="6"/>
        <v>0</v>
      </c>
      <c r="BA54" s="44">
        <f t="shared" si="7"/>
        <v>0</v>
      </c>
      <c r="BB54" s="44">
        <f t="shared" si="8"/>
        <v>337.7</v>
      </c>
      <c r="BC54" s="44">
        <f t="shared" si="9"/>
        <v>0</v>
      </c>
      <c r="BD54" s="44">
        <f t="shared" si="10"/>
        <v>0</v>
      </c>
      <c r="BE54" s="44">
        <f t="shared" si="11"/>
        <v>0</v>
      </c>
      <c r="BF54" s="83">
        <f t="shared" si="12"/>
        <v>337.7</v>
      </c>
      <c r="BG54" s="47"/>
      <c r="BH54" s="47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</row>
    <row r="55" spans="1:73" s="91" customFormat="1" ht="40.5" x14ac:dyDescent="0.25">
      <c r="A55" s="707"/>
      <c r="B55" s="627"/>
      <c r="C55" s="627"/>
      <c r="D55" s="627"/>
      <c r="E55" s="603"/>
      <c r="F55" s="612"/>
      <c r="G55" s="612"/>
      <c r="H55" s="617"/>
      <c r="I55" s="601"/>
      <c r="J55" s="603"/>
      <c r="K55" s="355" t="s">
        <v>487</v>
      </c>
      <c r="L55" s="379" t="s">
        <v>483</v>
      </c>
      <c r="M55" s="46">
        <v>0</v>
      </c>
      <c r="N55" s="46">
        <v>1</v>
      </c>
      <c r="O55" s="46"/>
      <c r="P55" s="46">
        <v>1</v>
      </c>
      <c r="Q55" s="46"/>
      <c r="R55" s="198"/>
      <c r="S55" s="185"/>
      <c r="T55" s="44"/>
      <c r="U55" s="44"/>
      <c r="V55" s="44"/>
      <c r="W55" s="44"/>
      <c r="X55" s="44"/>
      <c r="Y55" s="44"/>
      <c r="Z55" s="44">
        <f t="shared" si="1"/>
        <v>0</v>
      </c>
      <c r="AA55" s="44"/>
      <c r="AB55" s="44"/>
      <c r="AC55" s="44"/>
      <c r="AD55" s="44"/>
      <c r="AE55" s="44"/>
      <c r="AF55" s="44">
        <v>483.9</v>
      </c>
      <c r="AG55" s="44"/>
      <c r="AH55" s="44">
        <f t="shared" si="2"/>
        <v>483.9</v>
      </c>
      <c r="AI55" s="44"/>
      <c r="AJ55" s="44"/>
      <c r="AK55" s="44"/>
      <c r="AL55" s="44"/>
      <c r="AM55" s="44"/>
      <c r="AN55" s="44"/>
      <c r="AO55" s="44"/>
      <c r="AP55" s="44">
        <f t="shared" si="3"/>
        <v>0</v>
      </c>
      <c r="AQ55" s="44"/>
      <c r="AR55" s="44"/>
      <c r="AS55" s="44"/>
      <c r="AT55" s="44"/>
      <c r="AU55" s="44"/>
      <c r="AV55" s="44"/>
      <c r="AW55" s="44"/>
      <c r="AX55" s="44">
        <f t="shared" si="4"/>
        <v>0</v>
      </c>
      <c r="AY55" s="44">
        <f t="shared" si="5"/>
        <v>0</v>
      </c>
      <c r="AZ55" s="44">
        <f t="shared" si="6"/>
        <v>0</v>
      </c>
      <c r="BA55" s="44">
        <f t="shared" si="7"/>
        <v>0</v>
      </c>
      <c r="BB55" s="44">
        <f t="shared" si="8"/>
        <v>0</v>
      </c>
      <c r="BC55" s="44">
        <f t="shared" si="9"/>
        <v>0</v>
      </c>
      <c r="BD55" s="44">
        <f t="shared" si="10"/>
        <v>483.9</v>
      </c>
      <c r="BE55" s="44">
        <f t="shared" si="11"/>
        <v>0</v>
      </c>
      <c r="BF55" s="83">
        <f t="shared" si="12"/>
        <v>483.9</v>
      </c>
      <c r="BG55" s="47"/>
      <c r="BH55" s="47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</row>
    <row r="56" spans="1:73" s="91" customFormat="1" ht="40.5" x14ac:dyDescent="0.25">
      <c r="A56" s="707"/>
      <c r="B56" s="627"/>
      <c r="C56" s="627"/>
      <c r="D56" s="627"/>
      <c r="E56" s="603"/>
      <c r="F56" s="612"/>
      <c r="G56" s="612"/>
      <c r="H56" s="617"/>
      <c r="I56" s="601"/>
      <c r="J56" s="603"/>
      <c r="K56" s="355" t="s">
        <v>489</v>
      </c>
      <c r="L56" s="379" t="s">
        <v>483</v>
      </c>
      <c r="M56" s="46">
        <v>0</v>
      </c>
      <c r="N56" s="46">
        <v>1</v>
      </c>
      <c r="O56" s="46">
        <v>1</v>
      </c>
      <c r="P56" s="46"/>
      <c r="Q56" s="46"/>
      <c r="R56" s="198"/>
      <c r="S56" s="185"/>
      <c r="T56" s="44"/>
      <c r="U56" s="44"/>
      <c r="V56" s="44">
        <v>463</v>
      </c>
      <c r="W56" s="44"/>
      <c r="X56" s="44"/>
      <c r="Y56" s="44"/>
      <c r="Z56" s="44">
        <f t="shared" si="1"/>
        <v>463</v>
      </c>
      <c r="AA56" s="44"/>
      <c r="AB56" s="44"/>
      <c r="AC56" s="44"/>
      <c r="AD56" s="44"/>
      <c r="AE56" s="44"/>
      <c r="AF56" s="44"/>
      <c r="AG56" s="44"/>
      <c r="AH56" s="44">
        <f t="shared" si="2"/>
        <v>0</v>
      </c>
      <c r="AI56" s="44"/>
      <c r="AJ56" s="44"/>
      <c r="AK56" s="44"/>
      <c r="AL56" s="44"/>
      <c r="AM56" s="44"/>
      <c r="AN56" s="44"/>
      <c r="AO56" s="44"/>
      <c r="AP56" s="44">
        <f t="shared" si="3"/>
        <v>0</v>
      </c>
      <c r="AQ56" s="44"/>
      <c r="AR56" s="44"/>
      <c r="AS56" s="44"/>
      <c r="AT56" s="44"/>
      <c r="AU56" s="44"/>
      <c r="AV56" s="44"/>
      <c r="AW56" s="44"/>
      <c r="AX56" s="44">
        <f t="shared" si="4"/>
        <v>0</v>
      </c>
      <c r="AY56" s="44">
        <f t="shared" si="5"/>
        <v>0</v>
      </c>
      <c r="AZ56" s="44">
        <f t="shared" si="6"/>
        <v>0</v>
      </c>
      <c r="BA56" s="44">
        <f t="shared" si="7"/>
        <v>0</v>
      </c>
      <c r="BB56" s="44">
        <f t="shared" si="8"/>
        <v>463</v>
      </c>
      <c r="BC56" s="44">
        <f t="shared" si="9"/>
        <v>0</v>
      </c>
      <c r="BD56" s="44">
        <f t="shared" si="10"/>
        <v>0</v>
      </c>
      <c r="BE56" s="44">
        <f t="shared" si="11"/>
        <v>0</v>
      </c>
      <c r="BF56" s="83">
        <f t="shared" si="12"/>
        <v>463</v>
      </c>
      <c r="BG56" s="47"/>
      <c r="BH56" s="47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</row>
    <row r="57" spans="1:73" s="91" customFormat="1" ht="40.5" x14ac:dyDescent="0.25">
      <c r="A57" s="707"/>
      <c r="B57" s="627"/>
      <c r="C57" s="627"/>
      <c r="D57" s="627"/>
      <c r="E57" s="603"/>
      <c r="F57" s="612"/>
      <c r="G57" s="612"/>
      <c r="H57" s="617"/>
      <c r="I57" s="601"/>
      <c r="J57" s="603"/>
      <c r="K57" s="355" t="s">
        <v>490</v>
      </c>
      <c r="L57" s="379" t="s">
        <v>483</v>
      </c>
      <c r="M57" s="46">
        <v>0</v>
      </c>
      <c r="N57" s="46">
        <v>1</v>
      </c>
      <c r="O57" s="46">
        <v>1</v>
      </c>
      <c r="P57" s="46"/>
      <c r="Q57" s="46"/>
      <c r="R57" s="198"/>
      <c r="S57" s="185"/>
      <c r="T57" s="44"/>
      <c r="U57" s="44"/>
      <c r="V57" s="44">
        <v>364</v>
      </c>
      <c r="W57" s="44"/>
      <c r="X57" s="44"/>
      <c r="Y57" s="44"/>
      <c r="Z57" s="44">
        <f t="shared" si="1"/>
        <v>364</v>
      </c>
      <c r="AA57" s="44"/>
      <c r="AB57" s="44"/>
      <c r="AC57" s="44"/>
      <c r="AD57" s="44"/>
      <c r="AE57" s="44"/>
      <c r="AF57" s="44"/>
      <c r="AG57" s="44"/>
      <c r="AH57" s="44">
        <f t="shared" si="2"/>
        <v>0</v>
      </c>
      <c r="AI57" s="44"/>
      <c r="AJ57" s="44"/>
      <c r="AK57" s="44"/>
      <c r="AL57" s="44"/>
      <c r="AM57" s="44"/>
      <c r="AN57" s="44"/>
      <c r="AO57" s="44"/>
      <c r="AP57" s="44">
        <f t="shared" si="3"/>
        <v>0</v>
      </c>
      <c r="AQ57" s="44"/>
      <c r="AR57" s="44"/>
      <c r="AS57" s="44"/>
      <c r="AT57" s="44"/>
      <c r="AU57" s="44"/>
      <c r="AV57" s="44"/>
      <c r="AW57" s="44"/>
      <c r="AX57" s="44">
        <f t="shared" si="4"/>
        <v>0</v>
      </c>
      <c r="AY57" s="44">
        <f t="shared" si="5"/>
        <v>0</v>
      </c>
      <c r="AZ57" s="44">
        <f t="shared" si="6"/>
        <v>0</v>
      </c>
      <c r="BA57" s="44">
        <f t="shared" si="7"/>
        <v>0</v>
      </c>
      <c r="BB57" s="44">
        <f t="shared" si="8"/>
        <v>364</v>
      </c>
      <c r="BC57" s="44">
        <f t="shared" si="9"/>
        <v>0</v>
      </c>
      <c r="BD57" s="44">
        <f t="shared" si="10"/>
        <v>0</v>
      </c>
      <c r="BE57" s="44">
        <f t="shared" si="11"/>
        <v>0</v>
      </c>
      <c r="BF57" s="83">
        <f t="shared" si="12"/>
        <v>364</v>
      </c>
      <c r="BG57" s="47"/>
      <c r="BH57" s="47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</row>
    <row r="58" spans="1:73" s="91" customFormat="1" ht="40.5" x14ac:dyDescent="0.25">
      <c r="A58" s="707"/>
      <c r="B58" s="627"/>
      <c r="C58" s="627"/>
      <c r="D58" s="627"/>
      <c r="E58" s="603"/>
      <c r="F58" s="612"/>
      <c r="G58" s="612"/>
      <c r="H58" s="617"/>
      <c r="I58" s="601"/>
      <c r="J58" s="603"/>
      <c r="K58" s="355" t="s">
        <v>491</v>
      </c>
      <c r="L58" s="379" t="s">
        <v>483</v>
      </c>
      <c r="M58" s="46">
        <v>0</v>
      </c>
      <c r="N58" s="46">
        <v>1</v>
      </c>
      <c r="O58" s="46">
        <v>1</v>
      </c>
      <c r="P58" s="46"/>
      <c r="Q58" s="46"/>
      <c r="R58" s="198"/>
      <c r="S58" s="185"/>
      <c r="T58" s="44"/>
      <c r="U58" s="44"/>
      <c r="V58" s="44">
        <v>1010.5</v>
      </c>
      <c r="W58" s="44"/>
      <c r="X58" s="44"/>
      <c r="Y58" s="44"/>
      <c r="Z58" s="44">
        <f t="shared" si="1"/>
        <v>1010.5</v>
      </c>
      <c r="AA58" s="44"/>
      <c r="AB58" s="44"/>
      <c r="AC58" s="44"/>
      <c r="AD58" s="44"/>
      <c r="AE58" s="44"/>
      <c r="AF58" s="44"/>
      <c r="AG58" s="44"/>
      <c r="AH58" s="44">
        <f t="shared" si="2"/>
        <v>0</v>
      </c>
      <c r="AI58" s="44"/>
      <c r="AJ58" s="44"/>
      <c r="AK58" s="44"/>
      <c r="AL58" s="44"/>
      <c r="AM58" s="44"/>
      <c r="AN58" s="44"/>
      <c r="AO58" s="44"/>
      <c r="AP58" s="44">
        <f t="shared" si="3"/>
        <v>0</v>
      </c>
      <c r="AQ58" s="44"/>
      <c r="AR58" s="44"/>
      <c r="AS58" s="44"/>
      <c r="AT58" s="44"/>
      <c r="AU58" s="44"/>
      <c r="AV58" s="44"/>
      <c r="AW58" s="44"/>
      <c r="AX58" s="44">
        <f t="shared" si="4"/>
        <v>0</v>
      </c>
      <c r="AY58" s="44">
        <f t="shared" si="5"/>
        <v>0</v>
      </c>
      <c r="AZ58" s="44">
        <f t="shared" si="6"/>
        <v>0</v>
      </c>
      <c r="BA58" s="44">
        <f t="shared" si="7"/>
        <v>0</v>
      </c>
      <c r="BB58" s="44">
        <f t="shared" si="8"/>
        <v>1010.5</v>
      </c>
      <c r="BC58" s="44">
        <f t="shared" si="9"/>
        <v>0</v>
      </c>
      <c r="BD58" s="44">
        <f t="shared" si="10"/>
        <v>0</v>
      </c>
      <c r="BE58" s="44">
        <f t="shared" si="11"/>
        <v>0</v>
      </c>
      <c r="BF58" s="83">
        <f t="shared" si="12"/>
        <v>1010.5</v>
      </c>
      <c r="BG58" s="47"/>
      <c r="BH58" s="47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</row>
    <row r="59" spans="1:73" s="91" customFormat="1" ht="40.5" x14ac:dyDescent="0.25">
      <c r="A59" s="707"/>
      <c r="B59" s="627"/>
      <c r="C59" s="627"/>
      <c r="D59" s="627"/>
      <c r="E59" s="603"/>
      <c r="F59" s="612"/>
      <c r="G59" s="612"/>
      <c r="H59" s="617"/>
      <c r="I59" s="601"/>
      <c r="J59" s="603"/>
      <c r="K59" s="355" t="s">
        <v>492</v>
      </c>
      <c r="L59" s="379" t="s">
        <v>483</v>
      </c>
      <c r="M59" s="46">
        <v>0</v>
      </c>
      <c r="N59" s="46">
        <v>1</v>
      </c>
      <c r="O59" s="46">
        <v>1</v>
      </c>
      <c r="P59" s="46"/>
      <c r="Q59" s="46"/>
      <c r="R59" s="198"/>
      <c r="S59" s="185"/>
      <c r="T59" s="44"/>
      <c r="U59" s="44"/>
      <c r="V59" s="44">
        <v>498.7</v>
      </c>
      <c r="W59" s="44"/>
      <c r="X59" s="44"/>
      <c r="Y59" s="44"/>
      <c r="Z59" s="44">
        <f t="shared" si="1"/>
        <v>498.7</v>
      </c>
      <c r="AA59" s="44"/>
      <c r="AB59" s="44"/>
      <c r="AC59" s="44"/>
      <c r="AD59" s="44"/>
      <c r="AE59" s="44"/>
      <c r="AF59" s="44"/>
      <c r="AG59" s="44"/>
      <c r="AH59" s="44">
        <f t="shared" si="2"/>
        <v>0</v>
      </c>
      <c r="AI59" s="44"/>
      <c r="AJ59" s="44"/>
      <c r="AK59" s="44"/>
      <c r="AL59" s="44"/>
      <c r="AM59" s="44"/>
      <c r="AN59" s="44"/>
      <c r="AO59" s="44"/>
      <c r="AP59" s="44">
        <f t="shared" si="3"/>
        <v>0</v>
      </c>
      <c r="AQ59" s="44"/>
      <c r="AR59" s="44"/>
      <c r="AS59" s="44"/>
      <c r="AT59" s="44"/>
      <c r="AU59" s="44"/>
      <c r="AV59" s="44"/>
      <c r="AW59" s="44"/>
      <c r="AX59" s="44">
        <f t="shared" si="4"/>
        <v>0</v>
      </c>
      <c r="AY59" s="44">
        <f t="shared" si="5"/>
        <v>0</v>
      </c>
      <c r="AZ59" s="44">
        <f t="shared" si="6"/>
        <v>0</v>
      </c>
      <c r="BA59" s="44">
        <f t="shared" si="7"/>
        <v>0</v>
      </c>
      <c r="BB59" s="44">
        <f t="shared" si="8"/>
        <v>498.7</v>
      </c>
      <c r="BC59" s="44">
        <f t="shared" si="9"/>
        <v>0</v>
      </c>
      <c r="BD59" s="44">
        <f t="shared" si="10"/>
        <v>0</v>
      </c>
      <c r="BE59" s="44">
        <f t="shared" si="11"/>
        <v>0</v>
      </c>
      <c r="BF59" s="83">
        <f t="shared" si="12"/>
        <v>498.7</v>
      </c>
      <c r="BG59" s="47"/>
      <c r="BH59" s="47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</row>
    <row r="60" spans="1:73" s="91" customFormat="1" ht="40.5" x14ac:dyDescent="0.25">
      <c r="A60" s="707"/>
      <c r="B60" s="627"/>
      <c r="C60" s="627"/>
      <c r="D60" s="627"/>
      <c r="E60" s="603"/>
      <c r="F60" s="612"/>
      <c r="G60" s="612"/>
      <c r="H60" s="617"/>
      <c r="I60" s="601"/>
      <c r="J60" s="603"/>
      <c r="K60" s="355" t="s">
        <v>493</v>
      </c>
      <c r="L60" s="379" t="s">
        <v>483</v>
      </c>
      <c r="M60" s="46">
        <v>0</v>
      </c>
      <c r="N60" s="46">
        <v>1</v>
      </c>
      <c r="O60" s="46"/>
      <c r="P60" s="46">
        <v>1</v>
      </c>
      <c r="Q60" s="46"/>
      <c r="R60" s="198"/>
      <c r="S60" s="185"/>
      <c r="T60" s="44"/>
      <c r="U60" s="44"/>
      <c r="V60" s="44"/>
      <c r="W60" s="44"/>
      <c r="X60" s="44"/>
      <c r="Y60" s="44"/>
      <c r="Z60" s="44">
        <f t="shared" si="1"/>
        <v>0</v>
      </c>
      <c r="AA60" s="44"/>
      <c r="AB60" s="44"/>
      <c r="AC60" s="44"/>
      <c r="AD60" s="44"/>
      <c r="AE60" s="44"/>
      <c r="AF60" s="44">
        <v>391.9</v>
      </c>
      <c r="AG60" s="44"/>
      <c r="AH60" s="44">
        <f t="shared" si="2"/>
        <v>391.9</v>
      </c>
      <c r="AI60" s="44"/>
      <c r="AJ60" s="44"/>
      <c r="AK60" s="44"/>
      <c r="AL60" s="44"/>
      <c r="AM60" s="44"/>
      <c r="AN60" s="44"/>
      <c r="AO60" s="44"/>
      <c r="AP60" s="44">
        <f t="shared" si="3"/>
        <v>0</v>
      </c>
      <c r="AQ60" s="44"/>
      <c r="AR60" s="44"/>
      <c r="AS60" s="44"/>
      <c r="AT60" s="44"/>
      <c r="AU60" s="44"/>
      <c r="AV60" s="44"/>
      <c r="AW60" s="44"/>
      <c r="AX60" s="44">
        <f t="shared" si="4"/>
        <v>0</v>
      </c>
      <c r="AY60" s="44">
        <f t="shared" si="5"/>
        <v>0</v>
      </c>
      <c r="AZ60" s="44">
        <f t="shared" si="6"/>
        <v>0</v>
      </c>
      <c r="BA60" s="44">
        <f t="shared" si="7"/>
        <v>0</v>
      </c>
      <c r="BB60" s="44">
        <f t="shared" si="8"/>
        <v>0</v>
      </c>
      <c r="BC60" s="44">
        <f t="shared" si="9"/>
        <v>0</v>
      </c>
      <c r="BD60" s="44">
        <f t="shared" si="10"/>
        <v>391.9</v>
      </c>
      <c r="BE60" s="44">
        <f t="shared" si="11"/>
        <v>0</v>
      </c>
      <c r="BF60" s="83">
        <f t="shared" si="12"/>
        <v>391.9</v>
      </c>
      <c r="BG60" s="47"/>
      <c r="BH60" s="47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</row>
    <row r="61" spans="1:73" s="91" customFormat="1" ht="40.5" x14ac:dyDescent="0.25">
      <c r="A61" s="707"/>
      <c r="B61" s="627"/>
      <c r="C61" s="627"/>
      <c r="D61" s="627"/>
      <c r="E61" s="603"/>
      <c r="F61" s="612"/>
      <c r="G61" s="612"/>
      <c r="H61" s="617"/>
      <c r="I61" s="601"/>
      <c r="J61" s="603"/>
      <c r="K61" s="355" t="s">
        <v>494</v>
      </c>
      <c r="L61" s="379" t="s">
        <v>483</v>
      </c>
      <c r="M61" s="46">
        <v>0</v>
      </c>
      <c r="N61" s="46">
        <v>1</v>
      </c>
      <c r="O61" s="46">
        <v>1</v>
      </c>
      <c r="P61" s="46"/>
      <c r="Q61" s="46"/>
      <c r="R61" s="198"/>
      <c r="S61" s="185"/>
      <c r="T61" s="44"/>
      <c r="U61" s="44"/>
      <c r="V61" s="44">
        <v>94</v>
      </c>
      <c r="W61" s="44"/>
      <c r="X61" s="44"/>
      <c r="Y61" s="44"/>
      <c r="Z61" s="44">
        <f t="shared" si="1"/>
        <v>94</v>
      </c>
      <c r="AA61" s="44"/>
      <c r="AB61" s="44"/>
      <c r="AC61" s="44"/>
      <c r="AD61" s="44"/>
      <c r="AE61" s="44"/>
      <c r="AF61" s="44"/>
      <c r="AG61" s="44"/>
      <c r="AH61" s="44">
        <f t="shared" si="2"/>
        <v>0</v>
      </c>
      <c r="AI61" s="44"/>
      <c r="AJ61" s="44"/>
      <c r="AK61" s="44"/>
      <c r="AL61" s="44"/>
      <c r="AM61" s="44"/>
      <c r="AN61" s="44"/>
      <c r="AO61" s="44"/>
      <c r="AP61" s="44">
        <f t="shared" si="3"/>
        <v>0</v>
      </c>
      <c r="AQ61" s="44"/>
      <c r="AR61" s="44"/>
      <c r="AS61" s="44"/>
      <c r="AT61" s="44"/>
      <c r="AU61" s="44"/>
      <c r="AV61" s="44"/>
      <c r="AW61" s="44"/>
      <c r="AX61" s="44">
        <f t="shared" si="4"/>
        <v>0</v>
      </c>
      <c r="AY61" s="44">
        <f t="shared" si="5"/>
        <v>0</v>
      </c>
      <c r="AZ61" s="44">
        <f t="shared" si="6"/>
        <v>0</v>
      </c>
      <c r="BA61" s="44">
        <f t="shared" si="7"/>
        <v>0</v>
      </c>
      <c r="BB61" s="44">
        <f t="shared" si="8"/>
        <v>94</v>
      </c>
      <c r="BC61" s="44">
        <f t="shared" si="9"/>
        <v>0</v>
      </c>
      <c r="BD61" s="44">
        <f t="shared" si="10"/>
        <v>0</v>
      </c>
      <c r="BE61" s="44">
        <f t="shared" si="11"/>
        <v>0</v>
      </c>
      <c r="BF61" s="83">
        <f t="shared" si="12"/>
        <v>94</v>
      </c>
      <c r="BG61" s="47"/>
      <c r="BH61" s="47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</row>
    <row r="62" spans="1:73" s="91" customFormat="1" ht="40.5" x14ac:dyDescent="0.25">
      <c r="A62" s="707"/>
      <c r="B62" s="627"/>
      <c r="C62" s="627"/>
      <c r="D62" s="627"/>
      <c r="E62" s="603"/>
      <c r="F62" s="612"/>
      <c r="G62" s="612"/>
      <c r="H62" s="617"/>
      <c r="I62" s="601"/>
      <c r="J62" s="603"/>
      <c r="K62" s="355" t="s">
        <v>495</v>
      </c>
      <c r="L62" s="379" t="s">
        <v>483</v>
      </c>
      <c r="M62" s="46">
        <v>0</v>
      </c>
      <c r="N62" s="46">
        <v>1</v>
      </c>
      <c r="O62" s="46"/>
      <c r="P62" s="46">
        <v>1</v>
      </c>
      <c r="Q62" s="46"/>
      <c r="R62" s="198"/>
      <c r="S62" s="185"/>
      <c r="T62" s="44"/>
      <c r="U62" s="44"/>
      <c r="V62" s="44"/>
      <c r="W62" s="44"/>
      <c r="X62" s="44"/>
      <c r="Y62" s="44"/>
      <c r="Z62" s="44">
        <f t="shared" si="1"/>
        <v>0</v>
      </c>
      <c r="AA62" s="44"/>
      <c r="AB62" s="44"/>
      <c r="AC62" s="44"/>
      <c r="AD62" s="44"/>
      <c r="AE62" s="44"/>
      <c r="AF62" s="44">
        <v>402</v>
      </c>
      <c r="AG62" s="44"/>
      <c r="AH62" s="44">
        <f t="shared" si="2"/>
        <v>402</v>
      </c>
      <c r="AI62" s="44"/>
      <c r="AJ62" s="44"/>
      <c r="AK62" s="44"/>
      <c r="AL62" s="44"/>
      <c r="AM62" s="44"/>
      <c r="AN62" s="44"/>
      <c r="AO62" s="44"/>
      <c r="AP62" s="44">
        <f t="shared" si="3"/>
        <v>0</v>
      </c>
      <c r="AQ62" s="44"/>
      <c r="AR62" s="44"/>
      <c r="AS62" s="44"/>
      <c r="AT62" s="44"/>
      <c r="AU62" s="44"/>
      <c r="AV62" s="44"/>
      <c r="AW62" s="44"/>
      <c r="AX62" s="44">
        <f t="shared" si="4"/>
        <v>0</v>
      </c>
      <c r="AY62" s="44">
        <f t="shared" si="5"/>
        <v>0</v>
      </c>
      <c r="AZ62" s="44">
        <f t="shared" si="6"/>
        <v>0</v>
      </c>
      <c r="BA62" s="44">
        <f t="shared" si="7"/>
        <v>0</v>
      </c>
      <c r="BB62" s="44">
        <f t="shared" si="8"/>
        <v>0</v>
      </c>
      <c r="BC62" s="44">
        <f t="shared" si="9"/>
        <v>0</v>
      </c>
      <c r="BD62" s="44">
        <f t="shared" si="10"/>
        <v>402</v>
      </c>
      <c r="BE62" s="44">
        <f t="shared" si="11"/>
        <v>0</v>
      </c>
      <c r="BF62" s="83">
        <f t="shared" si="12"/>
        <v>402</v>
      </c>
      <c r="BG62" s="47"/>
      <c r="BH62" s="47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</row>
    <row r="63" spans="1:73" s="91" customFormat="1" ht="40.5" x14ac:dyDescent="0.25">
      <c r="A63" s="707"/>
      <c r="B63" s="627"/>
      <c r="C63" s="627"/>
      <c r="D63" s="627"/>
      <c r="E63" s="603"/>
      <c r="F63" s="612"/>
      <c r="G63" s="612"/>
      <c r="H63" s="617"/>
      <c r="I63" s="601"/>
      <c r="J63" s="603"/>
      <c r="K63" s="355" t="s">
        <v>496</v>
      </c>
      <c r="L63" s="379" t="s">
        <v>483</v>
      </c>
      <c r="M63" s="46">
        <v>0</v>
      </c>
      <c r="N63" s="46">
        <v>1</v>
      </c>
      <c r="O63" s="46"/>
      <c r="P63" s="46">
        <v>1</v>
      </c>
      <c r="Q63" s="46"/>
      <c r="R63" s="198"/>
      <c r="S63" s="185"/>
      <c r="T63" s="44"/>
      <c r="U63" s="44"/>
      <c r="V63" s="44"/>
      <c r="W63" s="44"/>
      <c r="X63" s="44"/>
      <c r="Y63" s="44"/>
      <c r="Z63" s="44">
        <f t="shared" si="1"/>
        <v>0</v>
      </c>
      <c r="AA63" s="44"/>
      <c r="AB63" s="44"/>
      <c r="AC63" s="44"/>
      <c r="AD63" s="44"/>
      <c r="AE63" s="44"/>
      <c r="AF63" s="44">
        <v>919.9</v>
      </c>
      <c r="AG63" s="44"/>
      <c r="AH63" s="44">
        <f t="shared" si="2"/>
        <v>919.9</v>
      </c>
      <c r="AI63" s="44"/>
      <c r="AJ63" s="44"/>
      <c r="AK63" s="44"/>
      <c r="AL63" s="44"/>
      <c r="AM63" s="44"/>
      <c r="AN63" s="44"/>
      <c r="AO63" s="44"/>
      <c r="AP63" s="44">
        <f t="shared" si="3"/>
        <v>0</v>
      </c>
      <c r="AQ63" s="44"/>
      <c r="AR63" s="44"/>
      <c r="AS63" s="44"/>
      <c r="AT63" s="44"/>
      <c r="AU63" s="44"/>
      <c r="AV63" s="44"/>
      <c r="AW63" s="44"/>
      <c r="AX63" s="44">
        <f t="shared" si="4"/>
        <v>0</v>
      </c>
      <c r="AY63" s="44">
        <f t="shared" si="5"/>
        <v>0</v>
      </c>
      <c r="AZ63" s="44">
        <f t="shared" si="6"/>
        <v>0</v>
      </c>
      <c r="BA63" s="44">
        <f t="shared" si="7"/>
        <v>0</v>
      </c>
      <c r="BB63" s="44">
        <f t="shared" si="8"/>
        <v>0</v>
      </c>
      <c r="BC63" s="44">
        <f t="shared" si="9"/>
        <v>0</v>
      </c>
      <c r="BD63" s="44">
        <f t="shared" si="10"/>
        <v>919.9</v>
      </c>
      <c r="BE63" s="44">
        <f t="shared" si="11"/>
        <v>0</v>
      </c>
      <c r="BF63" s="83">
        <f t="shared" si="12"/>
        <v>919.9</v>
      </c>
      <c r="BG63" s="47"/>
      <c r="BH63" s="47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</row>
    <row r="64" spans="1:73" s="91" customFormat="1" ht="40.5" x14ac:dyDescent="0.25">
      <c r="A64" s="707"/>
      <c r="B64" s="627"/>
      <c r="C64" s="627"/>
      <c r="D64" s="627"/>
      <c r="E64" s="603"/>
      <c r="F64" s="612"/>
      <c r="G64" s="612"/>
      <c r="H64" s="617"/>
      <c r="I64" s="601"/>
      <c r="J64" s="603"/>
      <c r="K64" s="355" t="s">
        <v>497</v>
      </c>
      <c r="L64" s="379" t="s">
        <v>483</v>
      </c>
      <c r="M64" s="46">
        <v>0</v>
      </c>
      <c r="N64" s="46">
        <v>1</v>
      </c>
      <c r="O64" s="46">
        <v>1</v>
      </c>
      <c r="P64" s="46"/>
      <c r="Q64" s="46"/>
      <c r="R64" s="198"/>
      <c r="S64" s="185"/>
      <c r="T64" s="44"/>
      <c r="U64" s="44"/>
      <c r="V64" s="44">
        <v>697.8</v>
      </c>
      <c r="W64" s="44"/>
      <c r="X64" s="44"/>
      <c r="Y64" s="44"/>
      <c r="Z64" s="44">
        <f t="shared" si="1"/>
        <v>697.8</v>
      </c>
      <c r="AA64" s="44"/>
      <c r="AB64" s="44"/>
      <c r="AC64" s="44"/>
      <c r="AD64" s="44"/>
      <c r="AE64" s="44"/>
      <c r="AF64" s="44"/>
      <c r="AG64" s="44"/>
      <c r="AH64" s="44">
        <f t="shared" si="2"/>
        <v>0</v>
      </c>
      <c r="AI64" s="44"/>
      <c r="AJ64" s="44"/>
      <c r="AK64" s="44"/>
      <c r="AL64" s="44"/>
      <c r="AM64" s="44"/>
      <c r="AN64" s="44"/>
      <c r="AO64" s="44"/>
      <c r="AP64" s="44">
        <f t="shared" si="3"/>
        <v>0</v>
      </c>
      <c r="AQ64" s="44"/>
      <c r="AR64" s="44"/>
      <c r="AS64" s="44"/>
      <c r="AT64" s="44"/>
      <c r="AU64" s="44"/>
      <c r="AV64" s="44"/>
      <c r="AW64" s="44"/>
      <c r="AX64" s="44">
        <f t="shared" si="4"/>
        <v>0</v>
      </c>
      <c r="AY64" s="44">
        <f t="shared" si="5"/>
        <v>0</v>
      </c>
      <c r="AZ64" s="44">
        <f t="shared" si="6"/>
        <v>0</v>
      </c>
      <c r="BA64" s="44">
        <f t="shared" si="7"/>
        <v>0</v>
      </c>
      <c r="BB64" s="44">
        <f t="shared" si="8"/>
        <v>697.8</v>
      </c>
      <c r="BC64" s="44">
        <f t="shared" si="9"/>
        <v>0</v>
      </c>
      <c r="BD64" s="44">
        <f t="shared" si="10"/>
        <v>0</v>
      </c>
      <c r="BE64" s="44">
        <f t="shared" si="11"/>
        <v>0</v>
      </c>
      <c r="BF64" s="83">
        <f t="shared" si="12"/>
        <v>697.8</v>
      </c>
      <c r="BG64" s="47"/>
      <c r="BH64" s="47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</row>
    <row r="65" spans="1:73" s="91" customFormat="1" ht="54" x14ac:dyDescent="0.25">
      <c r="A65" s="707"/>
      <c r="B65" s="627"/>
      <c r="C65" s="627"/>
      <c r="D65" s="627"/>
      <c r="E65" s="603"/>
      <c r="F65" s="612"/>
      <c r="G65" s="612"/>
      <c r="H65" s="617"/>
      <c r="I65" s="601"/>
      <c r="J65" s="603"/>
      <c r="K65" s="355" t="s">
        <v>498</v>
      </c>
      <c r="L65" s="379" t="s">
        <v>483</v>
      </c>
      <c r="M65" s="46">
        <v>0</v>
      </c>
      <c r="N65" s="46">
        <v>1</v>
      </c>
      <c r="O65" s="46"/>
      <c r="P65" s="46">
        <v>1</v>
      </c>
      <c r="Q65" s="46"/>
      <c r="R65" s="198"/>
      <c r="S65" s="185"/>
      <c r="T65" s="44"/>
      <c r="U65" s="44"/>
      <c r="V65" s="44"/>
      <c r="W65" s="44"/>
      <c r="X65" s="44"/>
      <c r="Y65" s="44"/>
      <c r="Z65" s="44">
        <f t="shared" si="1"/>
        <v>0</v>
      </c>
      <c r="AA65" s="44"/>
      <c r="AB65" s="44"/>
      <c r="AC65" s="44"/>
      <c r="AD65" s="44"/>
      <c r="AE65" s="44"/>
      <c r="AF65" s="44">
        <v>498</v>
      </c>
      <c r="AG65" s="44"/>
      <c r="AH65" s="44">
        <f t="shared" si="2"/>
        <v>498</v>
      </c>
      <c r="AI65" s="44"/>
      <c r="AJ65" s="44"/>
      <c r="AK65" s="44"/>
      <c r="AL65" s="44"/>
      <c r="AM65" s="44"/>
      <c r="AN65" s="44"/>
      <c r="AO65" s="44"/>
      <c r="AP65" s="44">
        <f t="shared" si="3"/>
        <v>0</v>
      </c>
      <c r="AQ65" s="44"/>
      <c r="AR65" s="44"/>
      <c r="AS65" s="44"/>
      <c r="AT65" s="44"/>
      <c r="AU65" s="44"/>
      <c r="AV65" s="44"/>
      <c r="AW65" s="44"/>
      <c r="AX65" s="44">
        <f t="shared" si="4"/>
        <v>0</v>
      </c>
      <c r="AY65" s="44">
        <f t="shared" si="5"/>
        <v>0</v>
      </c>
      <c r="AZ65" s="44">
        <f t="shared" si="6"/>
        <v>0</v>
      </c>
      <c r="BA65" s="44">
        <f t="shared" si="7"/>
        <v>0</v>
      </c>
      <c r="BB65" s="44">
        <f t="shared" si="8"/>
        <v>0</v>
      </c>
      <c r="BC65" s="44">
        <f t="shared" si="9"/>
        <v>0</v>
      </c>
      <c r="BD65" s="44">
        <f t="shared" si="10"/>
        <v>498</v>
      </c>
      <c r="BE65" s="44">
        <f t="shared" si="11"/>
        <v>0</v>
      </c>
      <c r="BF65" s="83">
        <f t="shared" si="12"/>
        <v>498</v>
      </c>
      <c r="BG65" s="47"/>
      <c r="BH65" s="47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</row>
    <row r="66" spans="1:73" s="91" customFormat="1" ht="54" x14ac:dyDescent="0.25">
      <c r="A66" s="707"/>
      <c r="B66" s="627"/>
      <c r="C66" s="627"/>
      <c r="D66" s="627"/>
      <c r="E66" s="603"/>
      <c r="F66" s="612"/>
      <c r="G66" s="612"/>
      <c r="H66" s="617"/>
      <c r="I66" s="601"/>
      <c r="J66" s="603"/>
      <c r="K66" s="355" t="s">
        <v>499</v>
      </c>
      <c r="L66" s="379" t="s">
        <v>483</v>
      </c>
      <c r="M66" s="46">
        <v>0</v>
      </c>
      <c r="N66" s="46">
        <v>1</v>
      </c>
      <c r="O66" s="46">
        <v>1</v>
      </c>
      <c r="P66" s="46"/>
      <c r="Q66" s="46"/>
      <c r="R66" s="198"/>
      <c r="S66" s="185"/>
      <c r="T66" s="44"/>
      <c r="U66" s="44"/>
      <c r="V66" s="44">
        <v>280.89999999999998</v>
      </c>
      <c r="W66" s="44"/>
      <c r="X66" s="44"/>
      <c r="Y66" s="44"/>
      <c r="Z66" s="44">
        <f t="shared" si="1"/>
        <v>280.89999999999998</v>
      </c>
      <c r="AA66" s="44"/>
      <c r="AB66" s="44"/>
      <c r="AC66" s="44"/>
      <c r="AD66" s="44"/>
      <c r="AE66" s="44"/>
      <c r="AF66" s="44"/>
      <c r="AG66" s="44"/>
      <c r="AH66" s="44">
        <f t="shared" si="2"/>
        <v>0</v>
      </c>
      <c r="AI66" s="44"/>
      <c r="AJ66" s="44"/>
      <c r="AK66" s="44"/>
      <c r="AL66" s="44"/>
      <c r="AM66" s="44"/>
      <c r="AN66" s="44"/>
      <c r="AO66" s="44"/>
      <c r="AP66" s="44">
        <f t="shared" si="3"/>
        <v>0</v>
      </c>
      <c r="AQ66" s="44"/>
      <c r="AR66" s="44"/>
      <c r="AS66" s="44"/>
      <c r="AT66" s="44"/>
      <c r="AU66" s="44"/>
      <c r="AV66" s="44"/>
      <c r="AW66" s="44"/>
      <c r="AX66" s="44">
        <f t="shared" si="4"/>
        <v>0</v>
      </c>
      <c r="AY66" s="44">
        <f t="shared" si="5"/>
        <v>0</v>
      </c>
      <c r="AZ66" s="44">
        <f t="shared" si="6"/>
        <v>0</v>
      </c>
      <c r="BA66" s="44">
        <f t="shared" si="7"/>
        <v>0</v>
      </c>
      <c r="BB66" s="44">
        <f t="shared" si="8"/>
        <v>280.89999999999998</v>
      </c>
      <c r="BC66" s="44">
        <f t="shared" si="9"/>
        <v>0</v>
      </c>
      <c r="BD66" s="44">
        <f t="shared" si="10"/>
        <v>0</v>
      </c>
      <c r="BE66" s="44">
        <f t="shared" si="11"/>
        <v>0</v>
      </c>
      <c r="BF66" s="83">
        <f t="shared" si="12"/>
        <v>280.89999999999998</v>
      </c>
      <c r="BG66" s="47"/>
      <c r="BH66" s="47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</row>
    <row r="67" spans="1:73" s="91" customFormat="1" ht="54" x14ac:dyDescent="0.25">
      <c r="A67" s="707"/>
      <c r="B67" s="627"/>
      <c r="C67" s="627"/>
      <c r="D67" s="627"/>
      <c r="E67" s="603"/>
      <c r="F67" s="612"/>
      <c r="G67" s="612"/>
      <c r="H67" s="617"/>
      <c r="I67" s="601"/>
      <c r="J67" s="603"/>
      <c r="K67" s="355" t="s">
        <v>500</v>
      </c>
      <c r="L67" s="379" t="s">
        <v>483</v>
      </c>
      <c r="M67" s="46">
        <v>0</v>
      </c>
      <c r="N67" s="46">
        <v>1</v>
      </c>
      <c r="O67" s="46"/>
      <c r="P67" s="46">
        <v>1</v>
      </c>
      <c r="Q67" s="46"/>
      <c r="R67" s="198"/>
      <c r="S67" s="185"/>
      <c r="T67" s="44"/>
      <c r="U67" s="44"/>
      <c r="V67" s="44"/>
      <c r="W67" s="44"/>
      <c r="X67" s="44"/>
      <c r="Y67" s="44"/>
      <c r="Z67" s="44">
        <f t="shared" si="1"/>
        <v>0</v>
      </c>
      <c r="AA67" s="44"/>
      <c r="AB67" s="44"/>
      <c r="AC67" s="44"/>
      <c r="AD67" s="44"/>
      <c r="AE67" s="44"/>
      <c r="AF67" s="44">
        <v>430</v>
      </c>
      <c r="AG67" s="44"/>
      <c r="AH67" s="44">
        <f t="shared" si="2"/>
        <v>430</v>
      </c>
      <c r="AI67" s="44"/>
      <c r="AJ67" s="44"/>
      <c r="AK67" s="44"/>
      <c r="AL67" s="44"/>
      <c r="AM67" s="44"/>
      <c r="AN67" s="44"/>
      <c r="AO67" s="44"/>
      <c r="AP67" s="44">
        <f t="shared" si="3"/>
        <v>0</v>
      </c>
      <c r="AQ67" s="44"/>
      <c r="AR67" s="44"/>
      <c r="AS67" s="44"/>
      <c r="AT67" s="44"/>
      <c r="AU67" s="44"/>
      <c r="AV67" s="44"/>
      <c r="AW67" s="44"/>
      <c r="AX67" s="44">
        <f t="shared" si="4"/>
        <v>0</v>
      </c>
      <c r="AY67" s="44">
        <f t="shared" si="5"/>
        <v>0</v>
      </c>
      <c r="AZ67" s="44">
        <f t="shared" si="6"/>
        <v>0</v>
      </c>
      <c r="BA67" s="44">
        <f t="shared" si="7"/>
        <v>0</v>
      </c>
      <c r="BB67" s="44">
        <f t="shared" si="8"/>
        <v>0</v>
      </c>
      <c r="BC67" s="44">
        <f t="shared" si="9"/>
        <v>0</v>
      </c>
      <c r="BD67" s="44">
        <f t="shared" si="10"/>
        <v>430</v>
      </c>
      <c r="BE67" s="44">
        <f t="shared" si="11"/>
        <v>0</v>
      </c>
      <c r="BF67" s="83">
        <f t="shared" si="12"/>
        <v>430</v>
      </c>
      <c r="BG67" s="47"/>
      <c r="BH67" s="47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</row>
    <row r="68" spans="1:73" s="91" customFormat="1" ht="40.5" x14ac:dyDescent="0.25">
      <c r="A68" s="707"/>
      <c r="B68" s="627"/>
      <c r="C68" s="627"/>
      <c r="D68" s="627"/>
      <c r="E68" s="603"/>
      <c r="F68" s="612"/>
      <c r="G68" s="612"/>
      <c r="H68" s="617"/>
      <c r="I68" s="601"/>
      <c r="J68" s="603"/>
      <c r="K68" s="355" t="s">
        <v>501</v>
      </c>
      <c r="L68" s="379" t="s">
        <v>483</v>
      </c>
      <c r="M68" s="46">
        <v>0</v>
      </c>
      <c r="N68" s="46">
        <v>1</v>
      </c>
      <c r="O68" s="46"/>
      <c r="P68" s="46">
        <v>1</v>
      </c>
      <c r="Q68" s="46"/>
      <c r="R68" s="198"/>
      <c r="S68" s="185"/>
      <c r="T68" s="44"/>
      <c r="U68" s="44"/>
      <c r="V68" s="44"/>
      <c r="W68" s="44"/>
      <c r="X68" s="44"/>
      <c r="Y68" s="44"/>
      <c r="Z68" s="44">
        <f t="shared" ref="Z68:Z134" si="13">SUM(S68:Y68)</f>
        <v>0</v>
      </c>
      <c r="AA68" s="44"/>
      <c r="AB68" s="44"/>
      <c r="AC68" s="44"/>
      <c r="AD68" s="44"/>
      <c r="AE68" s="44"/>
      <c r="AF68" s="44">
        <v>441.9</v>
      </c>
      <c r="AG68" s="44"/>
      <c r="AH68" s="44">
        <f t="shared" ref="AH68:AH134" si="14">SUM(AA68:AG68)</f>
        <v>441.9</v>
      </c>
      <c r="AI68" s="44"/>
      <c r="AJ68" s="44"/>
      <c r="AK68" s="44"/>
      <c r="AL68" s="44"/>
      <c r="AM68" s="44"/>
      <c r="AN68" s="44"/>
      <c r="AO68" s="44"/>
      <c r="AP68" s="44">
        <f t="shared" ref="AP68:AP134" si="15">SUM(AI68:AO68)</f>
        <v>0</v>
      </c>
      <c r="AQ68" s="44"/>
      <c r="AR68" s="44"/>
      <c r="AS68" s="44"/>
      <c r="AT68" s="44"/>
      <c r="AU68" s="44"/>
      <c r="AV68" s="44"/>
      <c r="AW68" s="44"/>
      <c r="AX68" s="44">
        <f t="shared" ref="AX68:AX134" si="16">SUM(AQ68:AW68)</f>
        <v>0</v>
      </c>
      <c r="AY68" s="44">
        <f t="shared" ref="AY68:AY134" si="17">+S68+AA68+AI68+AQ68</f>
        <v>0</v>
      </c>
      <c r="AZ68" s="44">
        <f t="shared" ref="AZ68:AZ134" si="18">+T68+AB68+AJ68+AR68</f>
        <v>0</v>
      </c>
      <c r="BA68" s="44">
        <f t="shared" ref="BA68:BA134" si="19">+U68+AC68+AK68+AS68</f>
        <v>0</v>
      </c>
      <c r="BB68" s="44">
        <f t="shared" ref="BB68:BB134" si="20">+V68+AD68+AL68+AT68</f>
        <v>0</v>
      </c>
      <c r="BC68" s="44">
        <f t="shared" ref="BC68:BC134" si="21">+W68+AE68+AM68+AU68</f>
        <v>0</v>
      </c>
      <c r="BD68" s="44">
        <f t="shared" ref="BD68:BD134" si="22">+X68+AF68+AN68+AV68</f>
        <v>441.9</v>
      </c>
      <c r="BE68" s="44">
        <f t="shared" ref="BE68:BE134" si="23">+Y68+AG68+AO68+AW68</f>
        <v>0</v>
      </c>
      <c r="BF68" s="83">
        <f t="shared" ref="BF68:BF134" si="24">+AY68+AZ68+BA68+BB68+BC68+BD68+BE68:BE69</f>
        <v>441.9</v>
      </c>
      <c r="BG68" s="47"/>
      <c r="BH68" s="47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</row>
    <row r="69" spans="1:73" s="91" customFormat="1" ht="40.5" x14ac:dyDescent="0.25">
      <c r="A69" s="707"/>
      <c r="B69" s="627"/>
      <c r="C69" s="627"/>
      <c r="D69" s="627"/>
      <c r="E69" s="603"/>
      <c r="F69" s="612"/>
      <c r="G69" s="612"/>
      <c r="H69" s="617"/>
      <c r="I69" s="601"/>
      <c r="J69" s="603"/>
      <c r="K69" s="355" t="s">
        <v>502</v>
      </c>
      <c r="L69" s="379" t="s">
        <v>483</v>
      </c>
      <c r="M69" s="46">
        <v>0</v>
      </c>
      <c r="N69" s="46">
        <v>1</v>
      </c>
      <c r="O69" s="46">
        <v>1</v>
      </c>
      <c r="P69" s="46"/>
      <c r="Q69" s="46"/>
      <c r="R69" s="198"/>
      <c r="S69" s="185"/>
      <c r="T69" s="44"/>
      <c r="U69" s="44"/>
      <c r="V69" s="44">
        <v>375.9</v>
      </c>
      <c r="W69" s="44"/>
      <c r="X69" s="44"/>
      <c r="Y69" s="44"/>
      <c r="Z69" s="44">
        <f t="shared" si="13"/>
        <v>375.9</v>
      </c>
      <c r="AA69" s="44"/>
      <c r="AB69" s="44"/>
      <c r="AC69" s="44"/>
      <c r="AD69" s="44"/>
      <c r="AE69" s="44"/>
      <c r="AF69" s="44"/>
      <c r="AG69" s="44"/>
      <c r="AH69" s="44">
        <f t="shared" si="14"/>
        <v>0</v>
      </c>
      <c r="AI69" s="44"/>
      <c r="AJ69" s="44"/>
      <c r="AK69" s="44"/>
      <c r="AL69" s="44"/>
      <c r="AM69" s="44"/>
      <c r="AN69" s="44"/>
      <c r="AO69" s="44"/>
      <c r="AP69" s="44">
        <f t="shared" si="15"/>
        <v>0</v>
      </c>
      <c r="AQ69" s="44"/>
      <c r="AR69" s="44"/>
      <c r="AS69" s="44"/>
      <c r="AT69" s="44"/>
      <c r="AU69" s="44"/>
      <c r="AV69" s="44"/>
      <c r="AW69" s="44"/>
      <c r="AX69" s="44">
        <f t="shared" si="16"/>
        <v>0</v>
      </c>
      <c r="AY69" s="44">
        <f t="shared" si="17"/>
        <v>0</v>
      </c>
      <c r="AZ69" s="44">
        <f t="shared" si="18"/>
        <v>0</v>
      </c>
      <c r="BA69" s="44">
        <f t="shared" si="19"/>
        <v>0</v>
      </c>
      <c r="BB69" s="44">
        <f t="shared" si="20"/>
        <v>375.9</v>
      </c>
      <c r="BC69" s="44">
        <f t="shared" si="21"/>
        <v>0</v>
      </c>
      <c r="BD69" s="44">
        <f t="shared" si="22"/>
        <v>0</v>
      </c>
      <c r="BE69" s="44">
        <f t="shared" si="23"/>
        <v>0</v>
      </c>
      <c r="BF69" s="83">
        <f t="shared" si="24"/>
        <v>375.9</v>
      </c>
      <c r="BG69" s="47"/>
      <c r="BH69" s="47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</row>
    <row r="70" spans="1:73" s="91" customFormat="1" ht="40.5" x14ac:dyDescent="0.25">
      <c r="A70" s="707"/>
      <c r="B70" s="627"/>
      <c r="C70" s="627"/>
      <c r="D70" s="627"/>
      <c r="E70" s="603"/>
      <c r="F70" s="612"/>
      <c r="G70" s="612"/>
      <c r="H70" s="617"/>
      <c r="I70" s="601"/>
      <c r="J70" s="603"/>
      <c r="K70" s="355" t="s">
        <v>503</v>
      </c>
      <c r="L70" s="379" t="s">
        <v>483</v>
      </c>
      <c r="M70" s="46">
        <v>0</v>
      </c>
      <c r="N70" s="46">
        <v>1</v>
      </c>
      <c r="O70" s="46"/>
      <c r="P70" s="46">
        <v>1</v>
      </c>
      <c r="Q70" s="46"/>
      <c r="R70" s="198"/>
      <c r="S70" s="185"/>
      <c r="T70" s="44"/>
      <c r="U70" s="44"/>
      <c r="V70" s="44"/>
      <c r="W70" s="44"/>
      <c r="X70" s="44"/>
      <c r="Y70" s="44"/>
      <c r="Z70" s="44">
        <f t="shared" si="13"/>
        <v>0</v>
      </c>
      <c r="AA70" s="44"/>
      <c r="AB70" s="44"/>
      <c r="AC70" s="44"/>
      <c r="AD70" s="44"/>
      <c r="AE70" s="44"/>
      <c r="AF70" s="44">
        <v>321.7</v>
      </c>
      <c r="AG70" s="44"/>
      <c r="AH70" s="44">
        <f t="shared" si="14"/>
        <v>321.7</v>
      </c>
      <c r="AI70" s="44"/>
      <c r="AJ70" s="44"/>
      <c r="AK70" s="44"/>
      <c r="AL70" s="44"/>
      <c r="AM70" s="44"/>
      <c r="AN70" s="44"/>
      <c r="AO70" s="44"/>
      <c r="AP70" s="44">
        <f t="shared" si="15"/>
        <v>0</v>
      </c>
      <c r="AQ70" s="44"/>
      <c r="AR70" s="44"/>
      <c r="AS70" s="44"/>
      <c r="AT70" s="44"/>
      <c r="AU70" s="44"/>
      <c r="AV70" s="44"/>
      <c r="AW70" s="44"/>
      <c r="AX70" s="44">
        <f t="shared" si="16"/>
        <v>0</v>
      </c>
      <c r="AY70" s="44">
        <f t="shared" si="17"/>
        <v>0</v>
      </c>
      <c r="AZ70" s="44">
        <f t="shared" si="18"/>
        <v>0</v>
      </c>
      <c r="BA70" s="44">
        <f t="shared" si="19"/>
        <v>0</v>
      </c>
      <c r="BB70" s="44">
        <f t="shared" si="20"/>
        <v>0</v>
      </c>
      <c r="BC70" s="44">
        <f t="shared" si="21"/>
        <v>0</v>
      </c>
      <c r="BD70" s="44">
        <f t="shared" si="22"/>
        <v>321.7</v>
      </c>
      <c r="BE70" s="44">
        <f t="shared" si="23"/>
        <v>0</v>
      </c>
      <c r="BF70" s="83">
        <f t="shared" si="24"/>
        <v>321.7</v>
      </c>
      <c r="BG70" s="47"/>
      <c r="BH70" s="47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</row>
    <row r="71" spans="1:73" s="91" customFormat="1" ht="40.5" x14ac:dyDescent="0.25">
      <c r="A71" s="707"/>
      <c r="B71" s="627"/>
      <c r="C71" s="627"/>
      <c r="D71" s="627"/>
      <c r="E71" s="603"/>
      <c r="F71" s="612"/>
      <c r="G71" s="612"/>
      <c r="H71" s="617"/>
      <c r="I71" s="601"/>
      <c r="J71" s="603"/>
      <c r="K71" s="355" t="s">
        <v>504</v>
      </c>
      <c r="L71" s="379" t="s">
        <v>483</v>
      </c>
      <c r="M71" s="46">
        <v>0</v>
      </c>
      <c r="N71" s="46">
        <v>1</v>
      </c>
      <c r="O71" s="46"/>
      <c r="P71" s="46">
        <v>1</v>
      </c>
      <c r="Q71" s="46"/>
      <c r="R71" s="198"/>
      <c r="S71" s="185"/>
      <c r="T71" s="44"/>
      <c r="U71" s="44"/>
      <c r="V71" s="44"/>
      <c r="W71" s="44"/>
      <c r="X71" s="44"/>
      <c r="Y71" s="44"/>
      <c r="Z71" s="44">
        <f t="shared" si="13"/>
        <v>0</v>
      </c>
      <c r="AA71" s="44"/>
      <c r="AB71" s="44"/>
      <c r="AC71" s="44"/>
      <c r="AD71" s="44"/>
      <c r="AE71" s="44"/>
      <c r="AF71" s="44">
        <v>3574</v>
      </c>
      <c r="AG71" s="44"/>
      <c r="AH71" s="44">
        <f t="shared" si="14"/>
        <v>3574</v>
      </c>
      <c r="AI71" s="44"/>
      <c r="AJ71" s="44"/>
      <c r="AK71" s="44"/>
      <c r="AL71" s="44"/>
      <c r="AM71" s="44"/>
      <c r="AN71" s="44"/>
      <c r="AO71" s="44"/>
      <c r="AP71" s="44">
        <f t="shared" si="15"/>
        <v>0</v>
      </c>
      <c r="AQ71" s="44"/>
      <c r="AR71" s="44"/>
      <c r="AS71" s="44"/>
      <c r="AT71" s="44"/>
      <c r="AU71" s="44"/>
      <c r="AV71" s="44"/>
      <c r="AW71" s="44"/>
      <c r="AX71" s="44">
        <f t="shared" si="16"/>
        <v>0</v>
      </c>
      <c r="AY71" s="44">
        <f t="shared" si="17"/>
        <v>0</v>
      </c>
      <c r="AZ71" s="44">
        <f t="shared" si="18"/>
        <v>0</v>
      </c>
      <c r="BA71" s="44">
        <f t="shared" si="19"/>
        <v>0</v>
      </c>
      <c r="BB71" s="44">
        <f t="shared" si="20"/>
        <v>0</v>
      </c>
      <c r="BC71" s="44">
        <f t="shared" si="21"/>
        <v>0</v>
      </c>
      <c r="BD71" s="44">
        <f t="shared" si="22"/>
        <v>3574</v>
      </c>
      <c r="BE71" s="44">
        <f t="shared" si="23"/>
        <v>0</v>
      </c>
      <c r="BF71" s="83">
        <f t="shared" si="24"/>
        <v>3574</v>
      </c>
      <c r="BG71" s="47"/>
      <c r="BH71" s="47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</row>
    <row r="72" spans="1:73" s="91" customFormat="1" ht="27" x14ac:dyDescent="0.25">
      <c r="A72" s="707"/>
      <c r="B72" s="627"/>
      <c r="C72" s="627"/>
      <c r="D72" s="627"/>
      <c r="E72" s="603"/>
      <c r="F72" s="612"/>
      <c r="G72" s="612"/>
      <c r="H72" s="617"/>
      <c r="I72" s="601"/>
      <c r="J72" s="603"/>
      <c r="K72" s="355" t="s">
        <v>505</v>
      </c>
      <c r="L72" s="379" t="s">
        <v>506</v>
      </c>
      <c r="M72" s="46">
        <v>0</v>
      </c>
      <c r="N72" s="46">
        <v>1</v>
      </c>
      <c r="O72" s="46">
        <v>1</v>
      </c>
      <c r="P72" s="46"/>
      <c r="Q72" s="46"/>
      <c r="R72" s="198"/>
      <c r="S72" s="185"/>
      <c r="T72" s="44"/>
      <c r="U72" s="44"/>
      <c r="V72" s="44">
        <v>863</v>
      </c>
      <c r="W72" s="44"/>
      <c r="X72" s="44"/>
      <c r="Y72" s="44"/>
      <c r="Z72" s="44">
        <f t="shared" si="13"/>
        <v>863</v>
      </c>
      <c r="AA72" s="44"/>
      <c r="AB72" s="44"/>
      <c r="AC72" s="44"/>
      <c r="AD72" s="44"/>
      <c r="AE72" s="44"/>
      <c r="AF72" s="44"/>
      <c r="AG72" s="44"/>
      <c r="AH72" s="44">
        <f t="shared" si="14"/>
        <v>0</v>
      </c>
      <c r="AI72" s="44"/>
      <c r="AJ72" s="44"/>
      <c r="AK72" s="44"/>
      <c r="AL72" s="44"/>
      <c r="AM72" s="44"/>
      <c r="AN72" s="44"/>
      <c r="AO72" s="44"/>
      <c r="AP72" s="44">
        <f t="shared" si="15"/>
        <v>0</v>
      </c>
      <c r="AQ72" s="44"/>
      <c r="AR72" s="44"/>
      <c r="AS72" s="44"/>
      <c r="AT72" s="44"/>
      <c r="AU72" s="44"/>
      <c r="AV72" s="44"/>
      <c r="AW72" s="44"/>
      <c r="AX72" s="44">
        <f t="shared" si="16"/>
        <v>0</v>
      </c>
      <c r="AY72" s="44">
        <f t="shared" si="17"/>
        <v>0</v>
      </c>
      <c r="AZ72" s="44">
        <f t="shared" si="18"/>
        <v>0</v>
      </c>
      <c r="BA72" s="44">
        <f t="shared" si="19"/>
        <v>0</v>
      </c>
      <c r="BB72" s="44">
        <f t="shared" si="20"/>
        <v>863</v>
      </c>
      <c r="BC72" s="44">
        <f t="shared" si="21"/>
        <v>0</v>
      </c>
      <c r="BD72" s="44">
        <f t="shared" si="22"/>
        <v>0</v>
      </c>
      <c r="BE72" s="44">
        <f t="shared" si="23"/>
        <v>0</v>
      </c>
      <c r="BF72" s="83">
        <f t="shared" si="24"/>
        <v>863</v>
      </c>
      <c r="BG72" s="47"/>
      <c r="BH72" s="47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</row>
    <row r="73" spans="1:73" s="91" customFormat="1" ht="27" x14ac:dyDescent="0.25">
      <c r="A73" s="707"/>
      <c r="B73" s="627"/>
      <c r="C73" s="627"/>
      <c r="D73" s="627"/>
      <c r="E73" s="603"/>
      <c r="F73" s="612"/>
      <c r="G73" s="612"/>
      <c r="H73" s="617"/>
      <c r="I73" s="601"/>
      <c r="J73" s="603"/>
      <c r="K73" s="355" t="s">
        <v>507</v>
      </c>
      <c r="L73" s="379" t="s">
        <v>506</v>
      </c>
      <c r="M73" s="46">
        <v>0</v>
      </c>
      <c r="N73" s="46">
        <v>1</v>
      </c>
      <c r="O73" s="46">
        <v>1</v>
      </c>
      <c r="P73" s="46"/>
      <c r="Q73" s="46"/>
      <c r="R73" s="198"/>
      <c r="S73" s="185"/>
      <c r="T73" s="44"/>
      <c r="U73" s="44"/>
      <c r="V73" s="44">
        <v>2130</v>
      </c>
      <c r="W73" s="44"/>
      <c r="X73" s="44"/>
      <c r="Y73" s="44"/>
      <c r="Z73" s="44">
        <f t="shared" si="13"/>
        <v>2130</v>
      </c>
      <c r="AA73" s="44"/>
      <c r="AB73" s="44"/>
      <c r="AC73" s="44"/>
      <c r="AD73" s="44"/>
      <c r="AE73" s="44"/>
      <c r="AF73" s="44"/>
      <c r="AG73" s="44"/>
      <c r="AH73" s="44">
        <f t="shared" si="14"/>
        <v>0</v>
      </c>
      <c r="AI73" s="44"/>
      <c r="AJ73" s="44"/>
      <c r="AK73" s="44"/>
      <c r="AL73" s="44"/>
      <c r="AM73" s="44"/>
      <c r="AN73" s="44"/>
      <c r="AO73" s="44"/>
      <c r="AP73" s="44">
        <f t="shared" si="15"/>
        <v>0</v>
      </c>
      <c r="AQ73" s="44"/>
      <c r="AR73" s="44"/>
      <c r="AS73" s="44"/>
      <c r="AT73" s="44"/>
      <c r="AU73" s="44"/>
      <c r="AV73" s="44"/>
      <c r="AW73" s="44"/>
      <c r="AX73" s="44">
        <f t="shared" si="16"/>
        <v>0</v>
      </c>
      <c r="AY73" s="44">
        <f t="shared" si="17"/>
        <v>0</v>
      </c>
      <c r="AZ73" s="44">
        <f t="shared" si="18"/>
        <v>0</v>
      </c>
      <c r="BA73" s="44">
        <f t="shared" si="19"/>
        <v>0</v>
      </c>
      <c r="BB73" s="44">
        <f t="shared" si="20"/>
        <v>2130</v>
      </c>
      <c r="BC73" s="44">
        <f t="shared" si="21"/>
        <v>0</v>
      </c>
      <c r="BD73" s="44">
        <f t="shared" si="22"/>
        <v>0</v>
      </c>
      <c r="BE73" s="44">
        <f t="shared" si="23"/>
        <v>0</v>
      </c>
      <c r="BF73" s="83">
        <f t="shared" si="24"/>
        <v>2130</v>
      </c>
      <c r="BG73" s="47"/>
      <c r="BH73" s="47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</row>
    <row r="74" spans="1:73" s="91" customFormat="1" ht="27" x14ac:dyDescent="0.25">
      <c r="A74" s="707"/>
      <c r="B74" s="627"/>
      <c r="C74" s="627"/>
      <c r="D74" s="627"/>
      <c r="E74" s="603"/>
      <c r="F74" s="612"/>
      <c r="G74" s="612"/>
      <c r="H74" s="617"/>
      <c r="I74" s="601"/>
      <c r="J74" s="603"/>
      <c r="K74" s="355" t="s">
        <v>508</v>
      </c>
      <c r="L74" s="379" t="s">
        <v>506</v>
      </c>
      <c r="M74" s="46">
        <v>0</v>
      </c>
      <c r="N74" s="46">
        <v>1</v>
      </c>
      <c r="O74" s="46">
        <v>1</v>
      </c>
      <c r="P74" s="46"/>
      <c r="Q74" s="46"/>
      <c r="R74" s="198"/>
      <c r="S74" s="185"/>
      <c r="T74" s="44"/>
      <c r="U74" s="44"/>
      <c r="V74" s="44">
        <v>616.6</v>
      </c>
      <c r="W74" s="44"/>
      <c r="X74" s="44"/>
      <c r="Y74" s="44"/>
      <c r="Z74" s="44">
        <f t="shared" si="13"/>
        <v>616.6</v>
      </c>
      <c r="AA74" s="44"/>
      <c r="AB74" s="44"/>
      <c r="AC74" s="44"/>
      <c r="AD74" s="44"/>
      <c r="AE74" s="44"/>
      <c r="AF74" s="44"/>
      <c r="AG74" s="44"/>
      <c r="AH74" s="44">
        <f t="shared" si="14"/>
        <v>0</v>
      </c>
      <c r="AI74" s="44"/>
      <c r="AJ74" s="44"/>
      <c r="AK74" s="44"/>
      <c r="AL74" s="44"/>
      <c r="AM74" s="44"/>
      <c r="AN74" s="44"/>
      <c r="AO74" s="44"/>
      <c r="AP74" s="44">
        <f t="shared" si="15"/>
        <v>0</v>
      </c>
      <c r="AQ74" s="44"/>
      <c r="AR74" s="44"/>
      <c r="AS74" s="44"/>
      <c r="AT74" s="44"/>
      <c r="AU74" s="44"/>
      <c r="AV74" s="44"/>
      <c r="AW74" s="44"/>
      <c r="AX74" s="44">
        <f t="shared" si="16"/>
        <v>0</v>
      </c>
      <c r="AY74" s="44">
        <f t="shared" si="17"/>
        <v>0</v>
      </c>
      <c r="AZ74" s="44">
        <f t="shared" si="18"/>
        <v>0</v>
      </c>
      <c r="BA74" s="44">
        <f t="shared" si="19"/>
        <v>0</v>
      </c>
      <c r="BB74" s="44">
        <f t="shared" si="20"/>
        <v>616.6</v>
      </c>
      <c r="BC74" s="44">
        <f t="shared" si="21"/>
        <v>0</v>
      </c>
      <c r="BD74" s="44">
        <f t="shared" si="22"/>
        <v>0</v>
      </c>
      <c r="BE74" s="44">
        <f t="shared" si="23"/>
        <v>0</v>
      </c>
      <c r="BF74" s="83">
        <f t="shared" si="24"/>
        <v>616.6</v>
      </c>
      <c r="BG74" s="47"/>
      <c r="BH74" s="47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</row>
    <row r="75" spans="1:73" s="91" customFormat="1" ht="27" x14ac:dyDescent="0.25">
      <c r="A75" s="707"/>
      <c r="B75" s="627"/>
      <c r="C75" s="627"/>
      <c r="D75" s="627"/>
      <c r="E75" s="603"/>
      <c r="F75" s="612"/>
      <c r="G75" s="612"/>
      <c r="H75" s="617"/>
      <c r="I75" s="601"/>
      <c r="J75" s="603"/>
      <c r="K75" s="355" t="s">
        <v>509</v>
      </c>
      <c r="L75" s="379" t="s">
        <v>506</v>
      </c>
      <c r="M75" s="46">
        <v>0</v>
      </c>
      <c r="N75" s="46">
        <v>1</v>
      </c>
      <c r="O75" s="46"/>
      <c r="P75" s="46">
        <v>1</v>
      </c>
      <c r="Q75" s="46"/>
      <c r="R75" s="198"/>
      <c r="S75" s="185"/>
      <c r="T75" s="44"/>
      <c r="U75" s="44"/>
      <c r="V75" s="44"/>
      <c r="W75" s="44"/>
      <c r="X75" s="44"/>
      <c r="Y75" s="44"/>
      <c r="Z75" s="44">
        <f t="shared" si="13"/>
        <v>0</v>
      </c>
      <c r="AA75" s="44"/>
      <c r="AB75" s="44"/>
      <c r="AC75" s="44"/>
      <c r="AD75" s="44"/>
      <c r="AE75" s="44"/>
      <c r="AF75" s="44">
        <v>1524</v>
      </c>
      <c r="AG75" s="44"/>
      <c r="AH75" s="44">
        <f t="shared" si="14"/>
        <v>1524</v>
      </c>
      <c r="AI75" s="44"/>
      <c r="AJ75" s="44"/>
      <c r="AK75" s="44"/>
      <c r="AL75" s="44"/>
      <c r="AM75" s="44"/>
      <c r="AN75" s="44"/>
      <c r="AO75" s="44"/>
      <c r="AP75" s="44">
        <f t="shared" si="15"/>
        <v>0</v>
      </c>
      <c r="AQ75" s="44"/>
      <c r="AR75" s="44"/>
      <c r="AS75" s="44"/>
      <c r="AT75" s="44"/>
      <c r="AU75" s="44"/>
      <c r="AV75" s="44"/>
      <c r="AW75" s="44"/>
      <c r="AX75" s="44">
        <f t="shared" si="16"/>
        <v>0</v>
      </c>
      <c r="AY75" s="44">
        <f t="shared" si="17"/>
        <v>0</v>
      </c>
      <c r="AZ75" s="44">
        <f t="shared" si="18"/>
        <v>0</v>
      </c>
      <c r="BA75" s="44">
        <f t="shared" si="19"/>
        <v>0</v>
      </c>
      <c r="BB75" s="44">
        <f t="shared" si="20"/>
        <v>0</v>
      </c>
      <c r="BC75" s="44">
        <f t="shared" si="21"/>
        <v>0</v>
      </c>
      <c r="BD75" s="44">
        <f t="shared" si="22"/>
        <v>1524</v>
      </c>
      <c r="BE75" s="44">
        <f t="shared" si="23"/>
        <v>0</v>
      </c>
      <c r="BF75" s="83">
        <f>+AY75+AZ75+BA75+BB75+BC75+BD75+BE75:BE77</f>
        <v>1524</v>
      </c>
      <c r="BG75" s="47"/>
      <c r="BH75" s="47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0"/>
      <c r="BT75" s="90"/>
      <c r="BU75" s="90"/>
    </row>
    <row r="76" spans="1:73" s="91" customFormat="1" ht="76.5" customHeight="1" x14ac:dyDescent="0.25">
      <c r="A76" s="707"/>
      <c r="B76" s="627"/>
      <c r="C76" s="627"/>
      <c r="D76" s="627"/>
      <c r="E76" s="603"/>
      <c r="F76" s="612"/>
      <c r="G76" s="612"/>
      <c r="H76" s="617"/>
      <c r="I76" s="601"/>
      <c r="J76" s="364" t="s">
        <v>1319</v>
      </c>
      <c r="K76" s="261" t="s">
        <v>1320</v>
      </c>
      <c r="L76" s="379" t="s">
        <v>1321</v>
      </c>
      <c r="M76" s="46"/>
      <c r="N76" s="44">
        <v>33558</v>
      </c>
      <c r="O76" s="44">
        <f>6700+6500</f>
        <v>13200</v>
      </c>
      <c r="P76" s="44">
        <f>6630+O76</f>
        <v>19830</v>
      </c>
      <c r="Q76" s="44">
        <f>6763+P76</f>
        <v>26593</v>
      </c>
      <c r="R76" s="45">
        <f>6965+Q76</f>
        <v>33558</v>
      </c>
      <c r="S76" s="185"/>
      <c r="T76" s="44">
        <v>13200</v>
      </c>
      <c r="U76" s="44"/>
      <c r="V76" s="44"/>
      <c r="W76" s="44"/>
      <c r="X76" s="44"/>
      <c r="Y76" s="44"/>
      <c r="Z76" s="44">
        <f t="shared" si="13"/>
        <v>13200</v>
      </c>
      <c r="AA76" s="44"/>
      <c r="AB76" s="44">
        <v>6630</v>
      </c>
      <c r="AC76" s="44"/>
      <c r="AD76" s="44"/>
      <c r="AE76" s="44"/>
      <c r="AF76" s="44"/>
      <c r="AG76" s="44"/>
      <c r="AH76" s="44">
        <f t="shared" si="14"/>
        <v>6630</v>
      </c>
      <c r="AI76" s="44"/>
      <c r="AJ76" s="44">
        <v>6763</v>
      </c>
      <c r="AK76" s="44"/>
      <c r="AL76" s="44"/>
      <c r="AM76" s="44"/>
      <c r="AN76" s="44"/>
      <c r="AO76" s="44"/>
      <c r="AP76" s="44">
        <f t="shared" si="15"/>
        <v>6763</v>
      </c>
      <c r="AQ76" s="44"/>
      <c r="AR76" s="44">
        <v>6965</v>
      </c>
      <c r="AS76" s="44"/>
      <c r="AT76" s="44"/>
      <c r="AU76" s="44"/>
      <c r="AV76" s="44"/>
      <c r="AW76" s="44"/>
      <c r="AX76" s="44">
        <f t="shared" si="16"/>
        <v>6965</v>
      </c>
      <c r="AY76" s="44">
        <f t="shared" ref="AY76:BE76" si="25">+S76+AA76+AI76+AQ76</f>
        <v>0</v>
      </c>
      <c r="AZ76" s="44">
        <f t="shared" si="25"/>
        <v>33558</v>
      </c>
      <c r="BA76" s="44">
        <f t="shared" si="25"/>
        <v>0</v>
      </c>
      <c r="BB76" s="44">
        <f t="shared" si="25"/>
        <v>0</v>
      </c>
      <c r="BC76" s="44">
        <f t="shared" si="25"/>
        <v>0</v>
      </c>
      <c r="BD76" s="44">
        <f t="shared" si="25"/>
        <v>0</v>
      </c>
      <c r="BE76" s="44">
        <f t="shared" si="25"/>
        <v>0</v>
      </c>
      <c r="BF76" s="83">
        <f>+AY76+AZ76+BA76+BB76+BC76+BD76+BE76:BE78</f>
        <v>33558</v>
      </c>
      <c r="BG76" s="47"/>
      <c r="BH76" s="47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</row>
    <row r="77" spans="1:73" s="91" customFormat="1" ht="40.5" x14ac:dyDescent="0.25">
      <c r="A77" s="707"/>
      <c r="B77" s="627"/>
      <c r="C77" s="627"/>
      <c r="D77" s="627"/>
      <c r="E77" s="603"/>
      <c r="F77" s="612"/>
      <c r="G77" s="612"/>
      <c r="H77" s="603" t="s">
        <v>791</v>
      </c>
      <c r="I77" s="603" t="s">
        <v>739</v>
      </c>
      <c r="J77" s="355"/>
      <c r="K77" s="244" t="s">
        <v>930</v>
      </c>
      <c r="L77" s="74" t="s">
        <v>931</v>
      </c>
      <c r="M77" s="245"/>
      <c r="N77" s="245">
        <v>2</v>
      </c>
      <c r="O77" s="245"/>
      <c r="P77" s="245"/>
      <c r="Q77" s="245">
        <v>1</v>
      </c>
      <c r="R77" s="246">
        <v>1</v>
      </c>
      <c r="S77" s="185"/>
      <c r="T77" s="44"/>
      <c r="U77" s="44"/>
      <c r="V77" s="44"/>
      <c r="W77" s="44"/>
      <c r="X77" s="44"/>
      <c r="Y77" s="44"/>
      <c r="Z77" s="44">
        <f t="shared" si="13"/>
        <v>0</v>
      </c>
      <c r="AA77" s="44"/>
      <c r="AB77" s="44"/>
      <c r="AC77" s="44"/>
      <c r="AD77" s="44"/>
      <c r="AE77" s="44"/>
      <c r="AF77" s="44"/>
      <c r="AG77" s="44"/>
      <c r="AH77" s="44">
        <f t="shared" si="14"/>
        <v>0</v>
      </c>
      <c r="AI77" s="44">
        <v>70</v>
      </c>
      <c r="AJ77" s="44"/>
      <c r="AK77" s="44"/>
      <c r="AL77" s="44"/>
      <c r="AM77" s="44"/>
      <c r="AN77" s="44"/>
      <c r="AO77" s="44">
        <v>70</v>
      </c>
      <c r="AP77" s="44">
        <f t="shared" si="15"/>
        <v>140</v>
      </c>
      <c r="AQ77" s="44">
        <v>70</v>
      </c>
      <c r="AR77" s="44"/>
      <c r="AS77" s="44"/>
      <c r="AT77" s="44"/>
      <c r="AU77" s="44"/>
      <c r="AV77" s="44"/>
      <c r="AW77" s="44">
        <v>70</v>
      </c>
      <c r="AX77" s="44">
        <f t="shared" si="16"/>
        <v>140</v>
      </c>
      <c r="AY77" s="44">
        <f t="shared" si="17"/>
        <v>140</v>
      </c>
      <c r="AZ77" s="44">
        <f t="shared" si="18"/>
        <v>0</v>
      </c>
      <c r="BA77" s="44">
        <f t="shared" si="19"/>
        <v>0</v>
      </c>
      <c r="BB77" s="44">
        <f t="shared" si="20"/>
        <v>0</v>
      </c>
      <c r="BC77" s="44">
        <f t="shared" si="21"/>
        <v>0</v>
      </c>
      <c r="BD77" s="44">
        <f t="shared" si="22"/>
        <v>0</v>
      </c>
      <c r="BE77" s="44">
        <f t="shared" si="23"/>
        <v>140</v>
      </c>
      <c r="BF77" s="83">
        <f t="shared" si="24"/>
        <v>280</v>
      </c>
      <c r="BG77" s="47"/>
      <c r="BH77" s="47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</row>
    <row r="78" spans="1:73" s="91" customFormat="1" ht="67.5" x14ac:dyDescent="0.25">
      <c r="A78" s="707"/>
      <c r="B78" s="627"/>
      <c r="C78" s="627"/>
      <c r="D78" s="718"/>
      <c r="E78" s="616"/>
      <c r="F78" s="695"/>
      <c r="G78" s="695"/>
      <c r="H78" s="603"/>
      <c r="I78" s="603"/>
      <c r="J78" s="355"/>
      <c r="K78" s="244" t="s">
        <v>932</v>
      </c>
      <c r="L78" s="74" t="s">
        <v>933</v>
      </c>
      <c r="M78" s="245"/>
      <c r="N78" s="247">
        <v>1</v>
      </c>
      <c r="O78" s="247">
        <v>0.2</v>
      </c>
      <c r="P78" s="247">
        <v>0.45</v>
      </c>
      <c r="Q78" s="247">
        <v>0.8</v>
      </c>
      <c r="R78" s="248">
        <v>1</v>
      </c>
      <c r="S78" s="185"/>
      <c r="T78" s="44"/>
      <c r="U78" s="44"/>
      <c r="V78" s="44"/>
      <c r="W78" s="44"/>
      <c r="X78" s="44"/>
      <c r="Y78" s="44"/>
      <c r="Z78" s="44">
        <f t="shared" si="13"/>
        <v>0</v>
      </c>
      <c r="AA78" s="44"/>
      <c r="AB78" s="44"/>
      <c r="AC78" s="44"/>
      <c r="AD78" s="44"/>
      <c r="AE78" s="44"/>
      <c r="AF78" s="44"/>
      <c r="AG78" s="44"/>
      <c r="AH78" s="44">
        <f t="shared" si="14"/>
        <v>0</v>
      </c>
      <c r="AI78" s="44"/>
      <c r="AJ78" s="44"/>
      <c r="AK78" s="44"/>
      <c r="AL78" s="44"/>
      <c r="AM78" s="44"/>
      <c r="AN78" s="44"/>
      <c r="AO78" s="44"/>
      <c r="AP78" s="44">
        <f t="shared" si="15"/>
        <v>0</v>
      </c>
      <c r="AQ78" s="44"/>
      <c r="AR78" s="44"/>
      <c r="AS78" s="44"/>
      <c r="AT78" s="44"/>
      <c r="AU78" s="44"/>
      <c r="AV78" s="44"/>
      <c r="AW78" s="44"/>
      <c r="AX78" s="44">
        <f t="shared" si="16"/>
        <v>0</v>
      </c>
      <c r="AY78" s="44">
        <f t="shared" si="17"/>
        <v>0</v>
      </c>
      <c r="AZ78" s="44">
        <f t="shared" si="18"/>
        <v>0</v>
      </c>
      <c r="BA78" s="44">
        <f t="shared" si="19"/>
        <v>0</v>
      </c>
      <c r="BB78" s="44">
        <f t="shared" si="20"/>
        <v>0</v>
      </c>
      <c r="BC78" s="44">
        <f t="shared" si="21"/>
        <v>0</v>
      </c>
      <c r="BD78" s="44">
        <f t="shared" si="22"/>
        <v>0</v>
      </c>
      <c r="BE78" s="44">
        <f t="shared" si="23"/>
        <v>0</v>
      </c>
      <c r="BF78" s="83">
        <f t="shared" si="24"/>
        <v>0</v>
      </c>
      <c r="BG78" s="47"/>
      <c r="BH78" s="47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</row>
    <row r="79" spans="1:73" s="91" customFormat="1" ht="162" x14ac:dyDescent="0.25">
      <c r="A79" s="707"/>
      <c r="B79" s="627"/>
      <c r="C79" s="627"/>
      <c r="D79" s="719"/>
      <c r="E79" s="618"/>
      <c r="F79" s="701"/>
      <c r="G79" s="701"/>
      <c r="H79" s="603"/>
      <c r="I79" s="603"/>
      <c r="J79" s="355"/>
      <c r="K79" s="355" t="s">
        <v>934</v>
      </c>
      <c r="L79" s="74" t="s">
        <v>935</v>
      </c>
      <c r="M79" s="249" t="s">
        <v>934</v>
      </c>
      <c r="N79" s="245">
        <v>29</v>
      </c>
      <c r="O79" s="245">
        <v>2</v>
      </c>
      <c r="P79" s="245">
        <v>10</v>
      </c>
      <c r="Q79" s="245">
        <v>20</v>
      </c>
      <c r="R79" s="246">
        <v>29</v>
      </c>
      <c r="S79" s="185"/>
      <c r="T79" s="44"/>
      <c r="U79" s="44"/>
      <c r="V79" s="44"/>
      <c r="W79" s="44"/>
      <c r="X79" s="44"/>
      <c r="Y79" s="44"/>
      <c r="Z79" s="44">
        <f t="shared" si="13"/>
        <v>0</v>
      </c>
      <c r="AA79" s="44"/>
      <c r="AB79" s="44"/>
      <c r="AC79" s="44"/>
      <c r="AD79" s="44"/>
      <c r="AE79" s="44"/>
      <c r="AF79" s="44"/>
      <c r="AG79" s="44"/>
      <c r="AH79" s="44">
        <f t="shared" si="14"/>
        <v>0</v>
      </c>
      <c r="AI79" s="44"/>
      <c r="AJ79" s="44"/>
      <c r="AK79" s="44"/>
      <c r="AL79" s="44"/>
      <c r="AM79" s="44"/>
      <c r="AN79" s="44"/>
      <c r="AO79" s="44"/>
      <c r="AP79" s="44">
        <f t="shared" si="15"/>
        <v>0</v>
      </c>
      <c r="AQ79" s="44"/>
      <c r="AR79" s="44"/>
      <c r="AS79" s="44"/>
      <c r="AT79" s="44"/>
      <c r="AU79" s="44"/>
      <c r="AV79" s="44"/>
      <c r="AW79" s="44"/>
      <c r="AX79" s="44">
        <f t="shared" si="16"/>
        <v>0</v>
      </c>
      <c r="AY79" s="44">
        <f t="shared" si="17"/>
        <v>0</v>
      </c>
      <c r="AZ79" s="44">
        <f t="shared" si="18"/>
        <v>0</v>
      </c>
      <c r="BA79" s="44">
        <f t="shared" si="19"/>
        <v>0</v>
      </c>
      <c r="BB79" s="44">
        <f t="shared" si="20"/>
        <v>0</v>
      </c>
      <c r="BC79" s="44">
        <f t="shared" si="21"/>
        <v>0</v>
      </c>
      <c r="BD79" s="44">
        <f t="shared" si="22"/>
        <v>0</v>
      </c>
      <c r="BE79" s="44">
        <f t="shared" si="23"/>
        <v>0</v>
      </c>
      <c r="BF79" s="83">
        <f t="shared" si="24"/>
        <v>0</v>
      </c>
      <c r="BG79" s="47"/>
      <c r="BH79" s="47"/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  <c r="BU79" s="90"/>
    </row>
    <row r="80" spans="1:73" s="91" customFormat="1" ht="27" x14ac:dyDescent="0.25">
      <c r="A80" s="707"/>
      <c r="B80" s="627"/>
      <c r="C80" s="627"/>
      <c r="D80" s="603" t="s">
        <v>115</v>
      </c>
      <c r="E80" s="603" t="s">
        <v>116</v>
      </c>
      <c r="F80" s="619" t="s">
        <v>117</v>
      </c>
      <c r="G80" s="709">
        <v>0.97799999999999998</v>
      </c>
      <c r="H80" s="603" t="s">
        <v>792</v>
      </c>
      <c r="I80" s="603" t="s">
        <v>148</v>
      </c>
      <c r="J80" s="603" t="s">
        <v>149</v>
      </c>
      <c r="K80" s="355" t="s">
        <v>118</v>
      </c>
      <c r="L80" s="379" t="s">
        <v>119</v>
      </c>
      <c r="M80" s="44">
        <v>954478</v>
      </c>
      <c r="N80" s="49">
        <v>954478</v>
      </c>
      <c r="O80" s="49">
        <v>954478</v>
      </c>
      <c r="P80" s="49">
        <v>954478</v>
      </c>
      <c r="Q80" s="49">
        <v>954478</v>
      </c>
      <c r="R80" s="250">
        <v>954478</v>
      </c>
      <c r="S80" s="185"/>
      <c r="T80" s="44"/>
      <c r="U80" s="44">
        <v>4800</v>
      </c>
      <c r="V80" s="44"/>
      <c r="W80" s="44"/>
      <c r="X80" s="44"/>
      <c r="Y80" s="44"/>
      <c r="Z80" s="44">
        <f t="shared" si="13"/>
        <v>4800</v>
      </c>
      <c r="AA80" s="44"/>
      <c r="AB80" s="44"/>
      <c r="AC80" s="44">
        <v>4800</v>
      </c>
      <c r="AD80" s="44"/>
      <c r="AE80" s="44"/>
      <c r="AF80" s="44"/>
      <c r="AG80" s="44"/>
      <c r="AH80" s="44">
        <f t="shared" si="14"/>
        <v>4800</v>
      </c>
      <c r="AI80" s="44"/>
      <c r="AJ80" s="44"/>
      <c r="AK80" s="44">
        <v>4800</v>
      </c>
      <c r="AL80" s="44"/>
      <c r="AM80" s="44"/>
      <c r="AN80" s="44"/>
      <c r="AO80" s="44"/>
      <c r="AP80" s="44">
        <f t="shared" si="15"/>
        <v>4800</v>
      </c>
      <c r="AQ80" s="44"/>
      <c r="AR80" s="44"/>
      <c r="AS80" s="44">
        <v>4800</v>
      </c>
      <c r="AT80" s="44"/>
      <c r="AU80" s="44"/>
      <c r="AV80" s="44"/>
      <c r="AW80" s="44"/>
      <c r="AX80" s="44">
        <f t="shared" si="16"/>
        <v>4800</v>
      </c>
      <c r="AY80" s="44">
        <f t="shared" si="17"/>
        <v>0</v>
      </c>
      <c r="AZ80" s="44">
        <f t="shared" si="18"/>
        <v>0</v>
      </c>
      <c r="BA80" s="44">
        <f t="shared" si="19"/>
        <v>19200</v>
      </c>
      <c r="BB80" s="44">
        <f t="shared" si="20"/>
        <v>0</v>
      </c>
      <c r="BC80" s="44">
        <f t="shared" si="21"/>
        <v>0</v>
      </c>
      <c r="BD80" s="44">
        <f t="shared" si="22"/>
        <v>0</v>
      </c>
      <c r="BE80" s="44">
        <f t="shared" si="23"/>
        <v>0</v>
      </c>
      <c r="BF80" s="83">
        <f t="shared" si="24"/>
        <v>19200</v>
      </c>
      <c r="BG80" s="47"/>
      <c r="BH80" s="47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</row>
    <row r="81" spans="1:73" s="91" customFormat="1" ht="54" x14ac:dyDescent="0.25">
      <c r="A81" s="707"/>
      <c r="B81" s="627"/>
      <c r="C81" s="627"/>
      <c r="D81" s="603"/>
      <c r="E81" s="603"/>
      <c r="F81" s="619"/>
      <c r="G81" s="709"/>
      <c r="H81" s="603"/>
      <c r="I81" s="603"/>
      <c r="J81" s="603"/>
      <c r="K81" s="355" t="s">
        <v>120</v>
      </c>
      <c r="L81" s="379" t="s">
        <v>121</v>
      </c>
      <c r="M81" s="79">
        <v>20</v>
      </c>
      <c r="N81" s="79">
        <v>71</v>
      </c>
      <c r="O81" s="241">
        <v>71</v>
      </c>
      <c r="P81" s="241">
        <v>71</v>
      </c>
      <c r="Q81" s="241">
        <v>71</v>
      </c>
      <c r="R81" s="251">
        <v>71</v>
      </c>
      <c r="S81" s="185"/>
      <c r="T81" s="44"/>
      <c r="U81" s="44">
        <v>80</v>
      </c>
      <c r="V81" s="44"/>
      <c r="W81" s="44"/>
      <c r="X81" s="44"/>
      <c r="Y81" s="44"/>
      <c r="Z81" s="44">
        <f t="shared" si="13"/>
        <v>80</v>
      </c>
      <c r="AA81" s="44"/>
      <c r="AB81" s="44"/>
      <c r="AC81" s="44">
        <v>100</v>
      </c>
      <c r="AD81" s="44"/>
      <c r="AE81" s="44"/>
      <c r="AF81" s="44"/>
      <c r="AG81" s="44"/>
      <c r="AH81" s="44">
        <f t="shared" si="14"/>
        <v>100</v>
      </c>
      <c r="AI81" s="44"/>
      <c r="AJ81" s="44"/>
      <c r="AK81" s="44">
        <v>100</v>
      </c>
      <c r="AL81" s="44"/>
      <c r="AM81" s="44"/>
      <c r="AN81" s="44"/>
      <c r="AO81" s="44"/>
      <c r="AP81" s="44">
        <f t="shared" si="15"/>
        <v>100</v>
      </c>
      <c r="AQ81" s="44"/>
      <c r="AR81" s="44"/>
      <c r="AS81" s="44">
        <v>100</v>
      </c>
      <c r="AT81" s="44"/>
      <c r="AU81" s="44"/>
      <c r="AV81" s="44"/>
      <c r="AW81" s="44"/>
      <c r="AX81" s="44">
        <f t="shared" si="16"/>
        <v>100</v>
      </c>
      <c r="AY81" s="44">
        <f t="shared" si="17"/>
        <v>0</v>
      </c>
      <c r="AZ81" s="44">
        <f t="shared" si="18"/>
        <v>0</v>
      </c>
      <c r="BA81" s="44">
        <f t="shared" si="19"/>
        <v>380</v>
      </c>
      <c r="BB81" s="44">
        <f t="shared" si="20"/>
        <v>0</v>
      </c>
      <c r="BC81" s="44">
        <f t="shared" si="21"/>
        <v>0</v>
      </c>
      <c r="BD81" s="44">
        <f t="shared" si="22"/>
        <v>0</v>
      </c>
      <c r="BE81" s="44">
        <f t="shared" si="23"/>
        <v>0</v>
      </c>
      <c r="BF81" s="83">
        <f t="shared" si="24"/>
        <v>380</v>
      </c>
      <c r="BG81" s="47"/>
      <c r="BH81" s="47"/>
      <c r="BI81" s="90"/>
      <c r="BJ81" s="90"/>
      <c r="BK81" s="90"/>
      <c r="BL81" s="90"/>
      <c r="BM81" s="90"/>
      <c r="BN81" s="90"/>
      <c r="BO81" s="90"/>
      <c r="BP81" s="90"/>
      <c r="BQ81" s="90"/>
      <c r="BR81" s="90"/>
      <c r="BS81" s="90"/>
      <c r="BT81" s="90"/>
      <c r="BU81" s="90"/>
    </row>
    <row r="82" spans="1:73" s="91" customFormat="1" ht="40.5" x14ac:dyDescent="0.25">
      <c r="A82" s="707"/>
      <c r="B82" s="627"/>
      <c r="C82" s="627"/>
      <c r="D82" s="603"/>
      <c r="E82" s="603"/>
      <c r="F82" s="619"/>
      <c r="G82" s="709"/>
      <c r="H82" s="603"/>
      <c r="I82" s="603"/>
      <c r="J82" s="603"/>
      <c r="K82" s="355" t="s">
        <v>122</v>
      </c>
      <c r="L82" s="379" t="s">
        <v>123</v>
      </c>
      <c r="M82" s="50">
        <v>0</v>
      </c>
      <c r="N82" s="87">
        <v>30</v>
      </c>
      <c r="O82" s="50">
        <v>30</v>
      </c>
      <c r="P82" s="50">
        <v>30</v>
      </c>
      <c r="Q82" s="50">
        <v>30</v>
      </c>
      <c r="R82" s="203">
        <v>30</v>
      </c>
      <c r="S82" s="185"/>
      <c r="T82" s="44"/>
      <c r="U82" s="44">
        <v>25</v>
      </c>
      <c r="V82" s="44"/>
      <c r="W82" s="44"/>
      <c r="X82" s="44"/>
      <c r="Y82" s="44"/>
      <c r="Z82" s="44">
        <f t="shared" si="13"/>
        <v>25</v>
      </c>
      <c r="AA82" s="44"/>
      <c r="AB82" s="44"/>
      <c r="AC82" s="44">
        <v>20</v>
      </c>
      <c r="AD82" s="44"/>
      <c r="AE82" s="44"/>
      <c r="AF82" s="44"/>
      <c r="AG82" s="44"/>
      <c r="AH82" s="44">
        <f t="shared" si="14"/>
        <v>20</v>
      </c>
      <c r="AI82" s="44"/>
      <c r="AJ82" s="44"/>
      <c r="AK82" s="44">
        <v>20</v>
      </c>
      <c r="AL82" s="44"/>
      <c r="AM82" s="44"/>
      <c r="AN82" s="44"/>
      <c r="AO82" s="44"/>
      <c r="AP82" s="44">
        <f t="shared" si="15"/>
        <v>20</v>
      </c>
      <c r="AQ82" s="44"/>
      <c r="AR82" s="44"/>
      <c r="AS82" s="44">
        <v>20</v>
      </c>
      <c r="AT82" s="44"/>
      <c r="AU82" s="44"/>
      <c r="AV82" s="44"/>
      <c r="AW82" s="44"/>
      <c r="AX82" s="44">
        <f t="shared" si="16"/>
        <v>20</v>
      </c>
      <c r="AY82" s="44">
        <f t="shared" si="17"/>
        <v>0</v>
      </c>
      <c r="AZ82" s="44">
        <f t="shared" si="18"/>
        <v>0</v>
      </c>
      <c r="BA82" s="44">
        <f t="shared" si="19"/>
        <v>85</v>
      </c>
      <c r="BB82" s="44">
        <f t="shared" si="20"/>
        <v>0</v>
      </c>
      <c r="BC82" s="44">
        <f t="shared" si="21"/>
        <v>0</v>
      </c>
      <c r="BD82" s="44">
        <f t="shared" si="22"/>
        <v>0</v>
      </c>
      <c r="BE82" s="44">
        <f t="shared" si="23"/>
        <v>0</v>
      </c>
      <c r="BF82" s="83">
        <f t="shared" si="24"/>
        <v>85</v>
      </c>
      <c r="BG82" s="47"/>
      <c r="BH82" s="47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</row>
    <row r="83" spans="1:73" s="91" customFormat="1" ht="121.5" x14ac:dyDescent="0.25">
      <c r="A83" s="707"/>
      <c r="B83" s="627"/>
      <c r="C83" s="627"/>
      <c r="D83" s="603" t="s">
        <v>124</v>
      </c>
      <c r="E83" s="379" t="s">
        <v>125</v>
      </c>
      <c r="F83" s="410">
        <v>0.85</v>
      </c>
      <c r="G83" s="382">
        <v>0.95</v>
      </c>
      <c r="H83" s="603"/>
      <c r="I83" s="603"/>
      <c r="J83" s="603" t="s">
        <v>150</v>
      </c>
      <c r="K83" s="355" t="s">
        <v>410</v>
      </c>
      <c r="L83" s="379" t="s">
        <v>411</v>
      </c>
      <c r="M83" s="44">
        <v>0</v>
      </c>
      <c r="N83" s="49">
        <v>12</v>
      </c>
      <c r="O83" s="44"/>
      <c r="P83" s="44">
        <v>12</v>
      </c>
      <c r="Q83" s="44"/>
      <c r="R83" s="45"/>
      <c r="S83" s="185"/>
      <c r="T83" s="44">
        <v>200</v>
      </c>
      <c r="U83" s="44"/>
      <c r="V83" s="44"/>
      <c r="W83" s="44"/>
      <c r="X83" s="44"/>
      <c r="Y83" s="44"/>
      <c r="Z83" s="44">
        <f t="shared" si="13"/>
        <v>200</v>
      </c>
      <c r="AA83" s="44"/>
      <c r="AB83" s="44"/>
      <c r="AC83" s="44"/>
      <c r="AD83" s="44"/>
      <c r="AE83" s="44"/>
      <c r="AF83" s="44"/>
      <c r="AG83" s="44"/>
      <c r="AH83" s="44">
        <f t="shared" si="14"/>
        <v>0</v>
      </c>
      <c r="AI83" s="44"/>
      <c r="AJ83" s="44"/>
      <c r="AK83" s="44"/>
      <c r="AL83" s="44"/>
      <c r="AM83" s="44"/>
      <c r="AN83" s="44"/>
      <c r="AO83" s="44"/>
      <c r="AP83" s="44">
        <f t="shared" si="15"/>
        <v>0</v>
      </c>
      <c r="AQ83" s="44"/>
      <c r="AR83" s="44"/>
      <c r="AS83" s="44"/>
      <c r="AT83" s="44"/>
      <c r="AU83" s="44"/>
      <c r="AV83" s="44"/>
      <c r="AW83" s="44"/>
      <c r="AX83" s="44">
        <f t="shared" si="16"/>
        <v>0</v>
      </c>
      <c r="AY83" s="44">
        <f t="shared" si="17"/>
        <v>0</v>
      </c>
      <c r="AZ83" s="44">
        <f t="shared" si="18"/>
        <v>200</v>
      </c>
      <c r="BA83" s="44">
        <f t="shared" si="19"/>
        <v>0</v>
      </c>
      <c r="BB83" s="44">
        <f t="shared" si="20"/>
        <v>0</v>
      </c>
      <c r="BC83" s="44">
        <f t="shared" si="21"/>
        <v>0</v>
      </c>
      <c r="BD83" s="44">
        <f t="shared" si="22"/>
        <v>0</v>
      </c>
      <c r="BE83" s="44">
        <f t="shared" si="23"/>
        <v>0</v>
      </c>
      <c r="BF83" s="83">
        <f t="shared" si="24"/>
        <v>200</v>
      </c>
      <c r="BG83" s="47"/>
      <c r="BH83" s="47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</row>
    <row r="84" spans="1:73" s="91" customFormat="1" ht="162" customHeight="1" x14ac:dyDescent="0.25">
      <c r="A84" s="707"/>
      <c r="B84" s="627"/>
      <c r="C84" s="627"/>
      <c r="D84" s="603"/>
      <c r="E84" s="616" t="s">
        <v>126</v>
      </c>
      <c r="F84" s="621">
        <v>0.65</v>
      </c>
      <c r="G84" s="621">
        <v>0.8</v>
      </c>
      <c r="H84" s="603"/>
      <c r="I84" s="603"/>
      <c r="J84" s="603"/>
      <c r="K84" s="355" t="s">
        <v>412</v>
      </c>
      <c r="L84" s="379" t="s">
        <v>413</v>
      </c>
      <c r="M84" s="44">
        <v>0</v>
      </c>
      <c r="N84" s="49">
        <v>4</v>
      </c>
      <c r="O84" s="44"/>
      <c r="P84" s="44"/>
      <c r="Q84" s="44"/>
      <c r="R84" s="45">
        <v>4</v>
      </c>
      <c r="S84" s="185"/>
      <c r="T84" s="44"/>
      <c r="U84" s="44"/>
      <c r="V84" s="44"/>
      <c r="W84" s="44"/>
      <c r="X84" s="44"/>
      <c r="Y84" s="44"/>
      <c r="Z84" s="44">
        <f t="shared" si="13"/>
        <v>0</v>
      </c>
      <c r="AA84" s="44"/>
      <c r="AB84" s="44"/>
      <c r="AC84" s="44"/>
      <c r="AD84" s="44"/>
      <c r="AE84" s="44"/>
      <c r="AF84" s="44"/>
      <c r="AG84" s="44"/>
      <c r="AH84" s="44">
        <f t="shared" si="14"/>
        <v>0</v>
      </c>
      <c r="AI84" s="44"/>
      <c r="AJ84" s="44"/>
      <c r="AK84" s="44"/>
      <c r="AL84" s="44"/>
      <c r="AM84" s="44"/>
      <c r="AN84" s="44"/>
      <c r="AO84" s="44"/>
      <c r="AP84" s="44">
        <f t="shared" si="15"/>
        <v>0</v>
      </c>
      <c r="AQ84" s="44"/>
      <c r="AR84" s="44"/>
      <c r="AS84" s="44"/>
      <c r="AT84" s="44"/>
      <c r="AU84" s="44"/>
      <c r="AV84" s="44"/>
      <c r="AW84" s="44"/>
      <c r="AX84" s="44">
        <f t="shared" si="16"/>
        <v>0</v>
      </c>
      <c r="AY84" s="44">
        <f t="shared" si="17"/>
        <v>0</v>
      </c>
      <c r="AZ84" s="44">
        <f t="shared" si="18"/>
        <v>0</v>
      </c>
      <c r="BA84" s="44">
        <f t="shared" si="19"/>
        <v>0</v>
      </c>
      <c r="BB84" s="44">
        <f t="shared" si="20"/>
        <v>0</v>
      </c>
      <c r="BC84" s="44">
        <f t="shared" si="21"/>
        <v>0</v>
      </c>
      <c r="BD84" s="44">
        <f t="shared" si="22"/>
        <v>0</v>
      </c>
      <c r="BE84" s="44">
        <f t="shared" si="23"/>
        <v>0</v>
      </c>
      <c r="BF84" s="83">
        <f>+AY84+AZ84+BA84+BB84+BC84+BD84+BE84:BE86</f>
        <v>0</v>
      </c>
      <c r="BG84" s="47"/>
      <c r="BH84" s="47"/>
      <c r="BI84" s="90"/>
      <c r="BJ84" s="90"/>
      <c r="BK84" s="90"/>
      <c r="BL84" s="90"/>
      <c r="BM84" s="90"/>
      <c r="BN84" s="90"/>
      <c r="BO84" s="90"/>
      <c r="BP84" s="90"/>
      <c r="BQ84" s="90"/>
      <c r="BR84" s="90"/>
      <c r="BS84" s="90"/>
      <c r="BT84" s="90"/>
      <c r="BU84" s="90"/>
    </row>
    <row r="85" spans="1:73" s="91" customFormat="1" ht="54" x14ac:dyDescent="0.25">
      <c r="A85" s="707"/>
      <c r="B85" s="627"/>
      <c r="C85" s="627"/>
      <c r="D85" s="603"/>
      <c r="E85" s="618"/>
      <c r="F85" s="622"/>
      <c r="G85" s="622"/>
      <c r="H85" s="603"/>
      <c r="I85" s="603"/>
      <c r="J85" s="603"/>
      <c r="K85" s="355" t="s">
        <v>1485</v>
      </c>
      <c r="L85" s="379" t="s">
        <v>1483</v>
      </c>
      <c r="M85" s="44"/>
      <c r="N85" s="49">
        <f>9469*4</f>
        <v>37876</v>
      </c>
      <c r="O85" s="44">
        <f>+N85/4</f>
        <v>9469</v>
      </c>
      <c r="P85" s="44">
        <f>+O85+9469</f>
        <v>18938</v>
      </c>
      <c r="Q85" s="44">
        <f>+P85+9469</f>
        <v>28407</v>
      </c>
      <c r="R85" s="45">
        <v>37876</v>
      </c>
      <c r="S85" s="185"/>
      <c r="T85" s="44">
        <f>3922+4240</f>
        <v>8162</v>
      </c>
      <c r="U85" s="44">
        <v>1307</v>
      </c>
      <c r="V85" s="44"/>
      <c r="W85" s="44"/>
      <c r="X85" s="44"/>
      <c r="Y85" s="44"/>
      <c r="Z85" s="44">
        <f t="shared" si="13"/>
        <v>9469</v>
      </c>
      <c r="AA85" s="44"/>
      <c r="AB85" s="44">
        <f>3922+4240</f>
        <v>8162</v>
      </c>
      <c r="AC85" s="44">
        <v>1307</v>
      </c>
      <c r="AD85" s="44"/>
      <c r="AE85" s="44"/>
      <c r="AF85" s="44"/>
      <c r="AG85" s="44"/>
      <c r="AH85" s="44">
        <f t="shared" si="14"/>
        <v>9469</v>
      </c>
      <c r="AI85" s="44"/>
      <c r="AJ85" s="44">
        <f>3922+4240</f>
        <v>8162</v>
      </c>
      <c r="AK85" s="44">
        <v>1307</v>
      </c>
      <c r="AL85" s="44"/>
      <c r="AM85" s="44"/>
      <c r="AN85" s="44"/>
      <c r="AO85" s="44"/>
      <c r="AP85" s="44">
        <f t="shared" si="15"/>
        <v>9469</v>
      </c>
      <c r="AQ85" s="44"/>
      <c r="AR85" s="44">
        <f>3922+4240</f>
        <v>8162</v>
      </c>
      <c r="AS85" s="44">
        <v>1307</v>
      </c>
      <c r="AT85" s="44"/>
      <c r="AU85" s="44"/>
      <c r="AV85" s="44"/>
      <c r="AW85" s="44"/>
      <c r="AX85" s="44">
        <f t="shared" si="16"/>
        <v>9469</v>
      </c>
      <c r="AY85" s="44">
        <f t="shared" ref="AY85" si="26">+S85+AA85+AI85+AQ85</f>
        <v>0</v>
      </c>
      <c r="AZ85" s="44">
        <f t="shared" ref="AZ85" si="27">+T85+AB85+AJ85+AR85</f>
        <v>32648</v>
      </c>
      <c r="BA85" s="44">
        <f t="shared" ref="BA85" si="28">+U85+AC85+AK85+AS85</f>
        <v>5228</v>
      </c>
      <c r="BB85" s="44">
        <f t="shared" ref="BB85" si="29">+V85+AD85+AL85+AT85</f>
        <v>0</v>
      </c>
      <c r="BC85" s="44">
        <f t="shared" ref="BC85" si="30">+W85+AE85+AM85+AU85</f>
        <v>0</v>
      </c>
      <c r="BD85" s="44">
        <f t="shared" ref="BD85" si="31">+X85+AF85+AN85+AV85</f>
        <v>0</v>
      </c>
      <c r="BE85" s="44">
        <f t="shared" ref="BE85" si="32">+Y85+AG85+AO85+AW85</f>
        <v>0</v>
      </c>
      <c r="BF85" s="83">
        <f>+AY85+AZ85+BA85+BB85+BC85+BD85+BE85:BE88</f>
        <v>37876</v>
      </c>
      <c r="BG85" s="47"/>
      <c r="BH85" s="47"/>
      <c r="BI85" s="90"/>
      <c r="BJ85" s="90"/>
      <c r="BK85" s="90"/>
      <c r="BL85" s="90"/>
      <c r="BM85" s="90"/>
      <c r="BN85" s="90"/>
      <c r="BO85" s="90"/>
      <c r="BP85" s="90"/>
      <c r="BQ85" s="90"/>
      <c r="BR85" s="90"/>
      <c r="BS85" s="90"/>
      <c r="BT85" s="90"/>
      <c r="BU85" s="90"/>
    </row>
    <row r="86" spans="1:73" s="91" customFormat="1" ht="135" x14ac:dyDescent="0.25">
      <c r="A86" s="707"/>
      <c r="B86" s="627"/>
      <c r="C86" s="627"/>
      <c r="D86" s="603"/>
      <c r="E86" s="379" t="s">
        <v>127</v>
      </c>
      <c r="F86" s="382">
        <v>0.35</v>
      </c>
      <c r="G86" s="382">
        <v>0.7</v>
      </c>
      <c r="H86" s="603"/>
      <c r="I86" s="603"/>
      <c r="J86" s="603"/>
      <c r="K86" s="355" t="s">
        <v>129</v>
      </c>
      <c r="L86" s="379" t="s">
        <v>130</v>
      </c>
      <c r="M86" s="79">
        <v>1</v>
      </c>
      <c r="N86" s="79">
        <v>1</v>
      </c>
      <c r="O86" s="241">
        <v>1</v>
      </c>
      <c r="P86" s="241"/>
      <c r="Q86" s="241"/>
      <c r="R86" s="251"/>
      <c r="S86" s="185"/>
      <c r="T86" s="44"/>
      <c r="U86" s="44"/>
      <c r="V86" s="44"/>
      <c r="W86" s="44"/>
      <c r="X86" s="44"/>
      <c r="Y86" s="44"/>
      <c r="Z86" s="44">
        <f t="shared" si="13"/>
        <v>0</v>
      </c>
      <c r="AA86" s="44"/>
      <c r="AB86" s="44"/>
      <c r="AC86" s="44"/>
      <c r="AD86" s="44"/>
      <c r="AE86" s="44"/>
      <c r="AF86" s="44"/>
      <c r="AG86" s="44"/>
      <c r="AH86" s="44">
        <f t="shared" si="14"/>
        <v>0</v>
      </c>
      <c r="AI86" s="44"/>
      <c r="AJ86" s="44"/>
      <c r="AK86" s="44"/>
      <c r="AL86" s="44"/>
      <c r="AM86" s="44"/>
      <c r="AN86" s="44"/>
      <c r="AO86" s="44"/>
      <c r="AP86" s="44">
        <f t="shared" si="15"/>
        <v>0</v>
      </c>
      <c r="AQ86" s="44"/>
      <c r="AR86" s="44"/>
      <c r="AS86" s="44"/>
      <c r="AT86" s="44"/>
      <c r="AU86" s="44"/>
      <c r="AV86" s="44"/>
      <c r="AW86" s="44"/>
      <c r="AX86" s="44">
        <f t="shared" si="16"/>
        <v>0</v>
      </c>
      <c r="AY86" s="44">
        <f t="shared" si="17"/>
        <v>0</v>
      </c>
      <c r="AZ86" s="44">
        <f t="shared" si="18"/>
        <v>0</v>
      </c>
      <c r="BA86" s="44">
        <f t="shared" si="19"/>
        <v>0</v>
      </c>
      <c r="BB86" s="44">
        <f t="shared" si="20"/>
        <v>0</v>
      </c>
      <c r="BC86" s="44">
        <f t="shared" si="21"/>
        <v>0</v>
      </c>
      <c r="BD86" s="44">
        <f t="shared" si="22"/>
        <v>0</v>
      </c>
      <c r="BE86" s="44">
        <f t="shared" si="23"/>
        <v>0</v>
      </c>
      <c r="BF86" s="83">
        <f>+AY86+AZ86+BA86+BB86+BC86+BD86+BE86:BE88</f>
        <v>0</v>
      </c>
      <c r="BG86" s="47"/>
      <c r="BH86" s="47"/>
      <c r="BI86" s="90"/>
      <c r="BJ86" s="90"/>
      <c r="BK86" s="90"/>
      <c r="BL86" s="90"/>
      <c r="BM86" s="90"/>
      <c r="BN86" s="90"/>
      <c r="BO86" s="90"/>
      <c r="BP86" s="90"/>
      <c r="BQ86" s="90"/>
      <c r="BR86" s="90"/>
      <c r="BS86" s="90"/>
      <c r="BT86" s="90"/>
      <c r="BU86" s="90"/>
    </row>
    <row r="87" spans="1:73" s="91" customFormat="1" ht="54" x14ac:dyDescent="0.25">
      <c r="A87" s="707"/>
      <c r="B87" s="627"/>
      <c r="C87" s="627"/>
      <c r="D87" s="603"/>
      <c r="E87" s="364"/>
      <c r="F87" s="382"/>
      <c r="G87" s="382"/>
      <c r="H87" s="603"/>
      <c r="I87" s="603"/>
      <c r="J87" s="603"/>
      <c r="K87" s="355" t="s">
        <v>1484</v>
      </c>
      <c r="L87" s="379" t="s">
        <v>1483</v>
      </c>
      <c r="M87" s="79"/>
      <c r="N87" s="79">
        <f>13683*4</f>
        <v>54732</v>
      </c>
      <c r="O87" s="241">
        <v>13683</v>
      </c>
      <c r="P87" s="241">
        <f>+O87+13683</f>
        <v>27366</v>
      </c>
      <c r="Q87" s="241">
        <f>+P87+13683</f>
        <v>41049</v>
      </c>
      <c r="R87" s="251">
        <v>54732</v>
      </c>
      <c r="S87" s="185"/>
      <c r="T87" s="44">
        <v>12028</v>
      </c>
      <c r="U87" s="44">
        <v>1655</v>
      </c>
      <c r="V87" s="44"/>
      <c r="W87" s="44"/>
      <c r="X87" s="44"/>
      <c r="Y87" s="44"/>
      <c r="Z87" s="44">
        <f t="shared" si="13"/>
        <v>13683</v>
      </c>
      <c r="AA87" s="44"/>
      <c r="AB87" s="44">
        <v>12028</v>
      </c>
      <c r="AC87" s="44">
        <v>1655</v>
      </c>
      <c r="AD87" s="44"/>
      <c r="AE87" s="44"/>
      <c r="AF87" s="44"/>
      <c r="AG87" s="44"/>
      <c r="AH87" s="44">
        <f t="shared" si="14"/>
        <v>13683</v>
      </c>
      <c r="AI87" s="44"/>
      <c r="AJ87" s="44">
        <v>12028</v>
      </c>
      <c r="AK87" s="44">
        <v>1655</v>
      </c>
      <c r="AL87" s="44"/>
      <c r="AM87" s="44"/>
      <c r="AN87" s="44"/>
      <c r="AO87" s="44"/>
      <c r="AP87" s="44">
        <f t="shared" si="15"/>
        <v>13683</v>
      </c>
      <c r="AQ87" s="44"/>
      <c r="AR87" s="44">
        <v>12028</v>
      </c>
      <c r="AS87" s="44">
        <v>1655</v>
      </c>
      <c r="AT87" s="44"/>
      <c r="AU87" s="44"/>
      <c r="AV87" s="44"/>
      <c r="AW87" s="44"/>
      <c r="AX87" s="44">
        <f t="shared" si="16"/>
        <v>13683</v>
      </c>
      <c r="AY87" s="44">
        <f t="shared" ref="AY87" si="33">+S87+AA87+AI87+AQ87</f>
        <v>0</v>
      </c>
      <c r="AZ87" s="44">
        <f t="shared" ref="AZ87" si="34">+T87+AB87+AJ87+AR87</f>
        <v>48112</v>
      </c>
      <c r="BA87" s="44">
        <f t="shared" ref="BA87" si="35">+U87+AC87+AK87+AS87</f>
        <v>6620</v>
      </c>
      <c r="BB87" s="44">
        <f t="shared" ref="BB87" si="36">+V87+AD87+AL87+AT87</f>
        <v>0</v>
      </c>
      <c r="BC87" s="44">
        <f t="shared" ref="BC87" si="37">+W87+AE87+AM87+AU87</f>
        <v>0</v>
      </c>
      <c r="BD87" s="44">
        <f t="shared" ref="BD87" si="38">+X87+AF87+AN87+AV87</f>
        <v>0</v>
      </c>
      <c r="BE87" s="44">
        <f t="shared" ref="BE87" si="39">+Y87+AG87+AO87+AW87</f>
        <v>0</v>
      </c>
      <c r="BF87" s="83">
        <f>+AY87+AZ87+BA87+BB87+BC87+BD87+BE87:BE89</f>
        <v>54732</v>
      </c>
      <c r="BG87" s="47"/>
      <c r="BH87" s="47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90"/>
      <c r="BU87" s="90"/>
    </row>
    <row r="88" spans="1:73" s="91" customFormat="1" ht="40.5" x14ac:dyDescent="0.25">
      <c r="A88" s="707"/>
      <c r="B88" s="627"/>
      <c r="C88" s="627"/>
      <c r="D88" s="603"/>
      <c r="E88" s="616" t="s">
        <v>128</v>
      </c>
      <c r="F88" s="619">
        <v>0.6</v>
      </c>
      <c r="G88" s="619">
        <v>0.8</v>
      </c>
      <c r="H88" s="603"/>
      <c r="I88" s="603"/>
      <c r="J88" s="603"/>
      <c r="K88" s="355" t="s">
        <v>131</v>
      </c>
      <c r="L88" s="379" t="s">
        <v>132</v>
      </c>
      <c r="M88" s="50"/>
      <c r="N88" s="87">
        <v>1</v>
      </c>
      <c r="O88" s="50">
        <v>1</v>
      </c>
      <c r="P88" s="50"/>
      <c r="Q88" s="50"/>
      <c r="R88" s="203"/>
      <c r="S88" s="185"/>
      <c r="T88" s="44"/>
      <c r="U88" s="44">
        <v>50</v>
      </c>
      <c r="V88" s="44"/>
      <c r="W88" s="44"/>
      <c r="X88" s="44"/>
      <c r="Y88" s="44"/>
      <c r="Z88" s="44">
        <f t="shared" si="13"/>
        <v>50</v>
      </c>
      <c r="AA88" s="44"/>
      <c r="AB88" s="44"/>
      <c r="AC88" s="44"/>
      <c r="AD88" s="44"/>
      <c r="AE88" s="44"/>
      <c r="AF88" s="44"/>
      <c r="AG88" s="44"/>
      <c r="AH88" s="44">
        <f t="shared" si="14"/>
        <v>0</v>
      </c>
      <c r="AI88" s="44"/>
      <c r="AJ88" s="44"/>
      <c r="AK88" s="44"/>
      <c r="AL88" s="44"/>
      <c r="AM88" s="44"/>
      <c r="AN88" s="44"/>
      <c r="AO88" s="44"/>
      <c r="AP88" s="44">
        <f t="shared" si="15"/>
        <v>0</v>
      </c>
      <c r="AQ88" s="44"/>
      <c r="AR88" s="44"/>
      <c r="AS88" s="44"/>
      <c r="AT88" s="44"/>
      <c r="AU88" s="44"/>
      <c r="AV88" s="44"/>
      <c r="AW88" s="44"/>
      <c r="AX88" s="44">
        <f t="shared" si="16"/>
        <v>0</v>
      </c>
      <c r="AY88" s="44">
        <f t="shared" si="17"/>
        <v>0</v>
      </c>
      <c r="AZ88" s="44">
        <f t="shared" si="18"/>
        <v>0</v>
      </c>
      <c r="BA88" s="44">
        <f t="shared" si="19"/>
        <v>50</v>
      </c>
      <c r="BB88" s="44">
        <f t="shared" si="20"/>
        <v>0</v>
      </c>
      <c r="BC88" s="44">
        <f t="shared" si="21"/>
        <v>0</v>
      </c>
      <c r="BD88" s="44">
        <f t="shared" si="22"/>
        <v>0</v>
      </c>
      <c r="BE88" s="44">
        <f t="shared" si="23"/>
        <v>0</v>
      </c>
      <c r="BF88" s="83">
        <f t="shared" si="24"/>
        <v>50</v>
      </c>
      <c r="BG88" s="47"/>
      <c r="BH88" s="47"/>
      <c r="BI88" s="90"/>
      <c r="BJ88" s="90"/>
      <c r="BK88" s="90"/>
      <c r="BL88" s="90"/>
      <c r="BM88" s="90"/>
      <c r="BN88" s="90"/>
      <c r="BO88" s="90"/>
      <c r="BP88" s="90"/>
      <c r="BQ88" s="90"/>
      <c r="BR88" s="90"/>
      <c r="BS88" s="90"/>
      <c r="BT88" s="90"/>
      <c r="BU88" s="90"/>
    </row>
    <row r="89" spans="1:73" s="91" customFormat="1" ht="40.5" x14ac:dyDescent="0.25">
      <c r="A89" s="707"/>
      <c r="B89" s="627"/>
      <c r="C89" s="627"/>
      <c r="D89" s="603"/>
      <c r="E89" s="617"/>
      <c r="F89" s="619"/>
      <c r="G89" s="619"/>
      <c r="H89" s="603"/>
      <c r="I89" s="603"/>
      <c r="J89" s="603"/>
      <c r="K89" s="355" t="s">
        <v>707</v>
      </c>
      <c r="L89" s="379" t="s">
        <v>708</v>
      </c>
      <c r="M89" s="50">
        <v>0</v>
      </c>
      <c r="N89" s="87">
        <v>1</v>
      </c>
      <c r="O89" s="50"/>
      <c r="P89" s="50"/>
      <c r="Q89" s="50"/>
      <c r="R89" s="203">
        <v>1</v>
      </c>
      <c r="S89" s="185"/>
      <c r="T89" s="44"/>
      <c r="U89" s="44"/>
      <c r="V89" s="44"/>
      <c r="W89" s="44"/>
      <c r="X89" s="44"/>
      <c r="Y89" s="44"/>
      <c r="Z89" s="44">
        <f t="shared" si="13"/>
        <v>0</v>
      </c>
      <c r="AA89" s="44"/>
      <c r="AB89" s="44"/>
      <c r="AC89" s="44"/>
      <c r="AD89" s="44"/>
      <c r="AE89" s="44"/>
      <c r="AF89" s="44"/>
      <c r="AG89" s="44"/>
      <c r="AH89" s="44">
        <f t="shared" si="14"/>
        <v>0</v>
      </c>
      <c r="AI89" s="44"/>
      <c r="AJ89" s="44"/>
      <c r="AK89" s="44"/>
      <c r="AL89" s="44"/>
      <c r="AM89" s="44"/>
      <c r="AN89" s="44"/>
      <c r="AO89" s="44"/>
      <c r="AP89" s="44">
        <f t="shared" si="15"/>
        <v>0</v>
      </c>
      <c r="AQ89" s="44"/>
      <c r="AR89" s="44"/>
      <c r="AS89" s="44"/>
      <c r="AT89" s="44"/>
      <c r="AU89" s="44"/>
      <c r="AV89" s="44"/>
      <c r="AW89" s="44"/>
      <c r="AX89" s="44">
        <f t="shared" si="16"/>
        <v>0</v>
      </c>
      <c r="AY89" s="44">
        <f t="shared" si="17"/>
        <v>0</v>
      </c>
      <c r="AZ89" s="44">
        <f t="shared" si="18"/>
        <v>0</v>
      </c>
      <c r="BA89" s="44">
        <f t="shared" si="19"/>
        <v>0</v>
      </c>
      <c r="BB89" s="44">
        <f t="shared" si="20"/>
        <v>0</v>
      </c>
      <c r="BC89" s="44">
        <f t="shared" si="21"/>
        <v>0</v>
      </c>
      <c r="BD89" s="44">
        <f t="shared" si="22"/>
        <v>0</v>
      </c>
      <c r="BE89" s="44">
        <f t="shared" si="23"/>
        <v>0</v>
      </c>
      <c r="BF89" s="83">
        <f t="shared" si="24"/>
        <v>0</v>
      </c>
      <c r="BG89" s="47"/>
      <c r="BH89" s="47"/>
      <c r="BI89" s="90"/>
      <c r="BJ89" s="90"/>
      <c r="BK89" s="90"/>
      <c r="BL89" s="90"/>
      <c r="BM89" s="90"/>
      <c r="BN89" s="90"/>
      <c r="BO89" s="90"/>
      <c r="BP89" s="90"/>
      <c r="BQ89" s="90"/>
      <c r="BR89" s="90"/>
      <c r="BS89" s="90"/>
      <c r="BT89" s="90"/>
      <c r="BU89" s="90"/>
    </row>
    <row r="90" spans="1:73" s="91" customFormat="1" ht="27" x14ac:dyDescent="0.25">
      <c r="A90" s="707"/>
      <c r="B90" s="627"/>
      <c r="C90" s="627"/>
      <c r="D90" s="603"/>
      <c r="E90" s="617"/>
      <c r="F90" s="619"/>
      <c r="G90" s="619"/>
      <c r="H90" s="603"/>
      <c r="I90" s="603"/>
      <c r="J90" s="603"/>
      <c r="K90" s="355" t="s">
        <v>133</v>
      </c>
      <c r="L90" s="379" t="s">
        <v>134</v>
      </c>
      <c r="M90" s="50"/>
      <c r="N90" s="50">
        <v>1</v>
      </c>
      <c r="O90" s="50">
        <v>1</v>
      </c>
      <c r="P90" s="50"/>
      <c r="Q90" s="50"/>
      <c r="R90" s="203"/>
      <c r="S90" s="185"/>
      <c r="T90" s="44"/>
      <c r="U90" s="44">
        <v>63</v>
      </c>
      <c r="V90" s="44"/>
      <c r="W90" s="44"/>
      <c r="X90" s="44"/>
      <c r="Y90" s="44"/>
      <c r="Z90" s="44">
        <f t="shared" si="13"/>
        <v>63</v>
      </c>
      <c r="AA90" s="44"/>
      <c r="AB90" s="44"/>
      <c r="AC90" s="44"/>
      <c r="AD90" s="44"/>
      <c r="AE90" s="44"/>
      <c r="AF90" s="44"/>
      <c r="AG90" s="44"/>
      <c r="AH90" s="44">
        <f t="shared" si="14"/>
        <v>0</v>
      </c>
      <c r="AI90" s="44"/>
      <c r="AJ90" s="44"/>
      <c r="AK90" s="44"/>
      <c r="AL90" s="44"/>
      <c r="AM90" s="44"/>
      <c r="AN90" s="44"/>
      <c r="AO90" s="44"/>
      <c r="AP90" s="44">
        <f t="shared" si="15"/>
        <v>0</v>
      </c>
      <c r="AQ90" s="44"/>
      <c r="AR90" s="44"/>
      <c r="AS90" s="44"/>
      <c r="AT90" s="44"/>
      <c r="AU90" s="44"/>
      <c r="AV90" s="44"/>
      <c r="AW90" s="44"/>
      <c r="AX90" s="44">
        <f t="shared" si="16"/>
        <v>0</v>
      </c>
      <c r="AY90" s="44">
        <f t="shared" si="17"/>
        <v>0</v>
      </c>
      <c r="AZ90" s="44">
        <f t="shared" si="18"/>
        <v>0</v>
      </c>
      <c r="BA90" s="44">
        <f t="shared" si="19"/>
        <v>63</v>
      </c>
      <c r="BB90" s="44">
        <f t="shared" si="20"/>
        <v>0</v>
      </c>
      <c r="BC90" s="44">
        <f t="shared" si="21"/>
        <v>0</v>
      </c>
      <c r="BD90" s="44">
        <f t="shared" si="22"/>
        <v>0</v>
      </c>
      <c r="BE90" s="44">
        <f t="shared" si="23"/>
        <v>0</v>
      </c>
      <c r="BF90" s="83">
        <f t="shared" si="24"/>
        <v>63</v>
      </c>
      <c r="BG90" s="47"/>
      <c r="BH90" s="47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</row>
    <row r="91" spans="1:73" s="91" customFormat="1" ht="27" x14ac:dyDescent="0.25">
      <c r="A91" s="707"/>
      <c r="B91" s="627"/>
      <c r="C91" s="627"/>
      <c r="D91" s="603"/>
      <c r="E91" s="617"/>
      <c r="F91" s="619"/>
      <c r="G91" s="619"/>
      <c r="H91" s="603"/>
      <c r="I91" s="603"/>
      <c r="J91" s="603"/>
      <c r="K91" s="355" t="s">
        <v>135</v>
      </c>
      <c r="L91" s="379" t="s">
        <v>136</v>
      </c>
      <c r="M91" s="50"/>
      <c r="N91" s="50">
        <v>1</v>
      </c>
      <c r="O91" s="50">
        <v>1</v>
      </c>
      <c r="P91" s="50"/>
      <c r="Q91" s="50"/>
      <c r="R91" s="203"/>
      <c r="S91" s="185"/>
      <c r="T91" s="44"/>
      <c r="U91" s="44">
        <v>200</v>
      </c>
      <c r="V91" s="44"/>
      <c r="W91" s="44"/>
      <c r="X91" s="44"/>
      <c r="Y91" s="44"/>
      <c r="Z91" s="44">
        <f t="shared" si="13"/>
        <v>200</v>
      </c>
      <c r="AA91" s="44"/>
      <c r="AB91" s="44"/>
      <c r="AC91" s="44"/>
      <c r="AD91" s="44"/>
      <c r="AE91" s="44"/>
      <c r="AF91" s="44"/>
      <c r="AG91" s="44"/>
      <c r="AH91" s="44">
        <f t="shared" si="14"/>
        <v>0</v>
      </c>
      <c r="AI91" s="44"/>
      <c r="AJ91" s="44"/>
      <c r="AK91" s="44"/>
      <c r="AL91" s="44"/>
      <c r="AM91" s="44"/>
      <c r="AN91" s="44"/>
      <c r="AO91" s="44"/>
      <c r="AP91" s="44">
        <f t="shared" si="15"/>
        <v>0</v>
      </c>
      <c r="AQ91" s="44"/>
      <c r="AR91" s="44"/>
      <c r="AS91" s="44"/>
      <c r="AT91" s="44"/>
      <c r="AU91" s="44"/>
      <c r="AV91" s="44"/>
      <c r="AW91" s="44"/>
      <c r="AX91" s="44">
        <f t="shared" si="16"/>
        <v>0</v>
      </c>
      <c r="AY91" s="44">
        <f t="shared" si="17"/>
        <v>0</v>
      </c>
      <c r="AZ91" s="44">
        <f t="shared" si="18"/>
        <v>0</v>
      </c>
      <c r="BA91" s="44">
        <f t="shared" si="19"/>
        <v>200</v>
      </c>
      <c r="BB91" s="44">
        <f t="shared" si="20"/>
        <v>0</v>
      </c>
      <c r="BC91" s="44">
        <f t="shared" si="21"/>
        <v>0</v>
      </c>
      <c r="BD91" s="44">
        <f t="shared" si="22"/>
        <v>0</v>
      </c>
      <c r="BE91" s="44">
        <f t="shared" si="23"/>
        <v>0</v>
      </c>
      <c r="BF91" s="83">
        <f t="shared" si="24"/>
        <v>200</v>
      </c>
      <c r="BG91" s="47"/>
      <c r="BH91" s="47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0"/>
    </row>
    <row r="92" spans="1:73" s="91" customFormat="1" ht="27" x14ac:dyDescent="0.25">
      <c r="A92" s="707"/>
      <c r="B92" s="627"/>
      <c r="C92" s="627"/>
      <c r="D92" s="603"/>
      <c r="E92" s="617"/>
      <c r="F92" s="619"/>
      <c r="G92" s="619"/>
      <c r="H92" s="603"/>
      <c r="I92" s="603"/>
      <c r="J92" s="603"/>
      <c r="K92" s="355" t="s">
        <v>137</v>
      </c>
      <c r="L92" s="379" t="s">
        <v>136</v>
      </c>
      <c r="M92" s="50"/>
      <c r="N92" s="50">
        <v>1</v>
      </c>
      <c r="O92" s="50"/>
      <c r="P92" s="50">
        <v>1</v>
      </c>
      <c r="Q92" s="50"/>
      <c r="R92" s="203"/>
      <c r="S92" s="185"/>
      <c r="T92" s="44"/>
      <c r="U92" s="44"/>
      <c r="V92" s="44"/>
      <c r="W92" s="44"/>
      <c r="X92" s="44"/>
      <c r="Y92" s="44"/>
      <c r="Z92" s="44">
        <f t="shared" si="13"/>
        <v>0</v>
      </c>
      <c r="AA92" s="44"/>
      <c r="AB92" s="44"/>
      <c r="AC92" s="44">
        <v>400</v>
      </c>
      <c r="AD92" s="44"/>
      <c r="AE92" s="44"/>
      <c r="AF92" s="44"/>
      <c r="AG92" s="44"/>
      <c r="AH92" s="44">
        <f t="shared" si="14"/>
        <v>400</v>
      </c>
      <c r="AI92" s="44"/>
      <c r="AJ92" s="44"/>
      <c r="AK92" s="44"/>
      <c r="AL92" s="44"/>
      <c r="AM92" s="44"/>
      <c r="AN92" s="44"/>
      <c r="AO92" s="44"/>
      <c r="AP92" s="44">
        <f t="shared" si="15"/>
        <v>0</v>
      </c>
      <c r="AQ92" s="44"/>
      <c r="AR92" s="44"/>
      <c r="AS92" s="44"/>
      <c r="AT92" s="44"/>
      <c r="AU92" s="44"/>
      <c r="AV92" s="44"/>
      <c r="AW92" s="44"/>
      <c r="AX92" s="44">
        <f t="shared" si="16"/>
        <v>0</v>
      </c>
      <c r="AY92" s="44">
        <f t="shared" si="17"/>
        <v>0</v>
      </c>
      <c r="AZ92" s="44">
        <f t="shared" si="18"/>
        <v>0</v>
      </c>
      <c r="BA92" s="44">
        <f t="shared" si="19"/>
        <v>400</v>
      </c>
      <c r="BB92" s="44">
        <f t="shared" si="20"/>
        <v>0</v>
      </c>
      <c r="BC92" s="44">
        <f t="shared" si="21"/>
        <v>0</v>
      </c>
      <c r="BD92" s="44">
        <f t="shared" si="22"/>
        <v>0</v>
      </c>
      <c r="BE92" s="44">
        <f t="shared" si="23"/>
        <v>0</v>
      </c>
      <c r="BF92" s="83">
        <f t="shared" si="24"/>
        <v>400</v>
      </c>
      <c r="BG92" s="47"/>
      <c r="BH92" s="47"/>
      <c r="BI92" s="90"/>
      <c r="BJ92" s="90"/>
      <c r="BK92" s="90"/>
      <c r="BL92" s="90"/>
      <c r="BM92" s="90"/>
      <c r="BN92" s="90"/>
      <c r="BO92" s="90"/>
      <c r="BP92" s="90"/>
      <c r="BQ92" s="90"/>
      <c r="BR92" s="90"/>
      <c r="BS92" s="90"/>
      <c r="BT92" s="90"/>
      <c r="BU92" s="90"/>
    </row>
    <row r="93" spans="1:73" s="91" customFormat="1" ht="27" x14ac:dyDescent="0.25">
      <c r="A93" s="707"/>
      <c r="B93" s="627"/>
      <c r="C93" s="627"/>
      <c r="D93" s="603"/>
      <c r="E93" s="617"/>
      <c r="F93" s="619"/>
      <c r="G93" s="619"/>
      <c r="H93" s="603"/>
      <c r="I93" s="603"/>
      <c r="J93" s="603"/>
      <c r="K93" s="355" t="s">
        <v>138</v>
      </c>
      <c r="L93" s="379" t="s">
        <v>139</v>
      </c>
      <c r="M93" s="50"/>
      <c r="N93" s="50">
        <v>5</v>
      </c>
      <c r="O93" s="50"/>
      <c r="P93" s="50">
        <v>1</v>
      </c>
      <c r="Q93" s="50">
        <v>2</v>
      </c>
      <c r="R93" s="203">
        <v>5</v>
      </c>
      <c r="S93" s="185"/>
      <c r="T93" s="44"/>
      <c r="U93" s="44"/>
      <c r="V93" s="44"/>
      <c r="W93" s="44"/>
      <c r="X93" s="44"/>
      <c r="Y93" s="44"/>
      <c r="Z93" s="44">
        <f t="shared" si="13"/>
        <v>0</v>
      </c>
      <c r="AA93" s="44"/>
      <c r="AB93" s="44"/>
      <c r="AC93" s="44">
        <v>30</v>
      </c>
      <c r="AD93" s="44"/>
      <c r="AE93" s="44"/>
      <c r="AF93" s="44">
        <v>300</v>
      </c>
      <c r="AG93" s="44"/>
      <c r="AH93" s="44">
        <f t="shared" si="14"/>
        <v>330</v>
      </c>
      <c r="AI93" s="44"/>
      <c r="AJ93" s="44"/>
      <c r="AK93" s="44">
        <v>70</v>
      </c>
      <c r="AL93" s="44"/>
      <c r="AM93" s="44"/>
      <c r="AN93" s="44">
        <v>300</v>
      </c>
      <c r="AO93" s="44"/>
      <c r="AP93" s="44">
        <f t="shared" si="15"/>
        <v>370</v>
      </c>
      <c r="AQ93" s="44"/>
      <c r="AR93" s="44"/>
      <c r="AS93" s="44">
        <v>80</v>
      </c>
      <c r="AT93" s="44"/>
      <c r="AU93" s="44"/>
      <c r="AV93" s="44">
        <v>300</v>
      </c>
      <c r="AW93" s="44"/>
      <c r="AX93" s="44">
        <f t="shared" si="16"/>
        <v>380</v>
      </c>
      <c r="AY93" s="44">
        <f t="shared" si="17"/>
        <v>0</v>
      </c>
      <c r="AZ93" s="44">
        <f t="shared" si="18"/>
        <v>0</v>
      </c>
      <c r="BA93" s="44">
        <f t="shared" si="19"/>
        <v>180</v>
      </c>
      <c r="BB93" s="44">
        <f t="shared" si="20"/>
        <v>0</v>
      </c>
      <c r="BC93" s="44">
        <f t="shared" si="21"/>
        <v>0</v>
      </c>
      <c r="BD93" s="44">
        <f t="shared" si="22"/>
        <v>900</v>
      </c>
      <c r="BE93" s="44">
        <f t="shared" si="23"/>
        <v>0</v>
      </c>
      <c r="BF93" s="83">
        <f t="shared" si="24"/>
        <v>1080</v>
      </c>
      <c r="BG93" s="47"/>
      <c r="BH93" s="47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  <c r="BU93" s="90"/>
    </row>
    <row r="94" spans="1:73" s="91" customFormat="1" ht="121.5" x14ac:dyDescent="0.25">
      <c r="A94" s="707"/>
      <c r="B94" s="627"/>
      <c r="C94" s="627"/>
      <c r="D94" s="603"/>
      <c r="E94" s="617"/>
      <c r="F94" s="619"/>
      <c r="G94" s="619"/>
      <c r="H94" s="603"/>
      <c r="I94" s="603"/>
      <c r="J94" s="603"/>
      <c r="K94" s="355" t="s">
        <v>140</v>
      </c>
      <c r="L94" s="379" t="s">
        <v>141</v>
      </c>
      <c r="M94" s="50">
        <v>0</v>
      </c>
      <c r="N94" s="252" t="s">
        <v>142</v>
      </c>
      <c r="O94" s="252"/>
      <c r="P94" s="252" t="s">
        <v>143</v>
      </c>
      <c r="Q94" s="252"/>
      <c r="R94" s="253" t="s">
        <v>144</v>
      </c>
      <c r="S94" s="185"/>
      <c r="T94" s="44"/>
      <c r="U94" s="44"/>
      <c r="V94" s="44"/>
      <c r="W94" s="44"/>
      <c r="X94" s="44"/>
      <c r="Y94" s="44"/>
      <c r="Z94" s="44">
        <f t="shared" si="13"/>
        <v>0</v>
      </c>
      <c r="AA94" s="44"/>
      <c r="AB94" s="44"/>
      <c r="AC94" s="44"/>
      <c r="AD94" s="44"/>
      <c r="AE94" s="44"/>
      <c r="AF94" s="44">
        <v>1000</v>
      </c>
      <c r="AG94" s="44"/>
      <c r="AH94" s="44">
        <f t="shared" si="14"/>
        <v>1000</v>
      </c>
      <c r="AI94" s="44"/>
      <c r="AJ94" s="44"/>
      <c r="AK94" s="44"/>
      <c r="AL94" s="44"/>
      <c r="AM94" s="44"/>
      <c r="AN94" s="44">
        <v>1000</v>
      </c>
      <c r="AO94" s="44"/>
      <c r="AP94" s="44">
        <f t="shared" si="15"/>
        <v>1000</v>
      </c>
      <c r="AQ94" s="44"/>
      <c r="AR94" s="44"/>
      <c r="AS94" s="44"/>
      <c r="AT94" s="44"/>
      <c r="AU94" s="44"/>
      <c r="AV94" s="44"/>
      <c r="AW94" s="44"/>
      <c r="AX94" s="44">
        <f t="shared" si="16"/>
        <v>0</v>
      </c>
      <c r="AY94" s="44">
        <f t="shared" si="17"/>
        <v>0</v>
      </c>
      <c r="AZ94" s="44">
        <f t="shared" si="18"/>
        <v>0</v>
      </c>
      <c r="BA94" s="44">
        <f t="shared" si="19"/>
        <v>0</v>
      </c>
      <c r="BB94" s="44">
        <f t="shared" si="20"/>
        <v>0</v>
      </c>
      <c r="BC94" s="44">
        <f t="shared" si="21"/>
        <v>0</v>
      </c>
      <c r="BD94" s="44">
        <f t="shared" si="22"/>
        <v>2000</v>
      </c>
      <c r="BE94" s="44">
        <f t="shared" si="23"/>
        <v>0</v>
      </c>
      <c r="BF94" s="83">
        <f t="shared" si="24"/>
        <v>2000</v>
      </c>
      <c r="BG94" s="47"/>
      <c r="BH94" s="47"/>
      <c r="BI94" s="90"/>
      <c r="BJ94" s="90"/>
      <c r="BK94" s="90"/>
      <c r="BL94" s="90"/>
      <c r="BM94" s="90"/>
      <c r="BN94" s="90"/>
      <c r="BO94" s="90"/>
      <c r="BP94" s="90"/>
      <c r="BQ94" s="90"/>
      <c r="BR94" s="90"/>
      <c r="BS94" s="90"/>
      <c r="BT94" s="90"/>
      <c r="BU94" s="90"/>
    </row>
    <row r="95" spans="1:73" s="91" customFormat="1" ht="40.5" x14ac:dyDescent="0.25">
      <c r="A95" s="707"/>
      <c r="B95" s="627"/>
      <c r="C95" s="627"/>
      <c r="D95" s="603"/>
      <c r="E95" s="617"/>
      <c r="F95" s="619"/>
      <c r="G95" s="619"/>
      <c r="H95" s="603"/>
      <c r="I95" s="603"/>
      <c r="J95" s="603"/>
      <c r="K95" s="355" t="s">
        <v>145</v>
      </c>
      <c r="L95" s="379" t="s">
        <v>146</v>
      </c>
      <c r="M95" s="50"/>
      <c r="N95" s="50">
        <v>4</v>
      </c>
      <c r="O95" s="50"/>
      <c r="P95" s="50">
        <v>2</v>
      </c>
      <c r="Q95" s="50">
        <v>3</v>
      </c>
      <c r="R95" s="203">
        <v>4</v>
      </c>
      <c r="S95" s="185"/>
      <c r="T95" s="44"/>
      <c r="U95" s="44"/>
      <c r="V95" s="44"/>
      <c r="W95" s="44"/>
      <c r="X95" s="44">
        <v>440</v>
      </c>
      <c r="Y95" s="44"/>
      <c r="Z95" s="44">
        <f t="shared" si="13"/>
        <v>440</v>
      </c>
      <c r="AA95" s="44"/>
      <c r="AB95" s="44"/>
      <c r="AC95" s="44"/>
      <c r="AD95" s="44"/>
      <c r="AE95" s="44"/>
      <c r="AF95" s="44">
        <v>220</v>
      </c>
      <c r="AG95" s="44"/>
      <c r="AH95" s="44">
        <f t="shared" si="14"/>
        <v>220</v>
      </c>
      <c r="AI95" s="44"/>
      <c r="AJ95" s="44"/>
      <c r="AK95" s="44"/>
      <c r="AL95" s="44"/>
      <c r="AM95" s="44"/>
      <c r="AN95" s="44">
        <v>220</v>
      </c>
      <c r="AO95" s="44"/>
      <c r="AP95" s="44">
        <f t="shared" si="15"/>
        <v>220</v>
      </c>
      <c r="AQ95" s="44"/>
      <c r="AR95" s="44"/>
      <c r="AS95" s="44"/>
      <c r="AT95" s="44"/>
      <c r="AU95" s="44"/>
      <c r="AV95" s="44"/>
      <c r="AW95" s="44"/>
      <c r="AX95" s="44">
        <f t="shared" si="16"/>
        <v>0</v>
      </c>
      <c r="AY95" s="44">
        <f t="shared" si="17"/>
        <v>0</v>
      </c>
      <c r="AZ95" s="44">
        <f t="shared" si="18"/>
        <v>0</v>
      </c>
      <c r="BA95" s="44">
        <f t="shared" si="19"/>
        <v>0</v>
      </c>
      <c r="BB95" s="44">
        <f t="shared" si="20"/>
        <v>0</v>
      </c>
      <c r="BC95" s="44">
        <f t="shared" si="21"/>
        <v>0</v>
      </c>
      <c r="BD95" s="44">
        <f t="shared" si="22"/>
        <v>880</v>
      </c>
      <c r="BE95" s="44">
        <f t="shared" si="23"/>
        <v>0</v>
      </c>
      <c r="BF95" s="83">
        <f t="shared" si="24"/>
        <v>880</v>
      </c>
      <c r="BG95" s="47"/>
      <c r="BH95" s="47"/>
      <c r="BI95" s="90"/>
      <c r="BJ95" s="90"/>
      <c r="BK95" s="90"/>
      <c r="BL95" s="90"/>
      <c r="BM95" s="90"/>
      <c r="BN95" s="90"/>
      <c r="BO95" s="90"/>
      <c r="BP95" s="90"/>
      <c r="BQ95" s="90"/>
      <c r="BR95" s="90"/>
      <c r="BS95" s="90"/>
      <c r="BT95" s="90"/>
      <c r="BU95" s="90"/>
    </row>
    <row r="96" spans="1:73" s="91" customFormat="1" ht="27" x14ac:dyDescent="0.25">
      <c r="A96" s="707"/>
      <c r="B96" s="627"/>
      <c r="C96" s="627"/>
      <c r="D96" s="603"/>
      <c r="E96" s="617"/>
      <c r="F96" s="619"/>
      <c r="G96" s="619"/>
      <c r="H96" s="603"/>
      <c r="I96" s="603"/>
      <c r="J96" s="603"/>
      <c r="K96" s="355" t="s">
        <v>147</v>
      </c>
      <c r="L96" s="379" t="s">
        <v>395</v>
      </c>
      <c r="M96" s="50"/>
      <c r="N96" s="50">
        <v>4</v>
      </c>
      <c r="O96" s="50"/>
      <c r="P96" s="50">
        <v>1</v>
      </c>
      <c r="Q96" s="50">
        <v>3</v>
      </c>
      <c r="R96" s="203">
        <v>4</v>
      </c>
      <c r="S96" s="185"/>
      <c r="T96" s="44"/>
      <c r="U96" s="44"/>
      <c r="V96" s="44"/>
      <c r="W96" s="44"/>
      <c r="X96" s="44">
        <v>140</v>
      </c>
      <c r="Y96" s="44"/>
      <c r="Z96" s="44">
        <f t="shared" si="13"/>
        <v>140</v>
      </c>
      <c r="AA96" s="44"/>
      <c r="AB96" s="44"/>
      <c r="AC96" s="44"/>
      <c r="AD96" s="44"/>
      <c r="AE96" s="44"/>
      <c r="AF96" s="44">
        <v>280</v>
      </c>
      <c r="AG96" s="44"/>
      <c r="AH96" s="44">
        <f t="shared" si="14"/>
        <v>280</v>
      </c>
      <c r="AI96" s="44"/>
      <c r="AJ96" s="44"/>
      <c r="AK96" s="44"/>
      <c r="AL96" s="44"/>
      <c r="AM96" s="44"/>
      <c r="AN96" s="44">
        <v>140</v>
      </c>
      <c r="AO96" s="44"/>
      <c r="AP96" s="44">
        <f t="shared" si="15"/>
        <v>140</v>
      </c>
      <c r="AQ96" s="44"/>
      <c r="AR96" s="44"/>
      <c r="AS96" s="44"/>
      <c r="AT96" s="44"/>
      <c r="AU96" s="44"/>
      <c r="AV96" s="44"/>
      <c r="AW96" s="44"/>
      <c r="AX96" s="44">
        <f t="shared" si="16"/>
        <v>0</v>
      </c>
      <c r="AY96" s="44">
        <f t="shared" si="17"/>
        <v>0</v>
      </c>
      <c r="AZ96" s="44">
        <f t="shared" si="18"/>
        <v>0</v>
      </c>
      <c r="BA96" s="44">
        <f t="shared" si="19"/>
        <v>0</v>
      </c>
      <c r="BB96" s="44">
        <f t="shared" si="20"/>
        <v>0</v>
      </c>
      <c r="BC96" s="44">
        <f t="shared" si="21"/>
        <v>0</v>
      </c>
      <c r="BD96" s="44">
        <f t="shared" si="22"/>
        <v>560</v>
      </c>
      <c r="BE96" s="44">
        <f t="shared" si="23"/>
        <v>0</v>
      </c>
      <c r="BF96" s="83">
        <f t="shared" si="24"/>
        <v>560</v>
      </c>
      <c r="BG96" s="47"/>
      <c r="BH96" s="47"/>
      <c r="BI96" s="90"/>
      <c r="BJ96" s="90"/>
      <c r="BK96" s="90"/>
      <c r="BL96" s="90"/>
      <c r="BM96" s="90"/>
      <c r="BN96" s="90"/>
      <c r="BO96" s="90"/>
      <c r="BP96" s="90"/>
      <c r="BQ96" s="90"/>
      <c r="BR96" s="90"/>
      <c r="BS96" s="90"/>
      <c r="BT96" s="90"/>
      <c r="BU96" s="90"/>
    </row>
    <row r="97" spans="1:73" s="91" customFormat="1" ht="54" x14ac:dyDescent="0.25">
      <c r="A97" s="707"/>
      <c r="B97" s="627"/>
      <c r="C97" s="627"/>
      <c r="D97" s="603"/>
      <c r="E97" s="617"/>
      <c r="F97" s="619"/>
      <c r="G97" s="619"/>
      <c r="H97" s="603"/>
      <c r="I97" s="603"/>
      <c r="J97" s="603"/>
      <c r="K97" s="355" t="s">
        <v>396</v>
      </c>
      <c r="L97" s="379" t="s">
        <v>1401</v>
      </c>
      <c r="M97" s="50">
        <v>0</v>
      </c>
      <c r="N97" s="50">
        <v>1</v>
      </c>
      <c r="O97" s="50">
        <v>1</v>
      </c>
      <c r="P97" s="50"/>
      <c r="Q97" s="50"/>
      <c r="R97" s="203"/>
      <c r="S97" s="185"/>
      <c r="T97" s="44">
        <v>300</v>
      </c>
      <c r="U97" s="44"/>
      <c r="V97" s="44"/>
      <c r="W97" s="44"/>
      <c r="X97" s="44"/>
      <c r="Y97" s="44"/>
      <c r="Z97" s="44">
        <f t="shared" si="13"/>
        <v>300</v>
      </c>
      <c r="AA97" s="44"/>
      <c r="AB97" s="44"/>
      <c r="AC97" s="44"/>
      <c r="AD97" s="44"/>
      <c r="AE97" s="44"/>
      <c r="AF97" s="44"/>
      <c r="AG97" s="44"/>
      <c r="AH97" s="44">
        <f t="shared" si="14"/>
        <v>0</v>
      </c>
      <c r="AI97" s="44"/>
      <c r="AJ97" s="44"/>
      <c r="AK97" s="44"/>
      <c r="AL97" s="44"/>
      <c r="AM97" s="44"/>
      <c r="AN97" s="44"/>
      <c r="AO97" s="44"/>
      <c r="AP97" s="44">
        <f t="shared" si="15"/>
        <v>0</v>
      </c>
      <c r="AQ97" s="44"/>
      <c r="AR97" s="44"/>
      <c r="AS97" s="44"/>
      <c r="AT97" s="44"/>
      <c r="AU97" s="44"/>
      <c r="AV97" s="44"/>
      <c r="AW97" s="44"/>
      <c r="AX97" s="44">
        <f t="shared" si="16"/>
        <v>0</v>
      </c>
      <c r="AY97" s="44">
        <f t="shared" si="17"/>
        <v>0</v>
      </c>
      <c r="AZ97" s="44">
        <f t="shared" si="18"/>
        <v>300</v>
      </c>
      <c r="BA97" s="44">
        <f t="shared" si="19"/>
        <v>0</v>
      </c>
      <c r="BB97" s="44">
        <f t="shared" si="20"/>
        <v>0</v>
      </c>
      <c r="BC97" s="44">
        <f t="shared" si="21"/>
        <v>0</v>
      </c>
      <c r="BD97" s="44">
        <f t="shared" si="22"/>
        <v>0</v>
      </c>
      <c r="BE97" s="44">
        <f t="shared" si="23"/>
        <v>0</v>
      </c>
      <c r="BF97" s="83">
        <f t="shared" si="24"/>
        <v>300</v>
      </c>
      <c r="BG97" s="47"/>
      <c r="BH97" s="47"/>
      <c r="BI97" s="90"/>
      <c r="BJ97" s="90"/>
      <c r="BK97" s="90"/>
      <c r="BL97" s="90"/>
      <c r="BM97" s="90"/>
      <c r="BN97" s="90"/>
      <c r="BO97" s="90"/>
      <c r="BP97" s="90"/>
      <c r="BQ97" s="90"/>
      <c r="BR97" s="90"/>
      <c r="BS97" s="90"/>
      <c r="BT97" s="90"/>
      <c r="BU97" s="90"/>
    </row>
    <row r="98" spans="1:73" s="91" customFormat="1" ht="27" x14ac:dyDescent="0.25">
      <c r="A98" s="707"/>
      <c r="B98" s="627"/>
      <c r="C98" s="627"/>
      <c r="D98" s="603"/>
      <c r="E98" s="617"/>
      <c r="F98" s="619"/>
      <c r="G98" s="619"/>
      <c r="H98" s="603"/>
      <c r="I98" s="603"/>
      <c r="J98" s="603"/>
      <c r="K98" s="355" t="s">
        <v>397</v>
      </c>
      <c r="L98" s="379" t="s">
        <v>398</v>
      </c>
      <c r="M98" s="50"/>
      <c r="N98" s="50">
        <v>1</v>
      </c>
      <c r="O98" s="50"/>
      <c r="P98" s="50"/>
      <c r="Q98" s="50">
        <v>1</v>
      </c>
      <c r="R98" s="203"/>
      <c r="S98" s="185"/>
      <c r="T98" s="44"/>
      <c r="U98" s="44"/>
      <c r="V98" s="44"/>
      <c r="W98" s="44"/>
      <c r="X98" s="44"/>
      <c r="Y98" s="44"/>
      <c r="Z98" s="44">
        <f t="shared" si="13"/>
        <v>0</v>
      </c>
      <c r="AA98" s="44"/>
      <c r="AB98" s="44"/>
      <c r="AC98" s="44"/>
      <c r="AD98" s="44"/>
      <c r="AE98" s="44"/>
      <c r="AF98" s="44"/>
      <c r="AG98" s="44"/>
      <c r="AH98" s="44">
        <f t="shared" si="14"/>
        <v>0</v>
      </c>
      <c r="AI98" s="44"/>
      <c r="AJ98" s="44">
        <v>120</v>
      </c>
      <c r="AK98" s="44"/>
      <c r="AL98" s="44"/>
      <c r="AM98" s="44"/>
      <c r="AN98" s="44"/>
      <c r="AO98" s="44">
        <v>1200</v>
      </c>
      <c r="AP98" s="44">
        <f t="shared" si="15"/>
        <v>1320</v>
      </c>
      <c r="AQ98" s="44"/>
      <c r="AR98" s="44"/>
      <c r="AS98" s="44"/>
      <c r="AT98" s="44"/>
      <c r="AU98" s="44"/>
      <c r="AV98" s="44"/>
      <c r="AW98" s="44"/>
      <c r="AX98" s="44">
        <f t="shared" si="16"/>
        <v>0</v>
      </c>
      <c r="AY98" s="44">
        <f t="shared" si="17"/>
        <v>0</v>
      </c>
      <c r="AZ98" s="44">
        <f t="shared" si="18"/>
        <v>120</v>
      </c>
      <c r="BA98" s="44">
        <f t="shared" si="19"/>
        <v>0</v>
      </c>
      <c r="BB98" s="44">
        <f t="shared" si="20"/>
        <v>0</v>
      </c>
      <c r="BC98" s="44">
        <f t="shared" si="21"/>
        <v>0</v>
      </c>
      <c r="BD98" s="44">
        <f t="shared" si="22"/>
        <v>0</v>
      </c>
      <c r="BE98" s="44">
        <f t="shared" si="23"/>
        <v>1200</v>
      </c>
      <c r="BF98" s="83">
        <f t="shared" si="24"/>
        <v>1320</v>
      </c>
      <c r="BG98" s="47"/>
      <c r="BH98" s="47"/>
      <c r="BI98" s="90"/>
      <c r="BJ98" s="90"/>
      <c r="BK98" s="90"/>
      <c r="BL98" s="90"/>
      <c r="BM98" s="90"/>
      <c r="BN98" s="90"/>
      <c r="BO98" s="90"/>
      <c r="BP98" s="90"/>
      <c r="BQ98" s="90"/>
      <c r="BR98" s="90"/>
      <c r="BS98" s="90"/>
      <c r="BT98" s="90"/>
      <c r="BU98" s="90"/>
    </row>
    <row r="99" spans="1:73" s="91" customFormat="1" ht="54" x14ac:dyDescent="0.25">
      <c r="A99" s="707"/>
      <c r="B99" s="627"/>
      <c r="C99" s="627"/>
      <c r="D99" s="603"/>
      <c r="E99" s="617"/>
      <c r="F99" s="619"/>
      <c r="G99" s="619"/>
      <c r="H99" s="603"/>
      <c r="I99" s="603"/>
      <c r="J99" s="603"/>
      <c r="K99" s="355" t="s">
        <v>399</v>
      </c>
      <c r="L99" s="379" t="s">
        <v>400</v>
      </c>
      <c r="M99" s="50"/>
      <c r="N99" s="50">
        <f>66*3+33</f>
        <v>231</v>
      </c>
      <c r="O99" s="50">
        <v>33</v>
      </c>
      <c r="P99" s="50">
        <v>66</v>
      </c>
      <c r="Q99" s="50">
        <v>66</v>
      </c>
      <c r="R99" s="203">
        <v>66</v>
      </c>
      <c r="S99" s="185"/>
      <c r="T99" s="44"/>
      <c r="U99" s="44">
        <v>60</v>
      </c>
      <c r="V99" s="44"/>
      <c r="W99" s="44"/>
      <c r="X99" s="44"/>
      <c r="Y99" s="44"/>
      <c r="Z99" s="44">
        <f t="shared" si="13"/>
        <v>60</v>
      </c>
      <c r="AA99" s="44"/>
      <c r="AB99" s="44"/>
      <c r="AC99" s="44">
        <v>60</v>
      </c>
      <c r="AD99" s="44"/>
      <c r="AE99" s="44"/>
      <c r="AF99" s="44"/>
      <c r="AG99" s="44"/>
      <c r="AH99" s="44">
        <f t="shared" si="14"/>
        <v>60</v>
      </c>
      <c r="AI99" s="44"/>
      <c r="AJ99" s="44"/>
      <c r="AK99" s="44">
        <v>90</v>
      </c>
      <c r="AL99" s="44"/>
      <c r="AM99" s="44"/>
      <c r="AN99" s="44"/>
      <c r="AO99" s="44"/>
      <c r="AP99" s="44">
        <f t="shared" si="15"/>
        <v>90</v>
      </c>
      <c r="AQ99" s="44"/>
      <c r="AR99" s="44"/>
      <c r="AS99" s="44">
        <v>90</v>
      </c>
      <c r="AT99" s="44"/>
      <c r="AU99" s="44"/>
      <c r="AV99" s="44"/>
      <c r="AW99" s="44"/>
      <c r="AX99" s="44">
        <f t="shared" si="16"/>
        <v>90</v>
      </c>
      <c r="AY99" s="44">
        <f t="shared" si="17"/>
        <v>0</v>
      </c>
      <c r="AZ99" s="44">
        <f t="shared" si="18"/>
        <v>0</v>
      </c>
      <c r="BA99" s="44">
        <f t="shared" si="19"/>
        <v>300</v>
      </c>
      <c r="BB99" s="44">
        <f t="shared" si="20"/>
        <v>0</v>
      </c>
      <c r="BC99" s="44">
        <f t="shared" si="21"/>
        <v>0</v>
      </c>
      <c r="BD99" s="44">
        <f t="shared" si="22"/>
        <v>0</v>
      </c>
      <c r="BE99" s="44">
        <f t="shared" si="23"/>
        <v>0</v>
      </c>
      <c r="BF99" s="83">
        <f t="shared" si="24"/>
        <v>300</v>
      </c>
      <c r="BG99" s="47"/>
      <c r="BH99" s="47"/>
      <c r="BI99" s="90"/>
      <c r="BJ99" s="90"/>
      <c r="BK99" s="90"/>
      <c r="BL99" s="90"/>
      <c r="BM99" s="90"/>
      <c r="BN99" s="90"/>
      <c r="BO99" s="90"/>
      <c r="BP99" s="90"/>
      <c r="BQ99" s="90"/>
      <c r="BR99" s="90"/>
      <c r="BS99" s="90"/>
      <c r="BT99" s="90"/>
      <c r="BU99" s="90"/>
    </row>
    <row r="100" spans="1:73" s="91" customFormat="1" ht="27" x14ac:dyDescent="0.25">
      <c r="A100" s="707"/>
      <c r="B100" s="627"/>
      <c r="C100" s="627"/>
      <c r="D100" s="603"/>
      <c r="E100" s="617"/>
      <c r="F100" s="619"/>
      <c r="G100" s="619"/>
      <c r="H100" s="603"/>
      <c r="I100" s="603"/>
      <c r="J100" s="603"/>
      <c r="K100" s="355" t="s">
        <v>401</v>
      </c>
      <c r="L100" s="379" t="s">
        <v>402</v>
      </c>
      <c r="M100" s="50"/>
      <c r="N100" s="50">
        <v>1</v>
      </c>
      <c r="O100" s="50"/>
      <c r="P100" s="50"/>
      <c r="Q100" s="50">
        <v>1</v>
      </c>
      <c r="R100" s="203"/>
      <c r="S100" s="185"/>
      <c r="T100" s="44"/>
      <c r="U100" s="44"/>
      <c r="V100" s="44"/>
      <c r="W100" s="44"/>
      <c r="X100" s="44"/>
      <c r="Y100" s="44"/>
      <c r="Z100" s="44">
        <f t="shared" si="13"/>
        <v>0</v>
      </c>
      <c r="AA100" s="44"/>
      <c r="AB100" s="44"/>
      <c r="AC100" s="44"/>
      <c r="AD100" s="44"/>
      <c r="AE100" s="44"/>
      <c r="AF100" s="44"/>
      <c r="AG100" s="44"/>
      <c r="AH100" s="44">
        <f t="shared" si="14"/>
        <v>0</v>
      </c>
      <c r="AI100" s="44"/>
      <c r="AJ100" s="44"/>
      <c r="AK100" s="44"/>
      <c r="AL100" s="44"/>
      <c r="AM100" s="44"/>
      <c r="AN100" s="44"/>
      <c r="AO100" s="44"/>
      <c r="AP100" s="44">
        <f t="shared" si="15"/>
        <v>0</v>
      </c>
      <c r="AQ100" s="44"/>
      <c r="AR100" s="44"/>
      <c r="AS100" s="44"/>
      <c r="AT100" s="44"/>
      <c r="AU100" s="44"/>
      <c r="AV100" s="44"/>
      <c r="AW100" s="44"/>
      <c r="AX100" s="44">
        <f t="shared" si="16"/>
        <v>0</v>
      </c>
      <c r="AY100" s="44">
        <f t="shared" si="17"/>
        <v>0</v>
      </c>
      <c r="AZ100" s="44">
        <f t="shared" si="18"/>
        <v>0</v>
      </c>
      <c r="BA100" s="44">
        <f t="shared" si="19"/>
        <v>0</v>
      </c>
      <c r="BB100" s="44">
        <f t="shared" si="20"/>
        <v>0</v>
      </c>
      <c r="BC100" s="44">
        <f t="shared" si="21"/>
        <v>0</v>
      </c>
      <c r="BD100" s="44">
        <f t="shared" si="22"/>
        <v>0</v>
      </c>
      <c r="BE100" s="44">
        <f t="shared" si="23"/>
        <v>0</v>
      </c>
      <c r="BF100" s="83">
        <f t="shared" si="24"/>
        <v>0</v>
      </c>
      <c r="BG100" s="47"/>
      <c r="BH100" s="47"/>
      <c r="BI100" s="90"/>
      <c r="BJ100" s="90"/>
      <c r="BK100" s="90"/>
      <c r="BL100" s="90"/>
      <c r="BM100" s="90"/>
      <c r="BN100" s="90"/>
      <c r="BO100" s="90"/>
      <c r="BP100" s="90"/>
      <c r="BQ100" s="90"/>
      <c r="BR100" s="90"/>
      <c r="BS100" s="90"/>
      <c r="BT100" s="90"/>
      <c r="BU100" s="90"/>
    </row>
    <row r="101" spans="1:73" s="91" customFormat="1" ht="67.5" x14ac:dyDescent="0.25">
      <c r="A101" s="707"/>
      <c r="B101" s="627"/>
      <c r="C101" s="627"/>
      <c r="D101" s="603"/>
      <c r="E101" s="617"/>
      <c r="F101" s="619"/>
      <c r="G101" s="619"/>
      <c r="H101" s="603"/>
      <c r="I101" s="603"/>
      <c r="J101" s="603"/>
      <c r="K101" s="355" t="s">
        <v>403</v>
      </c>
      <c r="L101" s="379" t="s">
        <v>404</v>
      </c>
      <c r="M101" s="50">
        <v>0</v>
      </c>
      <c r="N101" s="50">
        <v>300</v>
      </c>
      <c r="O101" s="50">
        <v>300</v>
      </c>
      <c r="P101" s="50"/>
      <c r="Q101" s="50"/>
      <c r="R101" s="203"/>
      <c r="S101" s="185"/>
      <c r="T101" s="44"/>
      <c r="U101" s="44"/>
      <c r="V101" s="44"/>
      <c r="W101" s="44"/>
      <c r="X101" s="44"/>
      <c r="Y101" s="44"/>
      <c r="Z101" s="44">
        <f t="shared" si="13"/>
        <v>0</v>
      </c>
      <c r="AA101" s="44"/>
      <c r="AB101" s="44"/>
      <c r="AC101" s="44"/>
      <c r="AD101" s="44"/>
      <c r="AE101" s="44"/>
      <c r="AF101" s="44"/>
      <c r="AG101" s="44"/>
      <c r="AH101" s="44">
        <f t="shared" si="14"/>
        <v>0</v>
      </c>
      <c r="AI101" s="44"/>
      <c r="AJ101" s="44"/>
      <c r="AK101" s="44"/>
      <c r="AL101" s="44"/>
      <c r="AM101" s="44"/>
      <c r="AN101" s="44"/>
      <c r="AO101" s="44"/>
      <c r="AP101" s="44">
        <f t="shared" si="15"/>
        <v>0</v>
      </c>
      <c r="AQ101" s="44"/>
      <c r="AR101" s="44"/>
      <c r="AS101" s="44"/>
      <c r="AT101" s="44"/>
      <c r="AU101" s="44"/>
      <c r="AV101" s="44"/>
      <c r="AW101" s="44"/>
      <c r="AX101" s="44">
        <f t="shared" si="16"/>
        <v>0</v>
      </c>
      <c r="AY101" s="44">
        <f t="shared" si="17"/>
        <v>0</v>
      </c>
      <c r="AZ101" s="44">
        <f t="shared" si="18"/>
        <v>0</v>
      </c>
      <c r="BA101" s="44">
        <f t="shared" si="19"/>
        <v>0</v>
      </c>
      <c r="BB101" s="44">
        <f t="shared" si="20"/>
        <v>0</v>
      </c>
      <c r="BC101" s="44">
        <f t="shared" si="21"/>
        <v>0</v>
      </c>
      <c r="BD101" s="44">
        <f t="shared" si="22"/>
        <v>0</v>
      </c>
      <c r="BE101" s="44">
        <f t="shared" si="23"/>
        <v>0</v>
      </c>
      <c r="BF101" s="83">
        <f t="shared" si="24"/>
        <v>0</v>
      </c>
      <c r="BG101" s="47"/>
      <c r="BH101" s="47"/>
      <c r="BI101" s="90"/>
      <c r="BJ101" s="90"/>
      <c r="BK101" s="90"/>
      <c r="BL101" s="90"/>
      <c r="BM101" s="90"/>
      <c r="BN101" s="90"/>
      <c r="BO101" s="90"/>
      <c r="BP101" s="90"/>
      <c r="BQ101" s="90"/>
      <c r="BR101" s="90"/>
      <c r="BS101" s="90"/>
      <c r="BT101" s="90"/>
      <c r="BU101" s="90"/>
    </row>
    <row r="102" spans="1:73" s="91" customFormat="1" ht="54" x14ac:dyDescent="0.25">
      <c r="A102" s="707"/>
      <c r="B102" s="627"/>
      <c r="C102" s="627"/>
      <c r="D102" s="603"/>
      <c r="E102" s="618"/>
      <c r="F102" s="619"/>
      <c r="G102" s="619"/>
      <c r="H102" s="603"/>
      <c r="I102" s="603"/>
      <c r="J102" s="603"/>
      <c r="K102" s="355" t="s">
        <v>405</v>
      </c>
      <c r="L102" s="379" t="s">
        <v>406</v>
      </c>
      <c r="M102" s="50">
        <v>300</v>
      </c>
      <c r="N102" s="50">
        <v>400</v>
      </c>
      <c r="O102" s="50">
        <v>100</v>
      </c>
      <c r="P102" s="50">
        <v>100</v>
      </c>
      <c r="Q102" s="50">
        <v>100</v>
      </c>
      <c r="R102" s="203">
        <v>100</v>
      </c>
      <c r="S102" s="185"/>
      <c r="T102" s="44">
        <v>250</v>
      </c>
      <c r="U102" s="44"/>
      <c r="V102" s="44"/>
      <c r="W102" s="44"/>
      <c r="X102" s="44"/>
      <c r="Y102" s="44"/>
      <c r="Z102" s="44">
        <f t="shared" si="13"/>
        <v>250</v>
      </c>
      <c r="AA102" s="44"/>
      <c r="AB102" s="44">
        <v>250</v>
      </c>
      <c r="AC102" s="44"/>
      <c r="AD102" s="44"/>
      <c r="AE102" s="44"/>
      <c r="AF102" s="44"/>
      <c r="AG102" s="44"/>
      <c r="AH102" s="44">
        <f t="shared" si="14"/>
        <v>250</v>
      </c>
      <c r="AI102" s="44"/>
      <c r="AJ102" s="44">
        <v>250</v>
      </c>
      <c r="AK102" s="44"/>
      <c r="AL102" s="44"/>
      <c r="AM102" s="44"/>
      <c r="AN102" s="44"/>
      <c r="AO102" s="44"/>
      <c r="AP102" s="44">
        <f t="shared" si="15"/>
        <v>250</v>
      </c>
      <c r="AQ102" s="44"/>
      <c r="AR102" s="44">
        <v>250</v>
      </c>
      <c r="AS102" s="44"/>
      <c r="AT102" s="44"/>
      <c r="AU102" s="44"/>
      <c r="AV102" s="44"/>
      <c r="AW102" s="44"/>
      <c r="AX102" s="44">
        <f t="shared" si="16"/>
        <v>250</v>
      </c>
      <c r="AY102" s="44">
        <f t="shared" si="17"/>
        <v>0</v>
      </c>
      <c r="AZ102" s="44">
        <f t="shared" si="18"/>
        <v>1000</v>
      </c>
      <c r="BA102" s="44">
        <f t="shared" si="19"/>
        <v>0</v>
      </c>
      <c r="BB102" s="44">
        <f t="shared" si="20"/>
        <v>0</v>
      </c>
      <c r="BC102" s="44">
        <f t="shared" si="21"/>
        <v>0</v>
      </c>
      <c r="BD102" s="44">
        <f t="shared" si="22"/>
        <v>0</v>
      </c>
      <c r="BE102" s="44">
        <f t="shared" si="23"/>
        <v>0</v>
      </c>
      <c r="BF102" s="83">
        <f t="shared" si="24"/>
        <v>1000</v>
      </c>
      <c r="BG102" s="47"/>
      <c r="BH102" s="47"/>
      <c r="BI102" s="90"/>
      <c r="BJ102" s="90"/>
      <c r="BK102" s="90"/>
      <c r="BL102" s="90"/>
      <c r="BM102" s="90"/>
      <c r="BN102" s="90"/>
      <c r="BO102" s="90"/>
      <c r="BP102" s="90"/>
      <c r="BQ102" s="90"/>
      <c r="BR102" s="90"/>
      <c r="BS102" s="90"/>
      <c r="BT102" s="90"/>
      <c r="BU102" s="90"/>
    </row>
    <row r="103" spans="1:73" s="91" customFormat="1" ht="67.5" x14ac:dyDescent="0.25">
      <c r="A103" s="707"/>
      <c r="B103" s="627"/>
      <c r="C103" s="627"/>
      <c r="D103" s="603" t="s">
        <v>417</v>
      </c>
      <c r="E103" s="355" t="s">
        <v>511</v>
      </c>
      <c r="F103" s="382">
        <v>0.96</v>
      </c>
      <c r="G103" s="382">
        <v>0.96</v>
      </c>
      <c r="H103" s="603"/>
      <c r="I103" s="603"/>
      <c r="J103" s="603" t="s">
        <v>151</v>
      </c>
      <c r="K103" s="355" t="s">
        <v>575</v>
      </c>
      <c r="L103" s="379" t="s">
        <v>512</v>
      </c>
      <c r="M103" s="78">
        <v>0.96</v>
      </c>
      <c r="N103" s="78">
        <v>0.96</v>
      </c>
      <c r="O103" s="78">
        <v>0.96</v>
      </c>
      <c r="P103" s="78">
        <v>0.96</v>
      </c>
      <c r="Q103" s="78">
        <v>0.96</v>
      </c>
      <c r="R103" s="254">
        <v>0.96</v>
      </c>
      <c r="S103" s="185"/>
      <c r="T103" s="44">
        <v>550</v>
      </c>
      <c r="U103" s="44"/>
      <c r="V103" s="44"/>
      <c r="W103" s="44"/>
      <c r="X103" s="44"/>
      <c r="Y103" s="44"/>
      <c r="Z103" s="44">
        <f t="shared" si="13"/>
        <v>550</v>
      </c>
      <c r="AA103" s="44"/>
      <c r="AB103" s="44">
        <v>550</v>
      </c>
      <c r="AC103" s="44"/>
      <c r="AD103" s="44"/>
      <c r="AE103" s="44"/>
      <c r="AF103" s="44"/>
      <c r="AG103" s="44"/>
      <c r="AH103" s="44">
        <f t="shared" si="14"/>
        <v>550</v>
      </c>
      <c r="AI103" s="44"/>
      <c r="AJ103" s="44">
        <v>550</v>
      </c>
      <c r="AK103" s="44">
        <v>106</v>
      </c>
      <c r="AL103" s="44"/>
      <c r="AM103" s="44"/>
      <c r="AN103" s="44"/>
      <c r="AO103" s="44"/>
      <c r="AP103" s="44">
        <f t="shared" si="15"/>
        <v>656</v>
      </c>
      <c r="AQ103" s="44"/>
      <c r="AR103" s="44">
        <v>550</v>
      </c>
      <c r="AS103" s="44">
        <v>106</v>
      </c>
      <c r="AT103" s="44"/>
      <c r="AU103" s="44"/>
      <c r="AV103" s="44"/>
      <c r="AW103" s="44"/>
      <c r="AX103" s="44">
        <f t="shared" si="16"/>
        <v>656</v>
      </c>
      <c r="AY103" s="44">
        <f t="shared" si="17"/>
        <v>0</v>
      </c>
      <c r="AZ103" s="44">
        <f t="shared" si="18"/>
        <v>2200</v>
      </c>
      <c r="BA103" s="44">
        <f t="shared" si="19"/>
        <v>212</v>
      </c>
      <c r="BB103" s="44">
        <f t="shared" si="20"/>
        <v>0</v>
      </c>
      <c r="BC103" s="44">
        <f t="shared" si="21"/>
        <v>0</v>
      </c>
      <c r="BD103" s="44">
        <f t="shared" si="22"/>
        <v>0</v>
      </c>
      <c r="BE103" s="44">
        <f t="shared" si="23"/>
        <v>0</v>
      </c>
      <c r="BF103" s="83">
        <f t="shared" si="24"/>
        <v>2412</v>
      </c>
      <c r="BG103" s="47"/>
      <c r="BH103" s="47"/>
      <c r="BI103" s="90"/>
      <c r="BJ103" s="90"/>
      <c r="BK103" s="90"/>
      <c r="BL103" s="90"/>
      <c r="BM103" s="90"/>
      <c r="BN103" s="90"/>
      <c r="BO103" s="90"/>
      <c r="BP103" s="90"/>
      <c r="BQ103" s="90"/>
      <c r="BR103" s="90"/>
      <c r="BS103" s="90"/>
      <c r="BT103" s="90"/>
      <c r="BU103" s="90"/>
    </row>
    <row r="104" spans="1:73" s="91" customFormat="1" ht="108" x14ac:dyDescent="0.25">
      <c r="A104" s="707"/>
      <c r="B104" s="627"/>
      <c r="C104" s="627"/>
      <c r="D104" s="603"/>
      <c r="E104" s="603" t="s">
        <v>418</v>
      </c>
      <c r="F104" s="614">
        <v>1</v>
      </c>
      <c r="G104" s="614">
        <v>1</v>
      </c>
      <c r="H104" s="603"/>
      <c r="I104" s="603"/>
      <c r="J104" s="603"/>
      <c r="K104" s="355" t="s">
        <v>419</v>
      </c>
      <c r="L104" s="379" t="s">
        <v>420</v>
      </c>
      <c r="M104" s="44">
        <v>1880</v>
      </c>
      <c r="N104" s="44">
        <v>2500</v>
      </c>
      <c r="O104" s="44">
        <v>2120</v>
      </c>
      <c r="P104" s="44">
        <v>2200</v>
      </c>
      <c r="Q104" s="44">
        <v>2350</v>
      </c>
      <c r="R104" s="45">
        <v>2500</v>
      </c>
      <c r="S104" s="185"/>
      <c r="T104" s="44">
        <v>420</v>
      </c>
      <c r="U104" s="44"/>
      <c r="V104" s="44"/>
      <c r="W104" s="44"/>
      <c r="X104" s="44"/>
      <c r="Y104" s="44"/>
      <c r="Z104" s="44">
        <f t="shared" si="13"/>
        <v>420</v>
      </c>
      <c r="AA104" s="44"/>
      <c r="AB104" s="44">
        <v>420</v>
      </c>
      <c r="AC104" s="44"/>
      <c r="AD104" s="44"/>
      <c r="AE104" s="44"/>
      <c r="AF104" s="44"/>
      <c r="AG104" s="44"/>
      <c r="AH104" s="44">
        <f t="shared" si="14"/>
        <v>420</v>
      </c>
      <c r="AI104" s="44"/>
      <c r="AJ104" s="44">
        <v>420</v>
      </c>
      <c r="AK104" s="44"/>
      <c r="AL104" s="44"/>
      <c r="AM104" s="44"/>
      <c r="AN104" s="44"/>
      <c r="AO104" s="44"/>
      <c r="AP104" s="44">
        <f t="shared" si="15"/>
        <v>420</v>
      </c>
      <c r="AQ104" s="44"/>
      <c r="AR104" s="44">
        <v>420</v>
      </c>
      <c r="AS104" s="44"/>
      <c r="AT104" s="44"/>
      <c r="AU104" s="44"/>
      <c r="AV104" s="44"/>
      <c r="AW104" s="44"/>
      <c r="AX104" s="44">
        <f t="shared" si="16"/>
        <v>420</v>
      </c>
      <c r="AY104" s="44">
        <f t="shared" si="17"/>
        <v>0</v>
      </c>
      <c r="AZ104" s="44">
        <f t="shared" si="18"/>
        <v>1680</v>
      </c>
      <c r="BA104" s="44">
        <f t="shared" si="19"/>
        <v>0</v>
      </c>
      <c r="BB104" s="44">
        <f t="shared" si="20"/>
        <v>0</v>
      </c>
      <c r="BC104" s="44">
        <f t="shared" si="21"/>
        <v>0</v>
      </c>
      <c r="BD104" s="44">
        <f t="shared" si="22"/>
        <v>0</v>
      </c>
      <c r="BE104" s="44">
        <f t="shared" si="23"/>
        <v>0</v>
      </c>
      <c r="BF104" s="83">
        <f t="shared" si="24"/>
        <v>1680</v>
      </c>
      <c r="BG104" s="47"/>
      <c r="BH104" s="47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</row>
    <row r="105" spans="1:73" s="91" customFormat="1" ht="54" x14ac:dyDescent="0.25">
      <c r="A105" s="707"/>
      <c r="B105" s="627"/>
      <c r="C105" s="627"/>
      <c r="D105" s="603"/>
      <c r="E105" s="603"/>
      <c r="F105" s="614"/>
      <c r="G105" s="614"/>
      <c r="H105" s="603"/>
      <c r="I105" s="603"/>
      <c r="J105" s="603"/>
      <c r="K105" s="355" t="s">
        <v>421</v>
      </c>
      <c r="L105" s="379" t="s">
        <v>422</v>
      </c>
      <c r="M105" s="46">
        <v>0</v>
      </c>
      <c r="N105" s="48">
        <v>0.75</v>
      </c>
      <c r="O105" s="44"/>
      <c r="P105" s="255">
        <v>0.25</v>
      </c>
      <c r="Q105" s="255">
        <v>0.5</v>
      </c>
      <c r="R105" s="256">
        <v>0.75</v>
      </c>
      <c r="S105" s="185"/>
      <c r="T105" s="44"/>
      <c r="U105" s="44"/>
      <c r="V105" s="44"/>
      <c r="W105" s="44"/>
      <c r="X105" s="44"/>
      <c r="Y105" s="44"/>
      <c r="Z105" s="44">
        <f t="shared" si="13"/>
        <v>0</v>
      </c>
      <c r="AA105" s="44"/>
      <c r="AB105" s="44"/>
      <c r="AC105" s="44">
        <v>50</v>
      </c>
      <c r="AD105" s="44"/>
      <c r="AE105" s="44"/>
      <c r="AF105" s="44"/>
      <c r="AG105" s="44"/>
      <c r="AH105" s="44">
        <f t="shared" si="14"/>
        <v>50</v>
      </c>
      <c r="AI105" s="44"/>
      <c r="AJ105" s="44"/>
      <c r="AK105" s="44">
        <v>50</v>
      </c>
      <c r="AL105" s="44"/>
      <c r="AM105" s="44"/>
      <c r="AN105" s="44"/>
      <c r="AO105" s="44"/>
      <c r="AP105" s="44">
        <f t="shared" si="15"/>
        <v>50</v>
      </c>
      <c r="AQ105" s="44"/>
      <c r="AR105" s="44"/>
      <c r="AS105" s="44">
        <v>50</v>
      </c>
      <c r="AT105" s="44"/>
      <c r="AU105" s="44"/>
      <c r="AV105" s="44"/>
      <c r="AW105" s="44"/>
      <c r="AX105" s="44">
        <f t="shared" si="16"/>
        <v>50</v>
      </c>
      <c r="AY105" s="44">
        <f t="shared" si="17"/>
        <v>0</v>
      </c>
      <c r="AZ105" s="44">
        <f t="shared" si="18"/>
        <v>0</v>
      </c>
      <c r="BA105" s="44">
        <f t="shared" si="19"/>
        <v>150</v>
      </c>
      <c r="BB105" s="44">
        <f t="shared" si="20"/>
        <v>0</v>
      </c>
      <c r="BC105" s="44">
        <f t="shared" si="21"/>
        <v>0</v>
      </c>
      <c r="BD105" s="44">
        <f t="shared" si="22"/>
        <v>0</v>
      </c>
      <c r="BE105" s="44">
        <f t="shared" si="23"/>
        <v>0</v>
      </c>
      <c r="BF105" s="83">
        <f t="shared" si="24"/>
        <v>150</v>
      </c>
      <c r="BG105" s="47"/>
      <c r="BH105" s="47"/>
      <c r="BI105" s="90"/>
      <c r="BJ105" s="90"/>
      <c r="BK105" s="90"/>
      <c r="BL105" s="90"/>
      <c r="BM105" s="90"/>
      <c r="BN105" s="90"/>
      <c r="BO105" s="90"/>
      <c r="BP105" s="90"/>
      <c r="BQ105" s="90"/>
      <c r="BR105" s="90"/>
      <c r="BS105" s="90"/>
      <c r="BT105" s="90"/>
      <c r="BU105" s="90"/>
    </row>
    <row r="106" spans="1:73" s="91" customFormat="1" ht="67.5" x14ac:dyDescent="0.25">
      <c r="A106" s="707"/>
      <c r="B106" s="627"/>
      <c r="C106" s="627"/>
      <c r="D106" s="603"/>
      <c r="E106" s="603"/>
      <c r="F106" s="614"/>
      <c r="G106" s="614"/>
      <c r="H106" s="603"/>
      <c r="I106" s="603"/>
      <c r="J106" s="603"/>
      <c r="K106" s="355" t="s">
        <v>423</v>
      </c>
      <c r="L106" s="379" t="s">
        <v>424</v>
      </c>
      <c r="M106" s="46"/>
      <c r="N106" s="46">
        <v>1</v>
      </c>
      <c r="O106" s="44">
        <v>1</v>
      </c>
      <c r="P106" s="44"/>
      <c r="Q106" s="44"/>
      <c r="R106" s="256"/>
      <c r="S106" s="185"/>
      <c r="T106" s="44"/>
      <c r="U106" s="44">
        <v>70</v>
      </c>
      <c r="V106" s="44"/>
      <c r="W106" s="44"/>
      <c r="X106" s="44"/>
      <c r="Y106" s="44"/>
      <c r="Z106" s="44">
        <f t="shared" si="13"/>
        <v>70</v>
      </c>
      <c r="AA106" s="44"/>
      <c r="AB106" s="44"/>
      <c r="AC106" s="44"/>
      <c r="AD106" s="44"/>
      <c r="AE106" s="44"/>
      <c r="AF106" s="44"/>
      <c r="AG106" s="44"/>
      <c r="AH106" s="44">
        <f t="shared" si="14"/>
        <v>0</v>
      </c>
      <c r="AI106" s="44"/>
      <c r="AJ106" s="44"/>
      <c r="AK106" s="44"/>
      <c r="AL106" s="44"/>
      <c r="AM106" s="44"/>
      <c r="AN106" s="44"/>
      <c r="AO106" s="44"/>
      <c r="AP106" s="44">
        <f t="shared" si="15"/>
        <v>0</v>
      </c>
      <c r="AQ106" s="44"/>
      <c r="AR106" s="44"/>
      <c r="AS106" s="44"/>
      <c r="AT106" s="44"/>
      <c r="AU106" s="44"/>
      <c r="AV106" s="44"/>
      <c r="AW106" s="44"/>
      <c r="AX106" s="44">
        <f t="shared" si="16"/>
        <v>0</v>
      </c>
      <c r="AY106" s="44">
        <f t="shared" si="17"/>
        <v>0</v>
      </c>
      <c r="AZ106" s="44">
        <f t="shared" si="18"/>
        <v>0</v>
      </c>
      <c r="BA106" s="44">
        <f t="shared" si="19"/>
        <v>70</v>
      </c>
      <c r="BB106" s="44">
        <f t="shared" si="20"/>
        <v>0</v>
      </c>
      <c r="BC106" s="44">
        <f t="shared" si="21"/>
        <v>0</v>
      </c>
      <c r="BD106" s="44">
        <f t="shared" si="22"/>
        <v>0</v>
      </c>
      <c r="BE106" s="44">
        <f t="shared" si="23"/>
        <v>0</v>
      </c>
      <c r="BF106" s="83">
        <f t="shared" si="24"/>
        <v>70</v>
      </c>
      <c r="BG106" s="47"/>
      <c r="BH106" s="47"/>
      <c r="BI106" s="90"/>
      <c r="BJ106" s="90"/>
      <c r="BK106" s="90"/>
      <c r="BL106" s="90"/>
      <c r="BM106" s="90"/>
      <c r="BN106" s="90"/>
      <c r="BO106" s="90"/>
      <c r="BP106" s="90"/>
      <c r="BQ106" s="90"/>
      <c r="BR106" s="90"/>
      <c r="BS106" s="90"/>
      <c r="BT106" s="90"/>
      <c r="BU106" s="90"/>
    </row>
    <row r="107" spans="1:73" s="91" customFormat="1" ht="54" x14ac:dyDescent="0.25">
      <c r="A107" s="707"/>
      <c r="B107" s="627"/>
      <c r="C107" s="627"/>
      <c r="D107" s="603"/>
      <c r="E107" s="603"/>
      <c r="F107" s="614"/>
      <c r="G107" s="614"/>
      <c r="H107" s="603"/>
      <c r="I107" s="603"/>
      <c r="J107" s="603"/>
      <c r="K107" s="355" t="s">
        <v>425</v>
      </c>
      <c r="L107" s="379" t="s">
        <v>426</v>
      </c>
      <c r="M107" s="48">
        <v>1</v>
      </c>
      <c r="N107" s="48">
        <v>1</v>
      </c>
      <c r="O107" s="48">
        <v>1</v>
      </c>
      <c r="P107" s="48">
        <v>1</v>
      </c>
      <c r="Q107" s="48">
        <v>1</v>
      </c>
      <c r="R107" s="257">
        <v>1</v>
      </c>
      <c r="S107" s="185"/>
      <c r="T107" s="44">
        <v>200</v>
      </c>
      <c r="U107" s="44"/>
      <c r="V107" s="44"/>
      <c r="W107" s="44"/>
      <c r="X107" s="44"/>
      <c r="Y107" s="44"/>
      <c r="Z107" s="44">
        <f t="shared" si="13"/>
        <v>200</v>
      </c>
      <c r="AA107" s="44"/>
      <c r="AB107" s="44">
        <v>200</v>
      </c>
      <c r="AC107" s="44"/>
      <c r="AD107" s="44"/>
      <c r="AE107" s="44"/>
      <c r="AF107" s="44"/>
      <c r="AG107" s="44"/>
      <c r="AH107" s="44">
        <f t="shared" si="14"/>
        <v>200</v>
      </c>
      <c r="AI107" s="44"/>
      <c r="AJ107" s="44">
        <v>200</v>
      </c>
      <c r="AK107" s="44"/>
      <c r="AL107" s="44"/>
      <c r="AM107" s="44"/>
      <c r="AN107" s="44"/>
      <c r="AO107" s="44"/>
      <c r="AP107" s="44">
        <f t="shared" si="15"/>
        <v>200</v>
      </c>
      <c r="AQ107" s="44"/>
      <c r="AR107" s="44">
        <v>200</v>
      </c>
      <c r="AS107" s="44"/>
      <c r="AT107" s="44"/>
      <c r="AU107" s="44"/>
      <c r="AV107" s="44"/>
      <c r="AW107" s="44"/>
      <c r="AX107" s="44">
        <f t="shared" si="16"/>
        <v>200</v>
      </c>
      <c r="AY107" s="44">
        <f t="shared" si="17"/>
        <v>0</v>
      </c>
      <c r="AZ107" s="44">
        <f t="shared" si="18"/>
        <v>800</v>
      </c>
      <c r="BA107" s="44">
        <f t="shared" si="19"/>
        <v>0</v>
      </c>
      <c r="BB107" s="44">
        <f t="shared" si="20"/>
        <v>0</v>
      </c>
      <c r="BC107" s="44">
        <f t="shared" si="21"/>
        <v>0</v>
      </c>
      <c r="BD107" s="44">
        <f t="shared" si="22"/>
        <v>0</v>
      </c>
      <c r="BE107" s="44">
        <f t="shared" si="23"/>
        <v>0</v>
      </c>
      <c r="BF107" s="83">
        <f t="shared" si="24"/>
        <v>800</v>
      </c>
      <c r="BG107" s="47"/>
      <c r="BH107" s="47"/>
      <c r="BI107" s="90"/>
      <c r="BJ107" s="90"/>
      <c r="BK107" s="90"/>
      <c r="BL107" s="90"/>
      <c r="BM107" s="90"/>
      <c r="BN107" s="90"/>
      <c r="BO107" s="90"/>
      <c r="BP107" s="90"/>
      <c r="BQ107" s="90"/>
      <c r="BR107" s="90"/>
      <c r="BS107" s="90"/>
      <c r="BT107" s="90"/>
      <c r="BU107" s="90"/>
    </row>
    <row r="108" spans="1:73" s="91" customFormat="1" ht="67.5" x14ac:dyDescent="0.25">
      <c r="A108" s="707"/>
      <c r="B108" s="627"/>
      <c r="C108" s="627"/>
      <c r="D108" s="603"/>
      <c r="E108" s="603"/>
      <c r="F108" s="614"/>
      <c r="G108" s="614"/>
      <c r="H108" s="603"/>
      <c r="I108" s="603"/>
      <c r="J108" s="603"/>
      <c r="K108" s="355" t="s">
        <v>427</v>
      </c>
      <c r="L108" s="379" t="s">
        <v>426</v>
      </c>
      <c r="M108" s="48">
        <v>1</v>
      </c>
      <c r="N108" s="48">
        <v>1</v>
      </c>
      <c r="O108" s="48">
        <v>1</v>
      </c>
      <c r="P108" s="48">
        <v>1</v>
      </c>
      <c r="Q108" s="48">
        <v>1</v>
      </c>
      <c r="R108" s="257">
        <v>1</v>
      </c>
      <c r="S108" s="185"/>
      <c r="T108" s="44">
        <v>125</v>
      </c>
      <c r="U108" s="44"/>
      <c r="V108" s="44"/>
      <c r="W108" s="44"/>
      <c r="X108" s="44"/>
      <c r="Y108" s="44"/>
      <c r="Z108" s="44">
        <f t="shared" si="13"/>
        <v>125</v>
      </c>
      <c r="AA108" s="44"/>
      <c r="AB108" s="44">
        <v>125</v>
      </c>
      <c r="AC108" s="44"/>
      <c r="AD108" s="44"/>
      <c r="AE108" s="44"/>
      <c r="AF108" s="44"/>
      <c r="AG108" s="44"/>
      <c r="AH108" s="44">
        <f t="shared" si="14"/>
        <v>125</v>
      </c>
      <c r="AI108" s="44"/>
      <c r="AJ108" s="44">
        <v>125</v>
      </c>
      <c r="AK108" s="44"/>
      <c r="AL108" s="44"/>
      <c r="AM108" s="44"/>
      <c r="AN108" s="44"/>
      <c r="AO108" s="44"/>
      <c r="AP108" s="44">
        <f t="shared" si="15"/>
        <v>125</v>
      </c>
      <c r="AQ108" s="44"/>
      <c r="AR108" s="44">
        <v>125</v>
      </c>
      <c r="AS108" s="44"/>
      <c r="AT108" s="44"/>
      <c r="AU108" s="44"/>
      <c r="AV108" s="44"/>
      <c r="AW108" s="44"/>
      <c r="AX108" s="44">
        <f t="shared" si="16"/>
        <v>125</v>
      </c>
      <c r="AY108" s="44">
        <f t="shared" si="17"/>
        <v>0</v>
      </c>
      <c r="AZ108" s="44">
        <f t="shared" si="18"/>
        <v>500</v>
      </c>
      <c r="BA108" s="44">
        <f t="shared" si="19"/>
        <v>0</v>
      </c>
      <c r="BB108" s="44">
        <f t="shared" si="20"/>
        <v>0</v>
      </c>
      <c r="BC108" s="44">
        <f t="shared" si="21"/>
        <v>0</v>
      </c>
      <c r="BD108" s="44">
        <f t="shared" si="22"/>
        <v>0</v>
      </c>
      <c r="BE108" s="44">
        <f t="shared" si="23"/>
        <v>0</v>
      </c>
      <c r="BF108" s="83">
        <f t="shared" si="24"/>
        <v>500</v>
      </c>
      <c r="BG108" s="47"/>
      <c r="BH108" s="47"/>
      <c r="BI108" s="90"/>
      <c r="BJ108" s="90"/>
      <c r="BK108" s="90"/>
      <c r="BL108" s="90"/>
      <c r="BM108" s="90"/>
      <c r="BN108" s="90"/>
      <c r="BO108" s="90"/>
      <c r="BP108" s="90"/>
      <c r="BQ108" s="90"/>
      <c r="BR108" s="90"/>
      <c r="BS108" s="90"/>
      <c r="BT108" s="90"/>
      <c r="BU108" s="90"/>
    </row>
    <row r="109" spans="1:73" s="91" customFormat="1" ht="27" x14ac:dyDescent="0.25">
      <c r="A109" s="707"/>
      <c r="B109" s="627"/>
      <c r="C109" s="627"/>
      <c r="D109" s="603"/>
      <c r="E109" s="603"/>
      <c r="F109" s="614"/>
      <c r="G109" s="614"/>
      <c r="H109" s="603"/>
      <c r="I109" s="603"/>
      <c r="J109" s="603"/>
      <c r="K109" s="355" t="s">
        <v>428</v>
      </c>
      <c r="L109" s="379" t="s">
        <v>429</v>
      </c>
      <c r="M109" s="46">
        <v>0</v>
      </c>
      <c r="N109" s="48">
        <v>1</v>
      </c>
      <c r="O109" s="44"/>
      <c r="P109" s="44"/>
      <c r="Q109" s="255">
        <v>0.5</v>
      </c>
      <c r="R109" s="256">
        <v>1</v>
      </c>
      <c r="S109" s="185"/>
      <c r="T109" s="44"/>
      <c r="U109" s="44"/>
      <c r="V109" s="44"/>
      <c r="W109" s="44"/>
      <c r="X109" s="44"/>
      <c r="Y109" s="44"/>
      <c r="Z109" s="44">
        <f t="shared" si="13"/>
        <v>0</v>
      </c>
      <c r="AA109" s="44"/>
      <c r="AB109" s="44"/>
      <c r="AC109" s="44"/>
      <c r="AD109" s="44"/>
      <c r="AE109" s="44"/>
      <c r="AF109" s="44"/>
      <c r="AG109" s="44"/>
      <c r="AH109" s="44">
        <f t="shared" si="14"/>
        <v>0</v>
      </c>
      <c r="AI109" s="44"/>
      <c r="AJ109" s="44"/>
      <c r="AK109" s="44">
        <v>120</v>
      </c>
      <c r="AL109" s="44"/>
      <c r="AM109" s="44"/>
      <c r="AN109" s="44"/>
      <c r="AO109" s="44"/>
      <c r="AP109" s="44">
        <f t="shared" si="15"/>
        <v>120</v>
      </c>
      <c r="AQ109" s="44"/>
      <c r="AR109" s="44"/>
      <c r="AS109" s="44">
        <v>150</v>
      </c>
      <c r="AT109" s="44"/>
      <c r="AU109" s="44"/>
      <c r="AV109" s="44"/>
      <c r="AW109" s="44"/>
      <c r="AX109" s="44">
        <f t="shared" si="16"/>
        <v>150</v>
      </c>
      <c r="AY109" s="44">
        <f t="shared" si="17"/>
        <v>0</v>
      </c>
      <c r="AZ109" s="44">
        <f t="shared" si="18"/>
        <v>0</v>
      </c>
      <c r="BA109" s="44">
        <f t="shared" si="19"/>
        <v>270</v>
      </c>
      <c r="BB109" s="44">
        <f t="shared" si="20"/>
        <v>0</v>
      </c>
      <c r="BC109" s="44">
        <f t="shared" si="21"/>
        <v>0</v>
      </c>
      <c r="BD109" s="44">
        <f t="shared" si="22"/>
        <v>0</v>
      </c>
      <c r="BE109" s="44">
        <f t="shared" si="23"/>
        <v>0</v>
      </c>
      <c r="BF109" s="83">
        <f t="shared" si="24"/>
        <v>270</v>
      </c>
      <c r="BG109" s="47"/>
      <c r="BH109" s="47"/>
      <c r="BI109" s="90"/>
      <c r="BJ109" s="90"/>
      <c r="BK109" s="90"/>
      <c r="BL109" s="90"/>
      <c r="BM109" s="90"/>
      <c r="BN109" s="90"/>
      <c r="BO109" s="90"/>
      <c r="BP109" s="90"/>
      <c r="BQ109" s="90"/>
      <c r="BR109" s="90"/>
      <c r="BS109" s="90"/>
      <c r="BT109" s="90"/>
      <c r="BU109" s="90"/>
    </row>
    <row r="110" spans="1:73" s="91" customFormat="1" ht="40.5" x14ac:dyDescent="0.25">
      <c r="A110" s="707"/>
      <c r="B110" s="627"/>
      <c r="C110" s="627"/>
      <c r="D110" s="603"/>
      <c r="E110" s="603"/>
      <c r="F110" s="614"/>
      <c r="G110" s="614"/>
      <c r="H110" s="603"/>
      <c r="I110" s="603"/>
      <c r="J110" s="603"/>
      <c r="K110" s="355" t="s">
        <v>430</v>
      </c>
      <c r="L110" s="379" t="s">
        <v>431</v>
      </c>
      <c r="M110" s="46">
        <v>0</v>
      </c>
      <c r="N110" s="46">
        <v>1</v>
      </c>
      <c r="O110" s="44"/>
      <c r="P110" s="44">
        <v>1</v>
      </c>
      <c r="Q110" s="44"/>
      <c r="R110" s="45"/>
      <c r="S110" s="185"/>
      <c r="T110" s="44"/>
      <c r="U110" s="44"/>
      <c r="V110" s="44"/>
      <c r="W110" s="44"/>
      <c r="X110" s="44"/>
      <c r="Y110" s="44"/>
      <c r="Z110" s="44">
        <f t="shared" si="13"/>
        <v>0</v>
      </c>
      <c r="AA110" s="44"/>
      <c r="AB110" s="44"/>
      <c r="AC110" s="44">
        <v>350</v>
      </c>
      <c r="AD110" s="44"/>
      <c r="AE110" s="44"/>
      <c r="AF110" s="44"/>
      <c r="AG110" s="44"/>
      <c r="AH110" s="44">
        <f t="shared" si="14"/>
        <v>350</v>
      </c>
      <c r="AI110" s="44"/>
      <c r="AJ110" s="44"/>
      <c r="AK110" s="44"/>
      <c r="AL110" s="44"/>
      <c r="AM110" s="44"/>
      <c r="AN110" s="44"/>
      <c r="AO110" s="44"/>
      <c r="AP110" s="44">
        <f t="shared" si="15"/>
        <v>0</v>
      </c>
      <c r="AQ110" s="44"/>
      <c r="AR110" s="44"/>
      <c r="AS110" s="44"/>
      <c r="AT110" s="44"/>
      <c r="AU110" s="44"/>
      <c r="AV110" s="44"/>
      <c r="AW110" s="44"/>
      <c r="AX110" s="44">
        <f t="shared" si="16"/>
        <v>0</v>
      </c>
      <c r="AY110" s="44">
        <f t="shared" si="17"/>
        <v>0</v>
      </c>
      <c r="AZ110" s="44">
        <f t="shared" si="18"/>
        <v>0</v>
      </c>
      <c r="BA110" s="44">
        <f t="shared" si="19"/>
        <v>350</v>
      </c>
      <c r="BB110" s="44">
        <f t="shared" si="20"/>
        <v>0</v>
      </c>
      <c r="BC110" s="44">
        <f t="shared" si="21"/>
        <v>0</v>
      </c>
      <c r="BD110" s="44">
        <f t="shared" si="22"/>
        <v>0</v>
      </c>
      <c r="BE110" s="44">
        <f t="shared" si="23"/>
        <v>0</v>
      </c>
      <c r="BF110" s="83">
        <f t="shared" si="24"/>
        <v>350</v>
      </c>
      <c r="BG110" s="47"/>
      <c r="BH110" s="47"/>
      <c r="BI110" s="90"/>
      <c r="BJ110" s="90"/>
      <c r="BK110" s="90"/>
      <c r="BL110" s="90"/>
      <c r="BM110" s="90"/>
      <c r="BN110" s="90"/>
      <c r="BO110" s="90"/>
      <c r="BP110" s="90"/>
      <c r="BQ110" s="90"/>
      <c r="BR110" s="90"/>
      <c r="BS110" s="90"/>
      <c r="BT110" s="90"/>
      <c r="BU110" s="90"/>
    </row>
    <row r="111" spans="1:73" s="91" customFormat="1" ht="40.5" x14ac:dyDescent="0.25">
      <c r="A111" s="707"/>
      <c r="B111" s="627"/>
      <c r="C111" s="627"/>
      <c r="D111" s="603"/>
      <c r="E111" s="603"/>
      <c r="F111" s="614"/>
      <c r="G111" s="614"/>
      <c r="H111" s="603"/>
      <c r="I111" s="603"/>
      <c r="J111" s="603"/>
      <c r="K111" s="355" t="s">
        <v>432</v>
      </c>
      <c r="L111" s="379" t="s">
        <v>594</v>
      </c>
      <c r="M111" s="46">
        <v>0</v>
      </c>
      <c r="N111" s="46">
        <v>1</v>
      </c>
      <c r="O111" s="44"/>
      <c r="P111" s="44"/>
      <c r="Q111" s="44">
        <v>1</v>
      </c>
      <c r="R111" s="45"/>
      <c r="S111" s="185"/>
      <c r="T111" s="44"/>
      <c r="U111" s="44"/>
      <c r="V111" s="44"/>
      <c r="W111" s="44"/>
      <c r="X111" s="44"/>
      <c r="Y111" s="44"/>
      <c r="Z111" s="44">
        <f t="shared" si="13"/>
        <v>0</v>
      </c>
      <c r="AA111" s="44"/>
      <c r="AB111" s="44"/>
      <c r="AC111" s="44"/>
      <c r="AD111" s="44"/>
      <c r="AE111" s="44"/>
      <c r="AF111" s="44"/>
      <c r="AG111" s="44"/>
      <c r="AH111" s="44">
        <f t="shared" si="14"/>
        <v>0</v>
      </c>
      <c r="AI111" s="44"/>
      <c r="AJ111" s="44"/>
      <c r="AK111" s="44"/>
      <c r="AL111" s="44">
        <v>1000</v>
      </c>
      <c r="AM111" s="44"/>
      <c r="AN111" s="44"/>
      <c r="AO111" s="44"/>
      <c r="AP111" s="44">
        <f t="shared" si="15"/>
        <v>1000</v>
      </c>
      <c r="AQ111" s="44"/>
      <c r="AR111" s="44"/>
      <c r="AS111" s="44"/>
      <c r="AT111" s="44"/>
      <c r="AU111" s="44"/>
      <c r="AV111" s="44"/>
      <c r="AW111" s="44"/>
      <c r="AX111" s="44">
        <f t="shared" si="16"/>
        <v>0</v>
      </c>
      <c r="AY111" s="44">
        <f t="shared" si="17"/>
        <v>0</v>
      </c>
      <c r="AZ111" s="44">
        <f t="shared" si="18"/>
        <v>0</v>
      </c>
      <c r="BA111" s="44">
        <f t="shared" si="19"/>
        <v>0</v>
      </c>
      <c r="BB111" s="44">
        <f t="shared" si="20"/>
        <v>1000</v>
      </c>
      <c r="BC111" s="44">
        <f t="shared" si="21"/>
        <v>0</v>
      </c>
      <c r="BD111" s="44">
        <f t="shared" si="22"/>
        <v>0</v>
      </c>
      <c r="BE111" s="44">
        <f t="shared" si="23"/>
        <v>0</v>
      </c>
      <c r="BF111" s="83">
        <f t="shared" si="24"/>
        <v>1000</v>
      </c>
      <c r="BG111" s="47"/>
      <c r="BH111" s="47"/>
      <c r="BI111" s="90"/>
      <c r="BJ111" s="90"/>
      <c r="BK111" s="90"/>
      <c r="BL111" s="90"/>
      <c r="BM111" s="90"/>
      <c r="BN111" s="90"/>
      <c r="BO111" s="90"/>
      <c r="BP111" s="90"/>
      <c r="BQ111" s="90"/>
      <c r="BR111" s="90"/>
      <c r="BS111" s="90"/>
      <c r="BT111" s="90"/>
      <c r="BU111" s="90"/>
    </row>
    <row r="112" spans="1:73" s="91" customFormat="1" ht="81" x14ac:dyDescent="0.25">
      <c r="A112" s="707"/>
      <c r="B112" s="627"/>
      <c r="C112" s="627"/>
      <c r="D112" s="603"/>
      <c r="E112" s="603"/>
      <c r="F112" s="614"/>
      <c r="G112" s="614"/>
      <c r="H112" s="603"/>
      <c r="I112" s="603"/>
      <c r="J112" s="603"/>
      <c r="K112" s="355" t="s">
        <v>433</v>
      </c>
      <c r="L112" s="379" t="s">
        <v>434</v>
      </c>
      <c r="M112" s="379" t="s">
        <v>1010</v>
      </c>
      <c r="N112" s="379" t="s">
        <v>1010</v>
      </c>
      <c r="O112" s="379" t="s">
        <v>1010</v>
      </c>
      <c r="P112" s="379" t="s">
        <v>1010</v>
      </c>
      <c r="Q112" s="379" t="s">
        <v>1010</v>
      </c>
      <c r="R112" s="258" t="s">
        <v>1010</v>
      </c>
      <c r="S112" s="185"/>
      <c r="T112" s="44">
        <v>75</v>
      </c>
      <c r="U112" s="44"/>
      <c r="V112" s="44"/>
      <c r="W112" s="44"/>
      <c r="X112" s="44"/>
      <c r="Y112" s="44"/>
      <c r="Z112" s="44">
        <f t="shared" si="13"/>
        <v>75</v>
      </c>
      <c r="AA112" s="44"/>
      <c r="AB112" s="44">
        <v>75</v>
      </c>
      <c r="AC112" s="44"/>
      <c r="AD112" s="44"/>
      <c r="AE112" s="44"/>
      <c r="AF112" s="44"/>
      <c r="AG112" s="44"/>
      <c r="AH112" s="44">
        <f t="shared" si="14"/>
        <v>75</v>
      </c>
      <c r="AI112" s="44"/>
      <c r="AJ112" s="44">
        <v>75</v>
      </c>
      <c r="AK112" s="44"/>
      <c r="AL112" s="44"/>
      <c r="AM112" s="44"/>
      <c r="AN112" s="44"/>
      <c r="AO112" s="44"/>
      <c r="AP112" s="44">
        <f t="shared" si="15"/>
        <v>75</v>
      </c>
      <c r="AQ112" s="44"/>
      <c r="AR112" s="44">
        <v>75</v>
      </c>
      <c r="AS112" s="44"/>
      <c r="AT112" s="44"/>
      <c r="AU112" s="44"/>
      <c r="AV112" s="44"/>
      <c r="AW112" s="44"/>
      <c r="AX112" s="44">
        <f t="shared" si="16"/>
        <v>75</v>
      </c>
      <c r="AY112" s="44">
        <f t="shared" si="17"/>
        <v>0</v>
      </c>
      <c r="AZ112" s="44">
        <f t="shared" si="18"/>
        <v>300</v>
      </c>
      <c r="BA112" s="44">
        <f t="shared" si="19"/>
        <v>0</v>
      </c>
      <c r="BB112" s="44">
        <f t="shared" si="20"/>
        <v>0</v>
      </c>
      <c r="BC112" s="44">
        <f t="shared" si="21"/>
        <v>0</v>
      </c>
      <c r="BD112" s="44">
        <f t="shared" si="22"/>
        <v>0</v>
      </c>
      <c r="BE112" s="44">
        <f t="shared" si="23"/>
        <v>0</v>
      </c>
      <c r="BF112" s="83">
        <f t="shared" si="24"/>
        <v>300</v>
      </c>
      <c r="BG112" s="47"/>
      <c r="BH112" s="47"/>
      <c r="BI112" s="90"/>
      <c r="BJ112" s="90"/>
      <c r="BK112" s="90"/>
      <c r="BL112" s="90"/>
      <c r="BM112" s="90"/>
      <c r="BN112" s="90"/>
      <c r="BO112" s="90"/>
      <c r="BP112" s="90"/>
      <c r="BQ112" s="90"/>
      <c r="BR112" s="90"/>
      <c r="BS112" s="90"/>
      <c r="BT112" s="90"/>
      <c r="BU112" s="90"/>
    </row>
    <row r="113" spans="1:73" s="91" customFormat="1" ht="94.5" x14ac:dyDescent="0.25">
      <c r="A113" s="707"/>
      <c r="B113" s="627"/>
      <c r="C113" s="627"/>
      <c r="D113" s="603"/>
      <c r="E113" s="603"/>
      <c r="F113" s="614"/>
      <c r="G113" s="614"/>
      <c r="H113" s="603"/>
      <c r="I113" s="603"/>
      <c r="J113" s="603"/>
      <c r="K113" s="355" t="s">
        <v>435</v>
      </c>
      <c r="L113" s="379" t="s">
        <v>436</v>
      </c>
      <c r="M113" s="46">
        <v>142</v>
      </c>
      <c r="N113" s="46">
        <v>180</v>
      </c>
      <c r="O113" s="44">
        <f>156+3+21</f>
        <v>180</v>
      </c>
      <c r="P113" s="44">
        <f>156+3+21</f>
        <v>180</v>
      </c>
      <c r="Q113" s="44">
        <f>156+3+21</f>
        <v>180</v>
      </c>
      <c r="R113" s="45">
        <f>156+3+21</f>
        <v>180</v>
      </c>
      <c r="S113" s="185"/>
      <c r="T113" s="44"/>
      <c r="U113" s="44">
        <v>40</v>
      </c>
      <c r="V113" s="44"/>
      <c r="W113" s="44"/>
      <c r="X113" s="44"/>
      <c r="Y113" s="44"/>
      <c r="Z113" s="44">
        <f t="shared" si="13"/>
        <v>40</v>
      </c>
      <c r="AA113" s="44"/>
      <c r="AB113" s="44"/>
      <c r="AC113" s="44">
        <v>40</v>
      </c>
      <c r="AD113" s="44"/>
      <c r="AE113" s="44"/>
      <c r="AF113" s="44"/>
      <c r="AG113" s="44"/>
      <c r="AH113" s="44">
        <f t="shared" si="14"/>
        <v>40</v>
      </c>
      <c r="AI113" s="44"/>
      <c r="AJ113" s="44"/>
      <c r="AK113" s="44">
        <v>40</v>
      </c>
      <c r="AL113" s="44"/>
      <c r="AM113" s="44"/>
      <c r="AN113" s="44"/>
      <c r="AO113" s="44"/>
      <c r="AP113" s="44">
        <f t="shared" si="15"/>
        <v>40</v>
      </c>
      <c r="AQ113" s="44"/>
      <c r="AR113" s="44"/>
      <c r="AS113" s="44">
        <v>40</v>
      </c>
      <c r="AT113" s="44"/>
      <c r="AU113" s="44"/>
      <c r="AV113" s="44"/>
      <c r="AW113" s="44"/>
      <c r="AX113" s="44">
        <f t="shared" si="16"/>
        <v>40</v>
      </c>
      <c r="AY113" s="44">
        <f t="shared" si="17"/>
        <v>0</v>
      </c>
      <c r="AZ113" s="44">
        <f t="shared" si="18"/>
        <v>0</v>
      </c>
      <c r="BA113" s="44">
        <f t="shared" si="19"/>
        <v>160</v>
      </c>
      <c r="BB113" s="44">
        <f t="shared" si="20"/>
        <v>0</v>
      </c>
      <c r="BC113" s="44">
        <f t="shared" si="21"/>
        <v>0</v>
      </c>
      <c r="BD113" s="44">
        <f t="shared" si="22"/>
        <v>0</v>
      </c>
      <c r="BE113" s="44">
        <f t="shared" si="23"/>
        <v>0</v>
      </c>
      <c r="BF113" s="83">
        <f t="shared" si="24"/>
        <v>160</v>
      </c>
      <c r="BG113" s="47"/>
      <c r="BH113" s="47"/>
      <c r="BI113" s="90"/>
      <c r="BJ113" s="90"/>
      <c r="BK113" s="90"/>
      <c r="BL113" s="90"/>
      <c r="BM113" s="90"/>
      <c r="BN113" s="90"/>
      <c r="BO113" s="90"/>
      <c r="BP113" s="90"/>
      <c r="BQ113" s="90"/>
      <c r="BR113" s="90"/>
      <c r="BS113" s="90"/>
      <c r="BT113" s="90"/>
      <c r="BU113" s="90"/>
    </row>
    <row r="114" spans="1:73" s="91" customFormat="1" ht="81" x14ac:dyDescent="0.25">
      <c r="A114" s="707"/>
      <c r="B114" s="627"/>
      <c r="C114" s="627"/>
      <c r="D114" s="603"/>
      <c r="E114" s="603"/>
      <c r="F114" s="614"/>
      <c r="G114" s="614"/>
      <c r="H114" s="603"/>
      <c r="I114" s="603"/>
      <c r="J114" s="603"/>
      <c r="K114" s="355" t="s">
        <v>437</v>
      </c>
      <c r="L114" s="379" t="s">
        <v>438</v>
      </c>
      <c r="M114" s="46">
        <v>11</v>
      </c>
      <c r="N114" s="46">
        <v>11</v>
      </c>
      <c r="O114" s="44">
        <v>11</v>
      </c>
      <c r="P114" s="44">
        <v>11</v>
      </c>
      <c r="Q114" s="44">
        <v>11</v>
      </c>
      <c r="R114" s="45">
        <v>11</v>
      </c>
      <c r="S114" s="185"/>
      <c r="T114" s="44"/>
      <c r="U114" s="44">
        <v>70</v>
      </c>
      <c r="V114" s="44"/>
      <c r="W114" s="44"/>
      <c r="X114" s="44"/>
      <c r="Y114" s="44"/>
      <c r="Z114" s="44">
        <f t="shared" si="13"/>
        <v>70</v>
      </c>
      <c r="AA114" s="44"/>
      <c r="AB114" s="44"/>
      <c r="AC114" s="44">
        <v>70</v>
      </c>
      <c r="AD114" s="44"/>
      <c r="AE114" s="44"/>
      <c r="AF114" s="44"/>
      <c r="AG114" s="44"/>
      <c r="AH114" s="44">
        <f t="shared" si="14"/>
        <v>70</v>
      </c>
      <c r="AI114" s="44"/>
      <c r="AJ114" s="44"/>
      <c r="AK114" s="44">
        <v>70</v>
      </c>
      <c r="AL114" s="44"/>
      <c r="AM114" s="44"/>
      <c r="AN114" s="44"/>
      <c r="AO114" s="44"/>
      <c r="AP114" s="44">
        <f t="shared" si="15"/>
        <v>70</v>
      </c>
      <c r="AQ114" s="44"/>
      <c r="AR114" s="44"/>
      <c r="AS114" s="44">
        <v>70</v>
      </c>
      <c r="AT114" s="44"/>
      <c r="AU114" s="44"/>
      <c r="AV114" s="44"/>
      <c r="AW114" s="44"/>
      <c r="AX114" s="44">
        <f t="shared" si="16"/>
        <v>70</v>
      </c>
      <c r="AY114" s="44">
        <f t="shared" si="17"/>
        <v>0</v>
      </c>
      <c r="AZ114" s="44">
        <f t="shared" si="18"/>
        <v>0</v>
      </c>
      <c r="BA114" s="44">
        <f t="shared" si="19"/>
        <v>280</v>
      </c>
      <c r="BB114" s="44">
        <f t="shared" si="20"/>
        <v>0</v>
      </c>
      <c r="BC114" s="44">
        <f t="shared" si="21"/>
        <v>0</v>
      </c>
      <c r="BD114" s="44">
        <f t="shared" si="22"/>
        <v>0</v>
      </c>
      <c r="BE114" s="44">
        <f t="shared" si="23"/>
        <v>0</v>
      </c>
      <c r="BF114" s="83">
        <f t="shared" si="24"/>
        <v>280</v>
      </c>
      <c r="BG114" s="47"/>
      <c r="BH114" s="47"/>
      <c r="BI114" s="90"/>
      <c r="BJ114" s="90"/>
      <c r="BK114" s="90"/>
      <c r="BL114" s="90"/>
      <c r="BM114" s="90"/>
      <c r="BN114" s="90"/>
      <c r="BO114" s="90"/>
      <c r="BP114" s="90"/>
      <c r="BQ114" s="90"/>
      <c r="BR114" s="90"/>
      <c r="BS114" s="90"/>
      <c r="BT114" s="90"/>
      <c r="BU114" s="90"/>
    </row>
    <row r="115" spans="1:73" s="91" customFormat="1" ht="54" x14ac:dyDescent="0.25">
      <c r="A115" s="707"/>
      <c r="B115" s="627"/>
      <c r="C115" s="627"/>
      <c r="D115" s="603"/>
      <c r="E115" s="603"/>
      <c r="F115" s="614"/>
      <c r="G115" s="614"/>
      <c r="H115" s="603"/>
      <c r="I115" s="603"/>
      <c r="J115" s="603"/>
      <c r="K115" s="355" t="s">
        <v>439</v>
      </c>
      <c r="L115" s="379" t="s">
        <v>440</v>
      </c>
      <c r="M115" s="48">
        <v>1</v>
      </c>
      <c r="N115" s="48">
        <v>1</v>
      </c>
      <c r="O115" s="48">
        <v>1</v>
      </c>
      <c r="P115" s="48">
        <v>1</v>
      </c>
      <c r="Q115" s="48">
        <v>1</v>
      </c>
      <c r="R115" s="257">
        <v>1</v>
      </c>
      <c r="S115" s="185"/>
      <c r="T115" s="44">
        <v>55</v>
      </c>
      <c r="U115" s="44"/>
      <c r="V115" s="44"/>
      <c r="W115" s="44"/>
      <c r="X115" s="44"/>
      <c r="Y115" s="44"/>
      <c r="Z115" s="44">
        <f t="shared" si="13"/>
        <v>55</v>
      </c>
      <c r="AA115" s="44"/>
      <c r="AB115" s="44">
        <v>55</v>
      </c>
      <c r="AC115" s="44"/>
      <c r="AD115" s="44"/>
      <c r="AE115" s="44"/>
      <c r="AF115" s="44"/>
      <c r="AG115" s="44"/>
      <c r="AH115" s="44">
        <f t="shared" si="14"/>
        <v>55</v>
      </c>
      <c r="AI115" s="44"/>
      <c r="AJ115" s="44">
        <v>55</v>
      </c>
      <c r="AK115" s="44"/>
      <c r="AL115" s="44"/>
      <c r="AM115" s="44"/>
      <c r="AN115" s="44"/>
      <c r="AO115" s="44"/>
      <c r="AP115" s="44">
        <f t="shared" si="15"/>
        <v>55</v>
      </c>
      <c r="AQ115" s="44"/>
      <c r="AR115" s="44">
        <v>55</v>
      </c>
      <c r="AS115" s="44"/>
      <c r="AT115" s="44"/>
      <c r="AU115" s="44"/>
      <c r="AV115" s="44"/>
      <c r="AW115" s="44"/>
      <c r="AX115" s="44">
        <f t="shared" si="16"/>
        <v>55</v>
      </c>
      <c r="AY115" s="44">
        <f t="shared" si="17"/>
        <v>0</v>
      </c>
      <c r="AZ115" s="44">
        <f t="shared" si="18"/>
        <v>220</v>
      </c>
      <c r="BA115" s="44">
        <f t="shared" si="19"/>
        <v>0</v>
      </c>
      <c r="BB115" s="44">
        <f t="shared" si="20"/>
        <v>0</v>
      </c>
      <c r="BC115" s="44">
        <f t="shared" si="21"/>
        <v>0</v>
      </c>
      <c r="BD115" s="44">
        <f t="shared" si="22"/>
        <v>0</v>
      </c>
      <c r="BE115" s="44">
        <f t="shared" si="23"/>
        <v>0</v>
      </c>
      <c r="BF115" s="83">
        <f t="shared" si="24"/>
        <v>220</v>
      </c>
      <c r="BG115" s="47"/>
      <c r="BH115" s="47"/>
      <c r="BI115" s="90"/>
      <c r="BJ115" s="90"/>
      <c r="BK115" s="90"/>
      <c r="BL115" s="90"/>
      <c r="BM115" s="90"/>
      <c r="BN115" s="90"/>
      <c r="BO115" s="90"/>
      <c r="BP115" s="90"/>
      <c r="BQ115" s="90"/>
      <c r="BR115" s="90"/>
      <c r="BS115" s="90"/>
      <c r="BT115" s="90"/>
      <c r="BU115" s="90"/>
    </row>
    <row r="116" spans="1:73" s="91" customFormat="1" ht="81" x14ac:dyDescent="0.25">
      <c r="A116" s="707"/>
      <c r="B116" s="627"/>
      <c r="C116" s="627"/>
      <c r="D116" s="620" t="s">
        <v>163</v>
      </c>
      <c r="E116" s="620" t="s">
        <v>595</v>
      </c>
      <c r="F116" s="608">
        <v>9.6199999999999992</v>
      </c>
      <c r="G116" s="608">
        <v>9.6199999999999992</v>
      </c>
      <c r="H116" s="603"/>
      <c r="I116" s="603"/>
      <c r="J116" s="603" t="s">
        <v>152</v>
      </c>
      <c r="K116" s="354" t="s">
        <v>164</v>
      </c>
      <c r="L116" s="357" t="s">
        <v>677</v>
      </c>
      <c r="M116" s="367">
        <v>1</v>
      </c>
      <c r="N116" s="367">
        <v>1</v>
      </c>
      <c r="O116" s="367">
        <v>1</v>
      </c>
      <c r="P116" s="367">
        <v>1</v>
      </c>
      <c r="Q116" s="367">
        <v>1</v>
      </c>
      <c r="R116" s="192">
        <v>1</v>
      </c>
      <c r="S116" s="184"/>
      <c r="T116" s="3">
        <v>20</v>
      </c>
      <c r="U116" s="3"/>
      <c r="V116" s="3"/>
      <c r="W116" s="3"/>
      <c r="X116" s="3"/>
      <c r="Y116" s="3"/>
      <c r="Z116" s="44">
        <f t="shared" si="13"/>
        <v>20</v>
      </c>
      <c r="AA116" s="3"/>
      <c r="AB116" s="3">
        <v>20</v>
      </c>
      <c r="AC116" s="3"/>
      <c r="AD116" s="3"/>
      <c r="AE116" s="3"/>
      <c r="AF116" s="3"/>
      <c r="AG116" s="3"/>
      <c r="AH116" s="44">
        <f t="shared" si="14"/>
        <v>20</v>
      </c>
      <c r="AI116" s="3"/>
      <c r="AJ116" s="3">
        <v>20</v>
      </c>
      <c r="AK116" s="3"/>
      <c r="AL116" s="3"/>
      <c r="AM116" s="3"/>
      <c r="AN116" s="3"/>
      <c r="AO116" s="3"/>
      <c r="AP116" s="44">
        <f t="shared" si="15"/>
        <v>20</v>
      </c>
      <c r="AQ116" s="3"/>
      <c r="AR116" s="3">
        <v>20</v>
      </c>
      <c r="AS116" s="3"/>
      <c r="AT116" s="3"/>
      <c r="AU116" s="3"/>
      <c r="AV116" s="3"/>
      <c r="AW116" s="3"/>
      <c r="AX116" s="44">
        <f t="shared" si="16"/>
        <v>20</v>
      </c>
      <c r="AY116" s="44">
        <f t="shared" si="17"/>
        <v>0</v>
      </c>
      <c r="AZ116" s="44">
        <f t="shared" si="18"/>
        <v>80</v>
      </c>
      <c r="BA116" s="44">
        <f t="shared" si="19"/>
        <v>0</v>
      </c>
      <c r="BB116" s="44">
        <f t="shared" si="20"/>
        <v>0</v>
      </c>
      <c r="BC116" s="44">
        <f t="shared" si="21"/>
        <v>0</v>
      </c>
      <c r="BD116" s="44">
        <f t="shared" si="22"/>
        <v>0</v>
      </c>
      <c r="BE116" s="44">
        <f t="shared" si="23"/>
        <v>0</v>
      </c>
      <c r="BF116" s="83">
        <f t="shared" si="24"/>
        <v>80</v>
      </c>
      <c r="BG116" s="47"/>
      <c r="BH116" s="47"/>
      <c r="BI116" s="90"/>
      <c r="BJ116" s="90"/>
      <c r="BK116" s="90"/>
      <c r="BL116" s="90"/>
      <c r="BM116" s="90"/>
      <c r="BN116" s="90"/>
      <c r="BO116" s="90"/>
      <c r="BP116" s="90"/>
      <c r="BQ116" s="90"/>
      <c r="BR116" s="90"/>
      <c r="BS116" s="90"/>
      <c r="BT116" s="90"/>
      <c r="BU116" s="90"/>
    </row>
    <row r="117" spans="1:73" s="91" customFormat="1" ht="81" x14ac:dyDescent="0.25">
      <c r="A117" s="707"/>
      <c r="B117" s="627"/>
      <c r="C117" s="627"/>
      <c r="D117" s="620"/>
      <c r="E117" s="620"/>
      <c r="F117" s="608"/>
      <c r="G117" s="608"/>
      <c r="H117" s="603"/>
      <c r="I117" s="603"/>
      <c r="J117" s="603"/>
      <c r="K117" s="354" t="s">
        <v>578</v>
      </c>
      <c r="L117" s="357" t="s">
        <v>576</v>
      </c>
      <c r="M117" s="367">
        <v>0</v>
      </c>
      <c r="N117" s="367">
        <v>29</v>
      </c>
      <c r="O117" s="367">
        <v>6</v>
      </c>
      <c r="P117" s="367">
        <v>12</v>
      </c>
      <c r="Q117" s="367">
        <v>18</v>
      </c>
      <c r="R117" s="192">
        <v>29</v>
      </c>
      <c r="S117" s="184"/>
      <c r="T117" s="3">
        <v>20</v>
      </c>
      <c r="U117" s="3"/>
      <c r="V117" s="3"/>
      <c r="W117" s="3"/>
      <c r="X117" s="3"/>
      <c r="Y117" s="3"/>
      <c r="Z117" s="44">
        <f t="shared" si="13"/>
        <v>20</v>
      </c>
      <c r="AA117" s="3"/>
      <c r="AB117" s="3">
        <v>20</v>
      </c>
      <c r="AC117" s="3"/>
      <c r="AD117" s="3"/>
      <c r="AE117" s="3"/>
      <c r="AF117" s="3"/>
      <c r="AG117" s="3"/>
      <c r="AH117" s="44">
        <f t="shared" si="14"/>
        <v>20</v>
      </c>
      <c r="AI117" s="3"/>
      <c r="AJ117" s="3">
        <v>20</v>
      </c>
      <c r="AK117" s="3"/>
      <c r="AL117" s="3"/>
      <c r="AM117" s="3"/>
      <c r="AN117" s="3"/>
      <c r="AO117" s="3"/>
      <c r="AP117" s="44">
        <f t="shared" si="15"/>
        <v>20</v>
      </c>
      <c r="AQ117" s="3"/>
      <c r="AR117" s="3">
        <v>20</v>
      </c>
      <c r="AS117" s="3"/>
      <c r="AT117" s="3"/>
      <c r="AU117" s="3"/>
      <c r="AV117" s="3"/>
      <c r="AW117" s="3"/>
      <c r="AX117" s="44">
        <f t="shared" si="16"/>
        <v>20</v>
      </c>
      <c r="AY117" s="44">
        <f t="shared" si="17"/>
        <v>0</v>
      </c>
      <c r="AZ117" s="44">
        <f t="shared" si="18"/>
        <v>80</v>
      </c>
      <c r="BA117" s="44">
        <f t="shared" si="19"/>
        <v>0</v>
      </c>
      <c r="BB117" s="44">
        <f t="shared" si="20"/>
        <v>0</v>
      </c>
      <c r="BC117" s="44">
        <f t="shared" si="21"/>
        <v>0</v>
      </c>
      <c r="BD117" s="44">
        <f t="shared" si="22"/>
        <v>0</v>
      </c>
      <c r="BE117" s="44">
        <f t="shared" si="23"/>
        <v>0</v>
      </c>
      <c r="BF117" s="83">
        <f t="shared" si="24"/>
        <v>80</v>
      </c>
      <c r="BG117" s="47"/>
      <c r="BH117" s="47"/>
      <c r="BI117" s="90"/>
      <c r="BJ117" s="90"/>
      <c r="BK117" s="90"/>
      <c r="BL117" s="90"/>
      <c r="BM117" s="90"/>
      <c r="BN117" s="90"/>
      <c r="BO117" s="90"/>
      <c r="BP117" s="90"/>
      <c r="BQ117" s="90"/>
      <c r="BR117" s="90"/>
      <c r="BS117" s="90"/>
      <c r="BT117" s="90"/>
      <c r="BU117" s="90"/>
    </row>
    <row r="118" spans="1:73" s="91" customFormat="1" ht="54" x14ac:dyDescent="0.25">
      <c r="A118" s="707"/>
      <c r="B118" s="627"/>
      <c r="C118" s="627"/>
      <c r="D118" s="620"/>
      <c r="E118" s="620"/>
      <c r="F118" s="608"/>
      <c r="G118" s="608"/>
      <c r="H118" s="603"/>
      <c r="I118" s="603"/>
      <c r="J118" s="603"/>
      <c r="K118" s="354" t="s">
        <v>577</v>
      </c>
      <c r="L118" s="357" t="s">
        <v>669</v>
      </c>
      <c r="M118" s="367">
        <v>29</v>
      </c>
      <c r="N118" s="367">
        <v>29</v>
      </c>
      <c r="O118" s="367">
        <v>29</v>
      </c>
      <c r="P118" s="367">
        <v>29</v>
      </c>
      <c r="Q118" s="367">
        <v>29</v>
      </c>
      <c r="R118" s="192">
        <v>29</v>
      </c>
      <c r="S118" s="184"/>
      <c r="T118" s="3">
        <v>6</v>
      </c>
      <c r="U118" s="3"/>
      <c r="V118" s="3"/>
      <c r="W118" s="3"/>
      <c r="X118" s="3"/>
      <c r="Y118" s="3"/>
      <c r="Z118" s="44">
        <f t="shared" si="13"/>
        <v>6</v>
      </c>
      <c r="AA118" s="3"/>
      <c r="AB118" s="3">
        <v>6</v>
      </c>
      <c r="AC118" s="3"/>
      <c r="AD118" s="3"/>
      <c r="AE118" s="3"/>
      <c r="AF118" s="3"/>
      <c r="AG118" s="3"/>
      <c r="AH118" s="44">
        <f t="shared" si="14"/>
        <v>6</v>
      </c>
      <c r="AI118" s="3"/>
      <c r="AJ118" s="3">
        <v>6</v>
      </c>
      <c r="AK118" s="3"/>
      <c r="AL118" s="3"/>
      <c r="AM118" s="3"/>
      <c r="AN118" s="3"/>
      <c r="AO118" s="3"/>
      <c r="AP118" s="44">
        <f t="shared" si="15"/>
        <v>6</v>
      </c>
      <c r="AQ118" s="3"/>
      <c r="AR118" s="3">
        <v>6</v>
      </c>
      <c r="AS118" s="3"/>
      <c r="AT118" s="3"/>
      <c r="AU118" s="3"/>
      <c r="AV118" s="3"/>
      <c r="AW118" s="3"/>
      <c r="AX118" s="44">
        <f t="shared" si="16"/>
        <v>6</v>
      </c>
      <c r="AY118" s="44">
        <f t="shared" si="17"/>
        <v>0</v>
      </c>
      <c r="AZ118" s="44">
        <f t="shared" si="18"/>
        <v>24</v>
      </c>
      <c r="BA118" s="44">
        <f t="shared" si="19"/>
        <v>0</v>
      </c>
      <c r="BB118" s="44">
        <f t="shared" si="20"/>
        <v>0</v>
      </c>
      <c r="BC118" s="44">
        <f t="shared" si="21"/>
        <v>0</v>
      </c>
      <c r="BD118" s="44">
        <f t="shared" si="22"/>
        <v>0</v>
      </c>
      <c r="BE118" s="44">
        <f t="shared" si="23"/>
        <v>0</v>
      </c>
      <c r="BF118" s="83">
        <f t="shared" si="24"/>
        <v>24</v>
      </c>
      <c r="BG118" s="47"/>
      <c r="BH118" s="47"/>
      <c r="BI118" s="90"/>
      <c r="BJ118" s="90"/>
      <c r="BK118" s="90"/>
      <c r="BL118" s="90"/>
      <c r="BM118" s="90"/>
      <c r="BN118" s="90"/>
      <c r="BO118" s="90"/>
      <c r="BP118" s="90"/>
      <c r="BQ118" s="90"/>
      <c r="BR118" s="90"/>
      <c r="BS118" s="90"/>
      <c r="BT118" s="90"/>
      <c r="BU118" s="90"/>
    </row>
    <row r="119" spans="1:73" s="91" customFormat="1" ht="67.5" x14ac:dyDescent="0.25">
      <c r="A119" s="707"/>
      <c r="B119" s="627"/>
      <c r="C119" s="627"/>
      <c r="D119" s="620" t="s">
        <v>165</v>
      </c>
      <c r="E119" s="620" t="s">
        <v>596</v>
      </c>
      <c r="F119" s="608">
        <v>5.44</v>
      </c>
      <c r="G119" s="608">
        <v>5.44</v>
      </c>
      <c r="H119" s="603"/>
      <c r="I119" s="603"/>
      <c r="J119" s="603"/>
      <c r="K119" s="354" t="s">
        <v>582</v>
      </c>
      <c r="L119" s="357" t="s">
        <v>670</v>
      </c>
      <c r="M119" s="367">
        <v>1</v>
      </c>
      <c r="N119" s="367">
        <v>1</v>
      </c>
      <c r="O119" s="367">
        <v>1</v>
      </c>
      <c r="P119" s="367">
        <v>1</v>
      </c>
      <c r="Q119" s="367">
        <v>1</v>
      </c>
      <c r="R119" s="192">
        <v>1</v>
      </c>
      <c r="S119" s="184"/>
      <c r="T119" s="3">
        <v>130</v>
      </c>
      <c r="U119" s="3"/>
      <c r="V119" s="3"/>
      <c r="W119" s="3"/>
      <c r="X119" s="3"/>
      <c r="Y119" s="3"/>
      <c r="Z119" s="44">
        <f t="shared" si="13"/>
        <v>130</v>
      </c>
      <c r="AA119" s="3"/>
      <c r="AB119" s="3">
        <v>130</v>
      </c>
      <c r="AC119" s="3"/>
      <c r="AD119" s="3"/>
      <c r="AE119" s="3"/>
      <c r="AF119" s="3"/>
      <c r="AG119" s="3"/>
      <c r="AH119" s="44">
        <f t="shared" si="14"/>
        <v>130</v>
      </c>
      <c r="AI119" s="3"/>
      <c r="AJ119" s="3">
        <v>130</v>
      </c>
      <c r="AK119" s="3"/>
      <c r="AL119" s="3"/>
      <c r="AM119" s="3"/>
      <c r="AN119" s="3"/>
      <c r="AO119" s="3"/>
      <c r="AP119" s="44">
        <f t="shared" si="15"/>
        <v>130</v>
      </c>
      <c r="AQ119" s="3"/>
      <c r="AR119" s="3">
        <v>130</v>
      </c>
      <c r="AS119" s="3"/>
      <c r="AT119" s="3"/>
      <c r="AU119" s="3"/>
      <c r="AV119" s="3"/>
      <c r="AW119" s="3"/>
      <c r="AX119" s="44">
        <f t="shared" si="16"/>
        <v>130</v>
      </c>
      <c r="AY119" s="44">
        <f t="shared" si="17"/>
        <v>0</v>
      </c>
      <c r="AZ119" s="44">
        <f t="shared" si="18"/>
        <v>520</v>
      </c>
      <c r="BA119" s="44">
        <f t="shared" si="19"/>
        <v>0</v>
      </c>
      <c r="BB119" s="44">
        <f t="shared" si="20"/>
        <v>0</v>
      </c>
      <c r="BC119" s="44">
        <f t="shared" si="21"/>
        <v>0</v>
      </c>
      <c r="BD119" s="44">
        <f t="shared" si="22"/>
        <v>0</v>
      </c>
      <c r="BE119" s="44">
        <f t="shared" si="23"/>
        <v>0</v>
      </c>
      <c r="BF119" s="83">
        <f t="shared" si="24"/>
        <v>520</v>
      </c>
      <c r="BG119" s="47"/>
      <c r="BH119" s="47"/>
      <c r="BI119" s="90"/>
      <c r="BJ119" s="90"/>
      <c r="BK119" s="90"/>
      <c r="BL119" s="90"/>
      <c r="BM119" s="90"/>
      <c r="BN119" s="90"/>
      <c r="BO119" s="90"/>
      <c r="BP119" s="90"/>
      <c r="BQ119" s="90"/>
      <c r="BR119" s="90"/>
      <c r="BS119" s="90"/>
      <c r="BT119" s="90"/>
      <c r="BU119" s="90"/>
    </row>
    <row r="120" spans="1:73" s="91" customFormat="1" ht="81" x14ac:dyDescent="0.25">
      <c r="A120" s="707"/>
      <c r="B120" s="627"/>
      <c r="C120" s="627"/>
      <c r="D120" s="620"/>
      <c r="E120" s="620"/>
      <c r="F120" s="608"/>
      <c r="G120" s="608"/>
      <c r="H120" s="603"/>
      <c r="I120" s="603"/>
      <c r="J120" s="603"/>
      <c r="K120" s="354" t="s">
        <v>583</v>
      </c>
      <c r="L120" s="357" t="s">
        <v>661</v>
      </c>
      <c r="M120" s="367">
        <v>0</v>
      </c>
      <c r="N120" s="367">
        <v>29</v>
      </c>
      <c r="O120" s="367">
        <v>29</v>
      </c>
      <c r="P120" s="367">
        <v>29</v>
      </c>
      <c r="Q120" s="367">
        <v>29</v>
      </c>
      <c r="R120" s="192">
        <v>29</v>
      </c>
      <c r="S120" s="184"/>
      <c r="T120" s="3">
        <v>90</v>
      </c>
      <c r="U120" s="3"/>
      <c r="V120" s="3"/>
      <c r="W120" s="3"/>
      <c r="X120" s="3"/>
      <c r="Y120" s="3"/>
      <c r="Z120" s="44">
        <f t="shared" si="13"/>
        <v>90</v>
      </c>
      <c r="AA120" s="3"/>
      <c r="AB120" s="3">
        <v>90</v>
      </c>
      <c r="AC120" s="3"/>
      <c r="AD120" s="3"/>
      <c r="AE120" s="3"/>
      <c r="AF120" s="3"/>
      <c r="AG120" s="3"/>
      <c r="AH120" s="44">
        <f t="shared" si="14"/>
        <v>90</v>
      </c>
      <c r="AI120" s="3"/>
      <c r="AJ120" s="3">
        <v>90</v>
      </c>
      <c r="AK120" s="3"/>
      <c r="AL120" s="3"/>
      <c r="AM120" s="3"/>
      <c r="AN120" s="3"/>
      <c r="AO120" s="3"/>
      <c r="AP120" s="44">
        <f t="shared" si="15"/>
        <v>90</v>
      </c>
      <c r="AQ120" s="3"/>
      <c r="AR120" s="3">
        <v>90</v>
      </c>
      <c r="AS120" s="3"/>
      <c r="AT120" s="3"/>
      <c r="AU120" s="3"/>
      <c r="AV120" s="3"/>
      <c r="AW120" s="3"/>
      <c r="AX120" s="44">
        <f t="shared" si="16"/>
        <v>90</v>
      </c>
      <c r="AY120" s="44">
        <f t="shared" si="17"/>
        <v>0</v>
      </c>
      <c r="AZ120" s="44">
        <f t="shared" si="18"/>
        <v>360</v>
      </c>
      <c r="BA120" s="44">
        <f t="shared" si="19"/>
        <v>0</v>
      </c>
      <c r="BB120" s="44">
        <f t="shared" si="20"/>
        <v>0</v>
      </c>
      <c r="BC120" s="44">
        <f t="shared" si="21"/>
        <v>0</v>
      </c>
      <c r="BD120" s="44">
        <f t="shared" si="22"/>
        <v>0</v>
      </c>
      <c r="BE120" s="44">
        <f t="shared" si="23"/>
        <v>0</v>
      </c>
      <c r="BF120" s="83">
        <f t="shared" si="24"/>
        <v>360</v>
      </c>
      <c r="BG120" s="47"/>
      <c r="BH120" s="47"/>
      <c r="BI120" s="90"/>
      <c r="BJ120" s="90"/>
      <c r="BK120" s="90"/>
      <c r="BL120" s="90"/>
      <c r="BM120" s="90"/>
      <c r="BN120" s="90"/>
      <c r="BO120" s="90"/>
      <c r="BP120" s="90"/>
      <c r="BQ120" s="90"/>
      <c r="BR120" s="90"/>
      <c r="BS120" s="90"/>
      <c r="BT120" s="90"/>
      <c r="BU120" s="90"/>
    </row>
    <row r="121" spans="1:73" s="91" customFormat="1" ht="81" x14ac:dyDescent="0.25">
      <c r="A121" s="707"/>
      <c r="B121" s="627"/>
      <c r="C121" s="627"/>
      <c r="D121" s="620"/>
      <c r="E121" s="620"/>
      <c r="F121" s="608"/>
      <c r="G121" s="608"/>
      <c r="H121" s="603"/>
      <c r="I121" s="603"/>
      <c r="J121" s="603"/>
      <c r="K121" s="354" t="s">
        <v>166</v>
      </c>
      <c r="L121" s="357" t="s">
        <v>584</v>
      </c>
      <c r="M121" s="367">
        <v>29</v>
      </c>
      <c r="N121" s="367">
        <v>29</v>
      </c>
      <c r="O121" s="367">
        <v>29</v>
      </c>
      <c r="P121" s="367">
        <v>29</v>
      </c>
      <c r="Q121" s="367">
        <v>29</v>
      </c>
      <c r="R121" s="192">
        <v>29</v>
      </c>
      <c r="S121" s="184"/>
      <c r="T121" s="3">
        <v>20</v>
      </c>
      <c r="U121" s="3"/>
      <c r="V121" s="3"/>
      <c r="W121" s="3"/>
      <c r="X121" s="3"/>
      <c r="Y121" s="3"/>
      <c r="Z121" s="44">
        <f t="shared" si="13"/>
        <v>20</v>
      </c>
      <c r="AA121" s="3"/>
      <c r="AB121" s="3">
        <v>20</v>
      </c>
      <c r="AC121" s="3"/>
      <c r="AD121" s="3"/>
      <c r="AE121" s="3"/>
      <c r="AF121" s="3"/>
      <c r="AG121" s="3"/>
      <c r="AH121" s="44">
        <f t="shared" si="14"/>
        <v>20</v>
      </c>
      <c r="AI121" s="3"/>
      <c r="AJ121" s="3">
        <v>20</v>
      </c>
      <c r="AK121" s="3"/>
      <c r="AL121" s="3"/>
      <c r="AM121" s="3"/>
      <c r="AN121" s="3"/>
      <c r="AO121" s="3"/>
      <c r="AP121" s="44">
        <f t="shared" si="15"/>
        <v>20</v>
      </c>
      <c r="AQ121" s="3"/>
      <c r="AR121" s="3">
        <v>20</v>
      </c>
      <c r="AS121" s="3"/>
      <c r="AT121" s="3"/>
      <c r="AU121" s="3"/>
      <c r="AV121" s="3"/>
      <c r="AW121" s="3"/>
      <c r="AX121" s="44">
        <f t="shared" si="16"/>
        <v>20</v>
      </c>
      <c r="AY121" s="44">
        <f t="shared" si="17"/>
        <v>0</v>
      </c>
      <c r="AZ121" s="44">
        <f t="shared" si="18"/>
        <v>80</v>
      </c>
      <c r="BA121" s="44">
        <f t="shared" si="19"/>
        <v>0</v>
      </c>
      <c r="BB121" s="44">
        <f t="shared" si="20"/>
        <v>0</v>
      </c>
      <c r="BC121" s="44">
        <f t="shared" si="21"/>
        <v>0</v>
      </c>
      <c r="BD121" s="44">
        <f t="shared" si="22"/>
        <v>0</v>
      </c>
      <c r="BE121" s="44">
        <f t="shared" si="23"/>
        <v>0</v>
      </c>
      <c r="BF121" s="83">
        <f t="shared" si="24"/>
        <v>80</v>
      </c>
      <c r="BG121" s="47"/>
      <c r="BH121" s="47"/>
      <c r="BI121" s="90"/>
      <c r="BJ121" s="90"/>
      <c r="BK121" s="90"/>
      <c r="BL121" s="90"/>
      <c r="BM121" s="90"/>
      <c r="BN121" s="90"/>
      <c r="BO121" s="90"/>
      <c r="BP121" s="90"/>
      <c r="BQ121" s="90"/>
      <c r="BR121" s="90"/>
      <c r="BS121" s="90"/>
      <c r="BT121" s="90"/>
      <c r="BU121" s="90"/>
    </row>
    <row r="122" spans="1:73" s="91" customFormat="1" ht="67.5" x14ac:dyDescent="0.25">
      <c r="A122" s="707"/>
      <c r="B122" s="627"/>
      <c r="C122" s="627"/>
      <c r="D122" s="620"/>
      <c r="E122" s="620"/>
      <c r="F122" s="608"/>
      <c r="G122" s="608"/>
      <c r="H122" s="603"/>
      <c r="I122" s="603"/>
      <c r="J122" s="603"/>
      <c r="K122" s="354" t="s">
        <v>671</v>
      </c>
      <c r="L122" s="357" t="s">
        <v>672</v>
      </c>
      <c r="M122" s="367">
        <v>29</v>
      </c>
      <c r="N122" s="367">
        <v>29</v>
      </c>
      <c r="O122" s="367">
        <v>29</v>
      </c>
      <c r="P122" s="367">
        <v>29</v>
      </c>
      <c r="Q122" s="367">
        <v>29</v>
      </c>
      <c r="R122" s="192">
        <v>29</v>
      </c>
      <c r="S122" s="184"/>
      <c r="T122" s="3">
        <v>20</v>
      </c>
      <c r="U122" s="3"/>
      <c r="V122" s="3"/>
      <c r="W122" s="3"/>
      <c r="X122" s="3"/>
      <c r="Y122" s="3"/>
      <c r="Z122" s="44">
        <f t="shared" si="13"/>
        <v>20</v>
      </c>
      <c r="AA122" s="3"/>
      <c r="AB122" s="3">
        <v>20</v>
      </c>
      <c r="AC122" s="3"/>
      <c r="AD122" s="3"/>
      <c r="AE122" s="3"/>
      <c r="AF122" s="3"/>
      <c r="AG122" s="3"/>
      <c r="AH122" s="44">
        <f t="shared" si="14"/>
        <v>20</v>
      </c>
      <c r="AI122" s="3"/>
      <c r="AJ122" s="3">
        <v>20</v>
      </c>
      <c r="AK122" s="3"/>
      <c r="AL122" s="3"/>
      <c r="AM122" s="3"/>
      <c r="AN122" s="3"/>
      <c r="AO122" s="3"/>
      <c r="AP122" s="44">
        <f t="shared" si="15"/>
        <v>20</v>
      </c>
      <c r="AQ122" s="3"/>
      <c r="AR122" s="3">
        <v>20</v>
      </c>
      <c r="AS122" s="3"/>
      <c r="AT122" s="3"/>
      <c r="AU122" s="3"/>
      <c r="AV122" s="3"/>
      <c r="AW122" s="3"/>
      <c r="AX122" s="44">
        <f t="shared" si="16"/>
        <v>20</v>
      </c>
      <c r="AY122" s="44">
        <f t="shared" si="17"/>
        <v>0</v>
      </c>
      <c r="AZ122" s="44">
        <f t="shared" si="18"/>
        <v>80</v>
      </c>
      <c r="BA122" s="44">
        <f t="shared" si="19"/>
        <v>0</v>
      </c>
      <c r="BB122" s="44">
        <f t="shared" si="20"/>
        <v>0</v>
      </c>
      <c r="BC122" s="44">
        <f t="shared" si="21"/>
        <v>0</v>
      </c>
      <c r="BD122" s="44">
        <f t="shared" si="22"/>
        <v>0</v>
      </c>
      <c r="BE122" s="44">
        <f t="shared" si="23"/>
        <v>0</v>
      </c>
      <c r="BF122" s="83">
        <f t="shared" si="24"/>
        <v>80</v>
      </c>
      <c r="BG122" s="47"/>
      <c r="BH122" s="47"/>
      <c r="BI122" s="90"/>
      <c r="BJ122" s="90"/>
      <c r="BK122" s="90"/>
      <c r="BL122" s="90"/>
      <c r="BM122" s="90"/>
      <c r="BN122" s="90"/>
      <c r="BO122" s="90"/>
      <c r="BP122" s="90"/>
      <c r="BQ122" s="90"/>
      <c r="BR122" s="90"/>
      <c r="BS122" s="90"/>
      <c r="BT122" s="90"/>
      <c r="BU122" s="90"/>
    </row>
    <row r="123" spans="1:73" s="91" customFormat="1" ht="135" x14ac:dyDescent="0.25">
      <c r="A123" s="707"/>
      <c r="B123" s="627"/>
      <c r="C123" s="627"/>
      <c r="D123" s="354" t="s">
        <v>346</v>
      </c>
      <c r="E123" s="354" t="s">
        <v>668</v>
      </c>
      <c r="F123" s="368">
        <v>10</v>
      </c>
      <c r="G123" s="29">
        <v>29</v>
      </c>
      <c r="H123" s="603"/>
      <c r="I123" s="603"/>
      <c r="J123" s="603"/>
      <c r="K123" s="354" t="s">
        <v>673</v>
      </c>
      <c r="L123" s="357" t="s">
        <v>674</v>
      </c>
      <c r="M123" s="367">
        <v>10</v>
      </c>
      <c r="N123" s="367">
        <v>29</v>
      </c>
      <c r="O123" s="367">
        <v>20</v>
      </c>
      <c r="P123" s="367">
        <v>29</v>
      </c>
      <c r="Q123" s="367">
        <v>29</v>
      </c>
      <c r="R123" s="192">
        <v>29</v>
      </c>
      <c r="S123" s="184"/>
      <c r="T123" s="3">
        <v>0</v>
      </c>
      <c r="U123" s="3"/>
      <c r="V123" s="3"/>
      <c r="W123" s="3"/>
      <c r="X123" s="3"/>
      <c r="Y123" s="3"/>
      <c r="Z123" s="44">
        <f t="shared" si="13"/>
        <v>0</v>
      </c>
      <c r="AA123" s="3"/>
      <c r="AB123" s="3">
        <v>0</v>
      </c>
      <c r="AC123" s="3"/>
      <c r="AD123" s="3"/>
      <c r="AE123" s="3"/>
      <c r="AF123" s="3"/>
      <c r="AG123" s="3"/>
      <c r="AH123" s="44">
        <f t="shared" si="14"/>
        <v>0</v>
      </c>
      <c r="AI123" s="3"/>
      <c r="AJ123" s="3">
        <v>0</v>
      </c>
      <c r="AK123" s="3"/>
      <c r="AL123" s="3"/>
      <c r="AM123" s="3"/>
      <c r="AN123" s="3"/>
      <c r="AO123" s="3"/>
      <c r="AP123" s="44">
        <f t="shared" si="15"/>
        <v>0</v>
      </c>
      <c r="AQ123" s="3"/>
      <c r="AR123" s="3">
        <v>0</v>
      </c>
      <c r="AS123" s="3"/>
      <c r="AT123" s="3"/>
      <c r="AU123" s="3"/>
      <c r="AV123" s="3"/>
      <c r="AW123" s="3"/>
      <c r="AX123" s="44">
        <f t="shared" si="16"/>
        <v>0</v>
      </c>
      <c r="AY123" s="44">
        <f t="shared" si="17"/>
        <v>0</v>
      </c>
      <c r="AZ123" s="44">
        <f t="shared" si="18"/>
        <v>0</v>
      </c>
      <c r="BA123" s="44">
        <f t="shared" si="19"/>
        <v>0</v>
      </c>
      <c r="BB123" s="44">
        <f t="shared" si="20"/>
        <v>0</v>
      </c>
      <c r="BC123" s="44">
        <f t="shared" si="21"/>
        <v>0</v>
      </c>
      <c r="BD123" s="44">
        <f t="shared" si="22"/>
        <v>0</v>
      </c>
      <c r="BE123" s="44">
        <f t="shared" si="23"/>
        <v>0</v>
      </c>
      <c r="BF123" s="83">
        <f t="shared" si="24"/>
        <v>0</v>
      </c>
      <c r="BG123" s="47"/>
      <c r="BH123" s="47"/>
      <c r="BI123" s="90"/>
      <c r="BJ123" s="90"/>
      <c r="BK123" s="90"/>
      <c r="BL123" s="90"/>
      <c r="BM123" s="90"/>
      <c r="BN123" s="90"/>
      <c r="BO123" s="90"/>
      <c r="BP123" s="90"/>
      <c r="BQ123" s="90"/>
      <c r="BR123" s="90"/>
      <c r="BS123" s="90"/>
      <c r="BT123" s="90"/>
      <c r="BU123" s="90"/>
    </row>
    <row r="124" spans="1:73" s="91" customFormat="1" ht="94.5" x14ac:dyDescent="0.25">
      <c r="A124" s="707"/>
      <c r="B124" s="627"/>
      <c r="C124" s="627"/>
      <c r="D124" s="620" t="s">
        <v>167</v>
      </c>
      <c r="E124" s="620" t="s">
        <v>597</v>
      </c>
      <c r="F124" s="608">
        <v>37</v>
      </c>
      <c r="G124" s="608">
        <v>37</v>
      </c>
      <c r="H124" s="603"/>
      <c r="I124" s="603"/>
      <c r="J124" s="603"/>
      <c r="K124" s="354" t="s">
        <v>168</v>
      </c>
      <c r="L124" s="357" t="s">
        <v>169</v>
      </c>
      <c r="M124" s="367">
        <v>29</v>
      </c>
      <c r="N124" s="367">
        <v>29</v>
      </c>
      <c r="O124" s="367">
        <v>29</v>
      </c>
      <c r="P124" s="367">
        <v>29</v>
      </c>
      <c r="Q124" s="367">
        <v>29</v>
      </c>
      <c r="R124" s="192">
        <v>29</v>
      </c>
      <c r="S124" s="184"/>
      <c r="T124" s="3">
        <v>16</v>
      </c>
      <c r="U124" s="3"/>
      <c r="V124" s="3"/>
      <c r="W124" s="3"/>
      <c r="X124" s="3"/>
      <c r="Y124" s="3"/>
      <c r="Z124" s="44">
        <f t="shared" si="13"/>
        <v>16</v>
      </c>
      <c r="AA124" s="3"/>
      <c r="AB124" s="3">
        <v>16</v>
      </c>
      <c r="AC124" s="3"/>
      <c r="AD124" s="3"/>
      <c r="AE124" s="3"/>
      <c r="AF124" s="3"/>
      <c r="AG124" s="3"/>
      <c r="AH124" s="44">
        <f t="shared" si="14"/>
        <v>16</v>
      </c>
      <c r="AI124" s="3"/>
      <c r="AJ124" s="3">
        <v>16</v>
      </c>
      <c r="AK124" s="3"/>
      <c r="AL124" s="3"/>
      <c r="AM124" s="3"/>
      <c r="AN124" s="3"/>
      <c r="AO124" s="3"/>
      <c r="AP124" s="44">
        <f t="shared" si="15"/>
        <v>16</v>
      </c>
      <c r="AQ124" s="3"/>
      <c r="AR124" s="3">
        <v>16</v>
      </c>
      <c r="AS124" s="3"/>
      <c r="AT124" s="3"/>
      <c r="AU124" s="3"/>
      <c r="AV124" s="3"/>
      <c r="AW124" s="3"/>
      <c r="AX124" s="44">
        <f t="shared" si="16"/>
        <v>16</v>
      </c>
      <c r="AY124" s="44">
        <f t="shared" si="17"/>
        <v>0</v>
      </c>
      <c r="AZ124" s="44">
        <f t="shared" si="18"/>
        <v>64</v>
      </c>
      <c r="BA124" s="44">
        <f t="shared" si="19"/>
        <v>0</v>
      </c>
      <c r="BB124" s="44">
        <f t="shared" si="20"/>
        <v>0</v>
      </c>
      <c r="BC124" s="44">
        <f t="shared" si="21"/>
        <v>0</v>
      </c>
      <c r="BD124" s="44">
        <f t="shared" si="22"/>
        <v>0</v>
      </c>
      <c r="BE124" s="44">
        <f t="shared" si="23"/>
        <v>0</v>
      </c>
      <c r="BF124" s="83">
        <f t="shared" si="24"/>
        <v>64</v>
      </c>
      <c r="BG124" s="47"/>
      <c r="BH124" s="47"/>
      <c r="BI124" s="90"/>
      <c r="BJ124" s="90"/>
      <c r="BK124" s="90"/>
      <c r="BL124" s="90"/>
      <c r="BM124" s="90"/>
      <c r="BN124" s="90"/>
      <c r="BO124" s="90"/>
      <c r="BP124" s="90"/>
      <c r="BQ124" s="90"/>
      <c r="BR124" s="90"/>
      <c r="BS124" s="90"/>
      <c r="BT124" s="90"/>
      <c r="BU124" s="90"/>
    </row>
    <row r="125" spans="1:73" s="91" customFormat="1" ht="81" x14ac:dyDescent="0.25">
      <c r="A125" s="707"/>
      <c r="B125" s="627"/>
      <c r="C125" s="627"/>
      <c r="D125" s="620"/>
      <c r="E125" s="620"/>
      <c r="F125" s="608"/>
      <c r="G125" s="608"/>
      <c r="H125" s="603"/>
      <c r="I125" s="603"/>
      <c r="J125" s="603"/>
      <c r="K125" s="354" t="s">
        <v>675</v>
      </c>
      <c r="L125" s="357" t="s">
        <v>662</v>
      </c>
      <c r="M125" s="367">
        <v>29</v>
      </c>
      <c r="N125" s="367">
        <v>29</v>
      </c>
      <c r="O125" s="367">
        <v>29</v>
      </c>
      <c r="P125" s="367">
        <v>29</v>
      </c>
      <c r="Q125" s="367">
        <v>29</v>
      </c>
      <c r="R125" s="192">
        <v>29</v>
      </c>
      <c r="S125" s="184"/>
      <c r="T125" s="3">
        <v>45</v>
      </c>
      <c r="U125" s="3"/>
      <c r="V125" s="3"/>
      <c r="W125" s="3"/>
      <c r="X125" s="3"/>
      <c r="Y125" s="3"/>
      <c r="Z125" s="44">
        <f t="shared" si="13"/>
        <v>45</v>
      </c>
      <c r="AA125" s="3"/>
      <c r="AB125" s="3">
        <v>45</v>
      </c>
      <c r="AC125" s="3"/>
      <c r="AD125" s="3"/>
      <c r="AE125" s="3"/>
      <c r="AF125" s="3"/>
      <c r="AG125" s="3"/>
      <c r="AH125" s="44">
        <f t="shared" si="14"/>
        <v>45</v>
      </c>
      <c r="AI125" s="3"/>
      <c r="AJ125" s="3">
        <v>45</v>
      </c>
      <c r="AK125" s="3"/>
      <c r="AL125" s="3"/>
      <c r="AM125" s="3"/>
      <c r="AN125" s="3"/>
      <c r="AO125" s="3"/>
      <c r="AP125" s="44">
        <f t="shared" si="15"/>
        <v>45</v>
      </c>
      <c r="AQ125" s="3"/>
      <c r="AR125" s="3">
        <v>45</v>
      </c>
      <c r="AS125" s="3"/>
      <c r="AT125" s="3"/>
      <c r="AU125" s="3"/>
      <c r="AV125" s="3"/>
      <c r="AW125" s="3"/>
      <c r="AX125" s="44">
        <f t="shared" si="16"/>
        <v>45</v>
      </c>
      <c r="AY125" s="44">
        <f t="shared" si="17"/>
        <v>0</v>
      </c>
      <c r="AZ125" s="44">
        <f t="shared" si="18"/>
        <v>180</v>
      </c>
      <c r="BA125" s="44">
        <f t="shared" si="19"/>
        <v>0</v>
      </c>
      <c r="BB125" s="44">
        <f t="shared" si="20"/>
        <v>0</v>
      </c>
      <c r="BC125" s="44">
        <f t="shared" si="21"/>
        <v>0</v>
      </c>
      <c r="BD125" s="44">
        <f t="shared" si="22"/>
        <v>0</v>
      </c>
      <c r="BE125" s="44">
        <f t="shared" si="23"/>
        <v>0</v>
      </c>
      <c r="BF125" s="83">
        <f t="shared" si="24"/>
        <v>180</v>
      </c>
      <c r="BG125" s="47"/>
      <c r="BH125" s="47"/>
      <c r="BI125" s="90"/>
      <c r="BJ125" s="90"/>
      <c r="BK125" s="90"/>
      <c r="BL125" s="90"/>
      <c r="BM125" s="90"/>
      <c r="BN125" s="90"/>
      <c r="BO125" s="90"/>
      <c r="BP125" s="90"/>
      <c r="BQ125" s="90"/>
      <c r="BR125" s="90"/>
      <c r="BS125" s="90"/>
      <c r="BT125" s="90"/>
      <c r="BU125" s="90"/>
    </row>
    <row r="126" spans="1:73" s="91" customFormat="1" ht="94.5" x14ac:dyDescent="0.25">
      <c r="A126" s="707"/>
      <c r="B126" s="627"/>
      <c r="C126" s="627"/>
      <c r="D126" s="620"/>
      <c r="E126" s="620"/>
      <c r="F126" s="608"/>
      <c r="G126" s="608"/>
      <c r="H126" s="603"/>
      <c r="I126" s="603"/>
      <c r="J126" s="603"/>
      <c r="K126" s="354" t="s">
        <v>663</v>
      </c>
      <c r="L126" s="357" t="s">
        <v>664</v>
      </c>
      <c r="M126" s="367">
        <v>1</v>
      </c>
      <c r="N126" s="367">
        <v>1</v>
      </c>
      <c r="O126" s="367">
        <v>1</v>
      </c>
      <c r="P126" s="367">
        <v>1</v>
      </c>
      <c r="Q126" s="367">
        <v>1</v>
      </c>
      <c r="R126" s="192">
        <v>1</v>
      </c>
      <c r="S126" s="184"/>
      <c r="T126" s="3">
        <v>40</v>
      </c>
      <c r="U126" s="3"/>
      <c r="V126" s="3"/>
      <c r="W126" s="3"/>
      <c r="X126" s="3"/>
      <c r="Y126" s="3"/>
      <c r="Z126" s="44">
        <f t="shared" si="13"/>
        <v>40</v>
      </c>
      <c r="AA126" s="3"/>
      <c r="AB126" s="3">
        <v>40</v>
      </c>
      <c r="AC126" s="3"/>
      <c r="AD126" s="3"/>
      <c r="AE126" s="3"/>
      <c r="AF126" s="3"/>
      <c r="AG126" s="3"/>
      <c r="AH126" s="44">
        <f t="shared" si="14"/>
        <v>40</v>
      </c>
      <c r="AI126" s="3"/>
      <c r="AJ126" s="3">
        <v>40</v>
      </c>
      <c r="AK126" s="3"/>
      <c r="AL126" s="3"/>
      <c r="AM126" s="3"/>
      <c r="AN126" s="3"/>
      <c r="AO126" s="3"/>
      <c r="AP126" s="44">
        <f t="shared" si="15"/>
        <v>40</v>
      </c>
      <c r="AQ126" s="3"/>
      <c r="AR126" s="3">
        <v>40</v>
      </c>
      <c r="AS126" s="3"/>
      <c r="AT126" s="3"/>
      <c r="AU126" s="3"/>
      <c r="AV126" s="3"/>
      <c r="AW126" s="3"/>
      <c r="AX126" s="44">
        <f t="shared" si="16"/>
        <v>40</v>
      </c>
      <c r="AY126" s="44">
        <f t="shared" si="17"/>
        <v>0</v>
      </c>
      <c r="AZ126" s="44">
        <f t="shared" si="18"/>
        <v>160</v>
      </c>
      <c r="BA126" s="44">
        <f t="shared" si="19"/>
        <v>0</v>
      </c>
      <c r="BB126" s="44">
        <f t="shared" si="20"/>
        <v>0</v>
      </c>
      <c r="BC126" s="44">
        <f t="shared" si="21"/>
        <v>0</v>
      </c>
      <c r="BD126" s="44">
        <f t="shared" si="22"/>
        <v>0</v>
      </c>
      <c r="BE126" s="44">
        <f t="shared" si="23"/>
        <v>0</v>
      </c>
      <c r="BF126" s="83">
        <f t="shared" si="24"/>
        <v>160</v>
      </c>
      <c r="BG126" s="47"/>
      <c r="BH126" s="47"/>
      <c r="BI126" s="90"/>
      <c r="BJ126" s="90"/>
      <c r="BK126" s="90"/>
      <c r="BL126" s="90"/>
      <c r="BM126" s="90"/>
      <c r="BN126" s="90"/>
      <c r="BO126" s="90"/>
      <c r="BP126" s="90"/>
      <c r="BQ126" s="90"/>
      <c r="BR126" s="90"/>
      <c r="BS126" s="90"/>
      <c r="BT126" s="90"/>
      <c r="BU126" s="90"/>
    </row>
    <row r="127" spans="1:73" s="91" customFormat="1" ht="81" x14ac:dyDescent="0.25">
      <c r="A127" s="707"/>
      <c r="B127" s="627"/>
      <c r="C127" s="627"/>
      <c r="D127" s="620"/>
      <c r="E127" s="620"/>
      <c r="F127" s="608"/>
      <c r="G127" s="608"/>
      <c r="H127" s="603"/>
      <c r="I127" s="603"/>
      <c r="J127" s="603"/>
      <c r="K127" s="354" t="s">
        <v>665</v>
      </c>
      <c r="L127" s="357" t="s">
        <v>585</v>
      </c>
      <c r="M127" s="367">
        <v>29</v>
      </c>
      <c r="N127" s="367">
        <v>29</v>
      </c>
      <c r="O127" s="367">
        <v>29</v>
      </c>
      <c r="P127" s="367">
        <v>29</v>
      </c>
      <c r="Q127" s="367">
        <v>29</v>
      </c>
      <c r="R127" s="192">
        <v>29</v>
      </c>
      <c r="S127" s="184"/>
      <c r="T127" s="3">
        <v>90</v>
      </c>
      <c r="U127" s="3"/>
      <c r="V127" s="3"/>
      <c r="W127" s="3"/>
      <c r="X127" s="3"/>
      <c r="Y127" s="3"/>
      <c r="Z127" s="44">
        <f t="shared" si="13"/>
        <v>90</v>
      </c>
      <c r="AA127" s="3"/>
      <c r="AB127" s="3">
        <v>90</v>
      </c>
      <c r="AC127" s="3"/>
      <c r="AD127" s="3"/>
      <c r="AE127" s="3"/>
      <c r="AF127" s="3"/>
      <c r="AG127" s="3"/>
      <c r="AH127" s="44">
        <f t="shared" si="14"/>
        <v>90</v>
      </c>
      <c r="AI127" s="3"/>
      <c r="AJ127" s="3">
        <v>90</v>
      </c>
      <c r="AK127" s="3"/>
      <c r="AL127" s="3"/>
      <c r="AM127" s="3"/>
      <c r="AN127" s="3"/>
      <c r="AO127" s="3"/>
      <c r="AP127" s="44">
        <f t="shared" si="15"/>
        <v>90</v>
      </c>
      <c r="AQ127" s="3"/>
      <c r="AR127" s="3">
        <v>90</v>
      </c>
      <c r="AS127" s="3"/>
      <c r="AT127" s="3"/>
      <c r="AU127" s="3"/>
      <c r="AV127" s="3"/>
      <c r="AW127" s="3"/>
      <c r="AX127" s="44">
        <f t="shared" si="16"/>
        <v>90</v>
      </c>
      <c r="AY127" s="44">
        <f t="shared" si="17"/>
        <v>0</v>
      </c>
      <c r="AZ127" s="44">
        <f t="shared" si="18"/>
        <v>360</v>
      </c>
      <c r="BA127" s="44">
        <f t="shared" si="19"/>
        <v>0</v>
      </c>
      <c r="BB127" s="44">
        <f t="shared" si="20"/>
        <v>0</v>
      </c>
      <c r="BC127" s="44">
        <f t="shared" si="21"/>
        <v>0</v>
      </c>
      <c r="BD127" s="44">
        <f t="shared" si="22"/>
        <v>0</v>
      </c>
      <c r="BE127" s="44">
        <f t="shared" si="23"/>
        <v>0</v>
      </c>
      <c r="BF127" s="83">
        <f t="shared" si="24"/>
        <v>360</v>
      </c>
      <c r="BG127" s="47"/>
      <c r="BH127" s="47"/>
      <c r="BI127" s="90"/>
      <c r="BJ127" s="90"/>
      <c r="BK127" s="90"/>
      <c r="BL127" s="90"/>
      <c r="BM127" s="90"/>
      <c r="BN127" s="90"/>
      <c r="BO127" s="90"/>
      <c r="BP127" s="90"/>
      <c r="BQ127" s="90"/>
      <c r="BR127" s="90"/>
      <c r="BS127" s="90"/>
      <c r="BT127" s="90"/>
      <c r="BU127" s="90"/>
    </row>
    <row r="128" spans="1:73" s="91" customFormat="1" ht="108" x14ac:dyDescent="0.25">
      <c r="A128" s="707"/>
      <c r="B128" s="627"/>
      <c r="C128" s="627"/>
      <c r="D128" s="620" t="s">
        <v>170</v>
      </c>
      <c r="E128" s="620" t="s">
        <v>345</v>
      </c>
      <c r="F128" s="608">
        <v>2.37</v>
      </c>
      <c r="G128" s="608">
        <v>2.37</v>
      </c>
      <c r="H128" s="603"/>
      <c r="I128" s="603"/>
      <c r="J128" s="603"/>
      <c r="K128" s="354" t="s">
        <v>171</v>
      </c>
      <c r="L128" s="357" t="s">
        <v>664</v>
      </c>
      <c r="M128" s="367">
        <v>1</v>
      </c>
      <c r="N128" s="367">
        <v>1</v>
      </c>
      <c r="O128" s="367">
        <v>1</v>
      </c>
      <c r="P128" s="367">
        <v>1</v>
      </c>
      <c r="Q128" s="367">
        <v>1</v>
      </c>
      <c r="R128" s="192">
        <v>1</v>
      </c>
      <c r="S128" s="184"/>
      <c r="T128" s="3">
        <v>70</v>
      </c>
      <c r="U128" s="3"/>
      <c r="V128" s="3"/>
      <c r="W128" s="3"/>
      <c r="X128" s="3"/>
      <c r="Y128" s="3"/>
      <c r="Z128" s="44">
        <f t="shared" si="13"/>
        <v>70</v>
      </c>
      <c r="AA128" s="3"/>
      <c r="AB128" s="3">
        <v>70</v>
      </c>
      <c r="AC128" s="3"/>
      <c r="AD128" s="3"/>
      <c r="AE128" s="3"/>
      <c r="AF128" s="3"/>
      <c r="AG128" s="3"/>
      <c r="AH128" s="44">
        <f t="shared" si="14"/>
        <v>70</v>
      </c>
      <c r="AI128" s="3"/>
      <c r="AJ128" s="3">
        <v>70</v>
      </c>
      <c r="AK128" s="3"/>
      <c r="AL128" s="3"/>
      <c r="AM128" s="3"/>
      <c r="AN128" s="3"/>
      <c r="AO128" s="3"/>
      <c r="AP128" s="44">
        <f t="shared" si="15"/>
        <v>70</v>
      </c>
      <c r="AQ128" s="3"/>
      <c r="AR128" s="3">
        <v>70</v>
      </c>
      <c r="AS128" s="3"/>
      <c r="AT128" s="3"/>
      <c r="AU128" s="3"/>
      <c r="AV128" s="3"/>
      <c r="AW128" s="3"/>
      <c r="AX128" s="44">
        <f t="shared" si="16"/>
        <v>70</v>
      </c>
      <c r="AY128" s="44">
        <f t="shared" si="17"/>
        <v>0</v>
      </c>
      <c r="AZ128" s="44">
        <f t="shared" si="18"/>
        <v>280</v>
      </c>
      <c r="BA128" s="44">
        <f t="shared" si="19"/>
        <v>0</v>
      </c>
      <c r="BB128" s="44">
        <f t="shared" si="20"/>
        <v>0</v>
      </c>
      <c r="BC128" s="44">
        <f t="shared" si="21"/>
        <v>0</v>
      </c>
      <c r="BD128" s="44">
        <f t="shared" si="22"/>
        <v>0</v>
      </c>
      <c r="BE128" s="44">
        <f t="shared" si="23"/>
        <v>0</v>
      </c>
      <c r="BF128" s="83">
        <f t="shared" si="24"/>
        <v>280</v>
      </c>
      <c r="BG128" s="47"/>
      <c r="BH128" s="47"/>
      <c r="BI128" s="90"/>
      <c r="BJ128" s="90"/>
      <c r="BK128" s="90"/>
      <c r="BL128" s="90"/>
      <c r="BM128" s="90"/>
      <c r="BN128" s="90"/>
      <c r="BO128" s="90"/>
      <c r="BP128" s="90"/>
      <c r="BQ128" s="90"/>
      <c r="BR128" s="90"/>
      <c r="BS128" s="90"/>
      <c r="BT128" s="90"/>
      <c r="BU128" s="90"/>
    </row>
    <row r="129" spans="1:73" s="91" customFormat="1" ht="94.5" x14ac:dyDescent="0.25">
      <c r="A129" s="707"/>
      <c r="B129" s="627"/>
      <c r="C129" s="627"/>
      <c r="D129" s="620"/>
      <c r="E129" s="620"/>
      <c r="F129" s="608"/>
      <c r="G129" s="608"/>
      <c r="H129" s="603"/>
      <c r="I129" s="603"/>
      <c r="J129" s="603"/>
      <c r="K129" s="354" t="s">
        <v>172</v>
      </c>
      <c r="L129" s="357" t="s">
        <v>676</v>
      </c>
      <c r="M129" s="367">
        <v>29</v>
      </c>
      <c r="N129" s="367">
        <v>29</v>
      </c>
      <c r="O129" s="367">
        <v>29</v>
      </c>
      <c r="P129" s="367">
        <v>29</v>
      </c>
      <c r="Q129" s="367">
        <v>29</v>
      </c>
      <c r="R129" s="192">
        <v>29</v>
      </c>
      <c r="S129" s="184"/>
      <c r="T129" s="3">
        <v>15</v>
      </c>
      <c r="U129" s="3"/>
      <c r="V129" s="3"/>
      <c r="W129" s="3"/>
      <c r="X129" s="3"/>
      <c r="Y129" s="3"/>
      <c r="Z129" s="44">
        <f t="shared" si="13"/>
        <v>15</v>
      </c>
      <c r="AA129" s="3"/>
      <c r="AB129" s="3">
        <v>15</v>
      </c>
      <c r="AC129" s="3"/>
      <c r="AD129" s="3"/>
      <c r="AE129" s="3"/>
      <c r="AF129" s="3"/>
      <c r="AG129" s="3"/>
      <c r="AH129" s="44">
        <f t="shared" si="14"/>
        <v>15</v>
      </c>
      <c r="AI129" s="3"/>
      <c r="AJ129" s="3">
        <v>15</v>
      </c>
      <c r="AK129" s="3"/>
      <c r="AL129" s="3"/>
      <c r="AM129" s="3"/>
      <c r="AN129" s="3"/>
      <c r="AO129" s="3"/>
      <c r="AP129" s="44">
        <f t="shared" si="15"/>
        <v>15</v>
      </c>
      <c r="AQ129" s="3"/>
      <c r="AR129" s="3">
        <v>15</v>
      </c>
      <c r="AS129" s="3"/>
      <c r="AT129" s="3"/>
      <c r="AU129" s="3"/>
      <c r="AV129" s="3"/>
      <c r="AW129" s="3"/>
      <c r="AX129" s="44">
        <f t="shared" si="16"/>
        <v>15</v>
      </c>
      <c r="AY129" s="44">
        <f t="shared" si="17"/>
        <v>0</v>
      </c>
      <c r="AZ129" s="44">
        <f t="shared" si="18"/>
        <v>60</v>
      </c>
      <c r="BA129" s="44">
        <f t="shared" si="19"/>
        <v>0</v>
      </c>
      <c r="BB129" s="44">
        <f t="shared" si="20"/>
        <v>0</v>
      </c>
      <c r="BC129" s="44">
        <f t="shared" si="21"/>
        <v>0</v>
      </c>
      <c r="BD129" s="44">
        <f t="shared" si="22"/>
        <v>0</v>
      </c>
      <c r="BE129" s="44">
        <f t="shared" si="23"/>
        <v>0</v>
      </c>
      <c r="BF129" s="83">
        <f t="shared" si="24"/>
        <v>60</v>
      </c>
      <c r="BG129" s="47"/>
      <c r="BH129" s="47"/>
      <c r="BI129" s="90"/>
      <c r="BJ129" s="90"/>
      <c r="BK129" s="90"/>
      <c r="BL129" s="90"/>
      <c r="BM129" s="90"/>
      <c r="BN129" s="90"/>
      <c r="BO129" s="90"/>
      <c r="BP129" s="90"/>
      <c r="BQ129" s="90"/>
      <c r="BR129" s="90"/>
      <c r="BS129" s="90"/>
      <c r="BT129" s="90"/>
      <c r="BU129" s="90"/>
    </row>
    <row r="130" spans="1:73" s="91" customFormat="1" ht="40.5" x14ac:dyDescent="0.25">
      <c r="A130" s="707"/>
      <c r="B130" s="627"/>
      <c r="C130" s="627"/>
      <c r="D130" s="620"/>
      <c r="E130" s="620"/>
      <c r="F130" s="608"/>
      <c r="G130" s="608"/>
      <c r="H130" s="603"/>
      <c r="I130" s="603"/>
      <c r="J130" s="603"/>
      <c r="K130" s="4" t="s">
        <v>173</v>
      </c>
      <c r="L130" s="82" t="s">
        <v>174</v>
      </c>
      <c r="M130" s="3">
        <v>29</v>
      </c>
      <c r="N130" s="5">
        <v>29</v>
      </c>
      <c r="O130" s="5">
        <v>29</v>
      </c>
      <c r="P130" s="5">
        <v>29</v>
      </c>
      <c r="Q130" s="5">
        <v>29</v>
      </c>
      <c r="R130" s="193">
        <v>29</v>
      </c>
      <c r="S130" s="184"/>
      <c r="T130" s="3">
        <v>17</v>
      </c>
      <c r="U130" s="3"/>
      <c r="V130" s="3"/>
      <c r="W130" s="3"/>
      <c r="X130" s="3"/>
      <c r="Y130" s="3"/>
      <c r="Z130" s="44">
        <f t="shared" si="13"/>
        <v>17</v>
      </c>
      <c r="AA130" s="3"/>
      <c r="AB130" s="3">
        <v>17</v>
      </c>
      <c r="AC130" s="3"/>
      <c r="AD130" s="3"/>
      <c r="AE130" s="3"/>
      <c r="AF130" s="3"/>
      <c r="AG130" s="3"/>
      <c r="AH130" s="44">
        <f t="shared" si="14"/>
        <v>17</v>
      </c>
      <c r="AI130" s="3"/>
      <c r="AJ130" s="3">
        <v>17</v>
      </c>
      <c r="AK130" s="3"/>
      <c r="AL130" s="3"/>
      <c r="AM130" s="3"/>
      <c r="AN130" s="3"/>
      <c r="AO130" s="3"/>
      <c r="AP130" s="44">
        <f t="shared" si="15"/>
        <v>17</v>
      </c>
      <c r="AQ130" s="3"/>
      <c r="AR130" s="3">
        <v>17</v>
      </c>
      <c r="AS130" s="3"/>
      <c r="AT130" s="3"/>
      <c r="AU130" s="3"/>
      <c r="AV130" s="3"/>
      <c r="AW130" s="3"/>
      <c r="AX130" s="44">
        <f t="shared" si="16"/>
        <v>17</v>
      </c>
      <c r="AY130" s="44">
        <f t="shared" si="17"/>
        <v>0</v>
      </c>
      <c r="AZ130" s="44">
        <f t="shared" si="18"/>
        <v>68</v>
      </c>
      <c r="BA130" s="44">
        <f t="shared" si="19"/>
        <v>0</v>
      </c>
      <c r="BB130" s="44">
        <f t="shared" si="20"/>
        <v>0</v>
      </c>
      <c r="BC130" s="44">
        <f t="shared" si="21"/>
        <v>0</v>
      </c>
      <c r="BD130" s="44">
        <f t="shared" si="22"/>
        <v>0</v>
      </c>
      <c r="BE130" s="44">
        <f t="shared" si="23"/>
        <v>0</v>
      </c>
      <c r="BF130" s="83">
        <f t="shared" si="24"/>
        <v>68</v>
      </c>
      <c r="BG130" s="47"/>
      <c r="BH130" s="47"/>
      <c r="BI130" s="90"/>
      <c r="BJ130" s="90"/>
      <c r="BK130" s="90"/>
      <c r="BL130" s="90"/>
      <c r="BM130" s="90"/>
      <c r="BN130" s="90"/>
      <c r="BO130" s="90"/>
      <c r="BP130" s="90"/>
      <c r="BQ130" s="90"/>
      <c r="BR130" s="90"/>
      <c r="BS130" s="90"/>
      <c r="BT130" s="90"/>
      <c r="BU130" s="90"/>
    </row>
    <row r="131" spans="1:73" s="91" customFormat="1" ht="54" x14ac:dyDescent="0.25">
      <c r="A131" s="707"/>
      <c r="B131" s="627"/>
      <c r="C131" s="627"/>
      <c r="D131" s="620"/>
      <c r="E131" s="620"/>
      <c r="F131" s="608"/>
      <c r="G131" s="608"/>
      <c r="H131" s="603"/>
      <c r="I131" s="603"/>
      <c r="J131" s="603"/>
      <c r="K131" s="354" t="s">
        <v>175</v>
      </c>
      <c r="L131" s="357" t="s">
        <v>666</v>
      </c>
      <c r="M131" s="367">
        <v>29</v>
      </c>
      <c r="N131" s="367">
        <v>29</v>
      </c>
      <c r="O131" s="367">
        <v>29</v>
      </c>
      <c r="P131" s="367">
        <v>29</v>
      </c>
      <c r="Q131" s="367">
        <v>29</v>
      </c>
      <c r="R131" s="192">
        <v>29</v>
      </c>
      <c r="S131" s="184"/>
      <c r="T131" s="3">
        <v>75</v>
      </c>
      <c r="U131" s="3"/>
      <c r="V131" s="3"/>
      <c r="W131" s="3"/>
      <c r="X131" s="3"/>
      <c r="Y131" s="3"/>
      <c r="Z131" s="44">
        <f t="shared" si="13"/>
        <v>75</v>
      </c>
      <c r="AA131" s="3"/>
      <c r="AB131" s="3">
        <v>75</v>
      </c>
      <c r="AC131" s="3"/>
      <c r="AD131" s="3"/>
      <c r="AE131" s="3"/>
      <c r="AF131" s="3"/>
      <c r="AG131" s="3"/>
      <c r="AH131" s="44">
        <f t="shared" si="14"/>
        <v>75</v>
      </c>
      <c r="AI131" s="3"/>
      <c r="AJ131" s="3">
        <v>75</v>
      </c>
      <c r="AK131" s="3"/>
      <c r="AL131" s="3"/>
      <c r="AM131" s="3"/>
      <c r="AN131" s="3"/>
      <c r="AO131" s="3"/>
      <c r="AP131" s="44">
        <f t="shared" si="15"/>
        <v>75</v>
      </c>
      <c r="AQ131" s="3"/>
      <c r="AR131" s="3">
        <v>75</v>
      </c>
      <c r="AS131" s="3"/>
      <c r="AT131" s="3"/>
      <c r="AU131" s="3"/>
      <c r="AV131" s="3"/>
      <c r="AW131" s="3"/>
      <c r="AX131" s="44">
        <f t="shared" si="16"/>
        <v>75</v>
      </c>
      <c r="AY131" s="44">
        <f t="shared" si="17"/>
        <v>0</v>
      </c>
      <c r="AZ131" s="44">
        <f t="shared" si="18"/>
        <v>300</v>
      </c>
      <c r="BA131" s="44">
        <f t="shared" si="19"/>
        <v>0</v>
      </c>
      <c r="BB131" s="44">
        <f t="shared" si="20"/>
        <v>0</v>
      </c>
      <c r="BC131" s="44">
        <f t="shared" si="21"/>
        <v>0</v>
      </c>
      <c r="BD131" s="44">
        <f t="shared" si="22"/>
        <v>0</v>
      </c>
      <c r="BE131" s="44">
        <f t="shared" si="23"/>
        <v>0</v>
      </c>
      <c r="BF131" s="83">
        <f t="shared" si="24"/>
        <v>300</v>
      </c>
      <c r="BG131" s="47"/>
      <c r="BH131" s="47"/>
      <c r="BI131" s="90"/>
      <c r="BJ131" s="90"/>
      <c r="BK131" s="90"/>
      <c r="BL131" s="90"/>
      <c r="BM131" s="90"/>
      <c r="BN131" s="90"/>
      <c r="BO131" s="90"/>
      <c r="BP131" s="90"/>
      <c r="BQ131" s="90"/>
      <c r="BR131" s="90"/>
      <c r="BS131" s="90"/>
      <c r="BT131" s="90"/>
      <c r="BU131" s="90"/>
    </row>
    <row r="132" spans="1:73" s="91" customFormat="1" ht="40.5" x14ac:dyDescent="0.25">
      <c r="A132" s="707"/>
      <c r="B132" s="627"/>
      <c r="C132" s="627"/>
      <c r="D132" s="620" t="s">
        <v>586</v>
      </c>
      <c r="E132" s="620" t="s">
        <v>667</v>
      </c>
      <c r="F132" s="605">
        <v>27</v>
      </c>
      <c r="G132" s="631">
        <v>29</v>
      </c>
      <c r="H132" s="603"/>
      <c r="I132" s="603"/>
      <c r="J132" s="603"/>
      <c r="K132" s="354" t="s">
        <v>176</v>
      </c>
      <c r="L132" s="357" t="s">
        <v>664</v>
      </c>
      <c r="M132" s="367">
        <v>1</v>
      </c>
      <c r="N132" s="367">
        <v>1</v>
      </c>
      <c r="O132" s="367">
        <v>1</v>
      </c>
      <c r="P132" s="367">
        <v>1</v>
      </c>
      <c r="Q132" s="367">
        <v>1</v>
      </c>
      <c r="R132" s="192">
        <v>1</v>
      </c>
      <c r="S132" s="184"/>
      <c r="T132" s="3">
        <v>55</v>
      </c>
      <c r="U132" s="3"/>
      <c r="V132" s="3"/>
      <c r="W132" s="3"/>
      <c r="X132" s="3"/>
      <c r="Y132" s="3"/>
      <c r="Z132" s="44">
        <f t="shared" si="13"/>
        <v>55</v>
      </c>
      <c r="AA132" s="3"/>
      <c r="AB132" s="3">
        <v>55</v>
      </c>
      <c r="AC132" s="3"/>
      <c r="AD132" s="3"/>
      <c r="AE132" s="3"/>
      <c r="AF132" s="3"/>
      <c r="AG132" s="3"/>
      <c r="AH132" s="44">
        <f t="shared" si="14"/>
        <v>55</v>
      </c>
      <c r="AI132" s="3"/>
      <c r="AJ132" s="3">
        <v>55</v>
      </c>
      <c r="AK132" s="3"/>
      <c r="AL132" s="3"/>
      <c r="AM132" s="3"/>
      <c r="AN132" s="3"/>
      <c r="AO132" s="3"/>
      <c r="AP132" s="44">
        <f t="shared" si="15"/>
        <v>55</v>
      </c>
      <c r="AQ132" s="3"/>
      <c r="AR132" s="3">
        <v>55</v>
      </c>
      <c r="AS132" s="3"/>
      <c r="AT132" s="3"/>
      <c r="AU132" s="3"/>
      <c r="AV132" s="3"/>
      <c r="AW132" s="3"/>
      <c r="AX132" s="44">
        <f t="shared" si="16"/>
        <v>55</v>
      </c>
      <c r="AY132" s="44">
        <f t="shared" si="17"/>
        <v>0</v>
      </c>
      <c r="AZ132" s="44">
        <f t="shared" si="18"/>
        <v>220</v>
      </c>
      <c r="BA132" s="44">
        <f t="shared" si="19"/>
        <v>0</v>
      </c>
      <c r="BB132" s="44">
        <f t="shared" si="20"/>
        <v>0</v>
      </c>
      <c r="BC132" s="44">
        <f t="shared" si="21"/>
        <v>0</v>
      </c>
      <c r="BD132" s="44">
        <f t="shared" si="22"/>
        <v>0</v>
      </c>
      <c r="BE132" s="44">
        <f t="shared" si="23"/>
        <v>0</v>
      </c>
      <c r="BF132" s="83">
        <f t="shared" si="24"/>
        <v>220</v>
      </c>
      <c r="BG132" s="47"/>
      <c r="BH132" s="47"/>
      <c r="BI132" s="90"/>
      <c r="BJ132" s="90"/>
      <c r="BK132" s="90"/>
      <c r="BL132" s="90"/>
      <c r="BM132" s="90"/>
      <c r="BN132" s="90"/>
      <c r="BO132" s="90"/>
      <c r="BP132" s="90"/>
      <c r="BQ132" s="90"/>
      <c r="BR132" s="90"/>
      <c r="BS132" s="90"/>
      <c r="BT132" s="90"/>
      <c r="BU132" s="90"/>
    </row>
    <row r="133" spans="1:73" s="91" customFormat="1" ht="94.5" x14ac:dyDescent="0.25">
      <c r="A133" s="707"/>
      <c r="B133" s="627"/>
      <c r="C133" s="627"/>
      <c r="D133" s="620"/>
      <c r="E133" s="620"/>
      <c r="F133" s="605"/>
      <c r="G133" s="631"/>
      <c r="H133" s="603"/>
      <c r="I133" s="603"/>
      <c r="J133" s="603"/>
      <c r="K133" s="354" t="s">
        <v>177</v>
      </c>
      <c r="L133" s="357" t="s">
        <v>178</v>
      </c>
      <c r="M133" s="6">
        <v>29</v>
      </c>
      <c r="N133" s="6">
        <v>29</v>
      </c>
      <c r="O133" s="6">
        <v>29</v>
      </c>
      <c r="P133" s="6">
        <v>29</v>
      </c>
      <c r="Q133" s="6">
        <v>29</v>
      </c>
      <c r="R133" s="194">
        <v>29</v>
      </c>
      <c r="S133" s="184"/>
      <c r="T133" s="3">
        <v>15</v>
      </c>
      <c r="U133" s="3"/>
      <c r="V133" s="3"/>
      <c r="W133" s="3"/>
      <c r="X133" s="3"/>
      <c r="Y133" s="3"/>
      <c r="Z133" s="44">
        <f t="shared" si="13"/>
        <v>15</v>
      </c>
      <c r="AA133" s="3"/>
      <c r="AB133" s="3">
        <v>15</v>
      </c>
      <c r="AC133" s="3"/>
      <c r="AD133" s="3"/>
      <c r="AE133" s="3"/>
      <c r="AF133" s="3"/>
      <c r="AG133" s="3"/>
      <c r="AH133" s="44">
        <f t="shared" si="14"/>
        <v>15</v>
      </c>
      <c r="AI133" s="3"/>
      <c r="AJ133" s="3">
        <v>15</v>
      </c>
      <c r="AK133" s="3"/>
      <c r="AL133" s="3"/>
      <c r="AM133" s="3"/>
      <c r="AN133" s="3"/>
      <c r="AO133" s="3"/>
      <c r="AP133" s="44">
        <f t="shared" si="15"/>
        <v>15</v>
      </c>
      <c r="AQ133" s="3"/>
      <c r="AR133" s="3">
        <v>15</v>
      </c>
      <c r="AS133" s="3"/>
      <c r="AT133" s="3"/>
      <c r="AU133" s="3"/>
      <c r="AV133" s="3"/>
      <c r="AW133" s="3"/>
      <c r="AX133" s="44">
        <f t="shared" si="16"/>
        <v>15</v>
      </c>
      <c r="AY133" s="44">
        <f t="shared" si="17"/>
        <v>0</v>
      </c>
      <c r="AZ133" s="44">
        <f t="shared" si="18"/>
        <v>60</v>
      </c>
      <c r="BA133" s="44">
        <f t="shared" si="19"/>
        <v>0</v>
      </c>
      <c r="BB133" s="44">
        <f t="shared" si="20"/>
        <v>0</v>
      </c>
      <c r="BC133" s="44">
        <f t="shared" si="21"/>
        <v>0</v>
      </c>
      <c r="BD133" s="44">
        <f t="shared" si="22"/>
        <v>0</v>
      </c>
      <c r="BE133" s="44">
        <f t="shared" si="23"/>
        <v>0</v>
      </c>
      <c r="BF133" s="83">
        <f t="shared" si="24"/>
        <v>60</v>
      </c>
      <c r="BG133" s="47"/>
      <c r="BH133" s="47"/>
      <c r="BI133" s="90"/>
      <c r="BJ133" s="90"/>
      <c r="BK133" s="90"/>
      <c r="BL133" s="90"/>
      <c r="BM133" s="90"/>
      <c r="BN133" s="90"/>
      <c r="BO133" s="90"/>
      <c r="BP133" s="90"/>
      <c r="BQ133" s="90"/>
      <c r="BR133" s="90"/>
      <c r="BS133" s="90"/>
      <c r="BT133" s="90"/>
      <c r="BU133" s="90"/>
    </row>
    <row r="134" spans="1:73" s="91" customFormat="1" ht="40.5" x14ac:dyDescent="0.25">
      <c r="A134" s="707"/>
      <c r="B134" s="627"/>
      <c r="C134" s="627"/>
      <c r="D134" s="620"/>
      <c r="E134" s="620"/>
      <c r="F134" s="605"/>
      <c r="G134" s="631"/>
      <c r="H134" s="603"/>
      <c r="I134" s="603"/>
      <c r="J134" s="603"/>
      <c r="K134" s="4" t="s">
        <v>179</v>
      </c>
      <c r="L134" s="82" t="s">
        <v>180</v>
      </c>
      <c r="M134" s="3">
        <v>29</v>
      </c>
      <c r="N134" s="5">
        <v>29</v>
      </c>
      <c r="O134" s="5">
        <v>29</v>
      </c>
      <c r="P134" s="5">
        <v>29</v>
      </c>
      <c r="Q134" s="5">
        <v>29</v>
      </c>
      <c r="R134" s="193">
        <v>29</v>
      </c>
      <c r="S134" s="184"/>
      <c r="T134" s="3">
        <v>17</v>
      </c>
      <c r="U134" s="3"/>
      <c r="V134" s="3"/>
      <c r="W134" s="3"/>
      <c r="X134" s="3"/>
      <c r="Y134" s="3"/>
      <c r="Z134" s="44">
        <f t="shared" si="13"/>
        <v>17</v>
      </c>
      <c r="AA134" s="3"/>
      <c r="AB134" s="3">
        <v>17</v>
      </c>
      <c r="AC134" s="3"/>
      <c r="AD134" s="3"/>
      <c r="AE134" s="3"/>
      <c r="AF134" s="3"/>
      <c r="AG134" s="3"/>
      <c r="AH134" s="44">
        <f t="shared" si="14"/>
        <v>17</v>
      </c>
      <c r="AI134" s="3"/>
      <c r="AJ134" s="3">
        <v>17</v>
      </c>
      <c r="AK134" s="3"/>
      <c r="AL134" s="3"/>
      <c r="AM134" s="3"/>
      <c r="AN134" s="3"/>
      <c r="AO134" s="3"/>
      <c r="AP134" s="44">
        <f t="shared" si="15"/>
        <v>17</v>
      </c>
      <c r="AQ134" s="3"/>
      <c r="AR134" s="3">
        <v>17</v>
      </c>
      <c r="AS134" s="3"/>
      <c r="AT134" s="3"/>
      <c r="AU134" s="3"/>
      <c r="AV134" s="3"/>
      <c r="AW134" s="3"/>
      <c r="AX134" s="44">
        <f t="shared" si="16"/>
        <v>17</v>
      </c>
      <c r="AY134" s="44">
        <f t="shared" si="17"/>
        <v>0</v>
      </c>
      <c r="AZ134" s="44">
        <f t="shared" si="18"/>
        <v>68</v>
      </c>
      <c r="BA134" s="44">
        <f t="shared" si="19"/>
        <v>0</v>
      </c>
      <c r="BB134" s="44">
        <f t="shared" si="20"/>
        <v>0</v>
      </c>
      <c r="BC134" s="44">
        <f t="shared" si="21"/>
        <v>0</v>
      </c>
      <c r="BD134" s="44">
        <f t="shared" si="22"/>
        <v>0</v>
      </c>
      <c r="BE134" s="44">
        <f t="shared" si="23"/>
        <v>0</v>
      </c>
      <c r="BF134" s="83">
        <f t="shared" si="24"/>
        <v>68</v>
      </c>
      <c r="BG134" s="47"/>
      <c r="BH134" s="47"/>
      <c r="BI134" s="90"/>
      <c r="BJ134" s="90"/>
      <c r="BK134" s="90"/>
      <c r="BL134" s="90"/>
      <c r="BM134" s="90"/>
      <c r="BN134" s="90"/>
      <c r="BO134" s="90"/>
      <c r="BP134" s="90"/>
      <c r="BQ134" s="90"/>
      <c r="BR134" s="90"/>
      <c r="BS134" s="90"/>
      <c r="BT134" s="90"/>
      <c r="BU134" s="90"/>
    </row>
    <row r="135" spans="1:73" s="91" customFormat="1" ht="81" x14ac:dyDescent="0.25">
      <c r="A135" s="707"/>
      <c r="B135" s="627"/>
      <c r="C135" s="627"/>
      <c r="D135" s="620"/>
      <c r="E135" s="620"/>
      <c r="F135" s="605"/>
      <c r="G135" s="631"/>
      <c r="H135" s="603"/>
      <c r="I135" s="603"/>
      <c r="J135" s="603"/>
      <c r="K135" s="354" t="s">
        <v>181</v>
      </c>
      <c r="L135" s="357" t="s">
        <v>587</v>
      </c>
      <c r="M135" s="367">
        <v>29</v>
      </c>
      <c r="N135" s="367">
        <v>29</v>
      </c>
      <c r="O135" s="367">
        <v>29</v>
      </c>
      <c r="P135" s="367">
        <v>29</v>
      </c>
      <c r="Q135" s="367">
        <v>29</v>
      </c>
      <c r="R135" s="192">
        <v>29</v>
      </c>
      <c r="S135" s="184"/>
      <c r="T135" s="3">
        <v>75</v>
      </c>
      <c r="U135" s="3"/>
      <c r="V135" s="3"/>
      <c r="W135" s="3"/>
      <c r="X135" s="3"/>
      <c r="Y135" s="3"/>
      <c r="Z135" s="44">
        <f t="shared" ref="Z135:Z203" si="40">SUM(S135:Y135)</f>
        <v>75</v>
      </c>
      <c r="AA135" s="3"/>
      <c r="AB135" s="3">
        <v>75</v>
      </c>
      <c r="AC135" s="3"/>
      <c r="AD135" s="3"/>
      <c r="AE135" s="3"/>
      <c r="AF135" s="3"/>
      <c r="AG135" s="3"/>
      <c r="AH135" s="44">
        <f t="shared" ref="AH135:AH203" si="41">SUM(AA135:AG135)</f>
        <v>75</v>
      </c>
      <c r="AI135" s="3"/>
      <c r="AJ135" s="3">
        <v>75</v>
      </c>
      <c r="AK135" s="3"/>
      <c r="AL135" s="3"/>
      <c r="AM135" s="3"/>
      <c r="AN135" s="3"/>
      <c r="AO135" s="3"/>
      <c r="AP135" s="44">
        <f t="shared" ref="AP135:AP203" si="42">SUM(AI135:AO135)</f>
        <v>75</v>
      </c>
      <c r="AQ135" s="3"/>
      <c r="AR135" s="3">
        <v>75</v>
      </c>
      <c r="AS135" s="3"/>
      <c r="AT135" s="3"/>
      <c r="AU135" s="3"/>
      <c r="AV135" s="3"/>
      <c r="AW135" s="3"/>
      <c r="AX135" s="44">
        <f t="shared" ref="AX135:AX203" si="43">SUM(AQ135:AW135)</f>
        <v>75</v>
      </c>
      <c r="AY135" s="44">
        <f t="shared" ref="AY135:AY203" si="44">+S135+AA135+AI135+AQ135</f>
        <v>0</v>
      </c>
      <c r="AZ135" s="44">
        <f t="shared" ref="AZ135:AZ203" si="45">+T135+AB135+AJ135+AR135</f>
        <v>300</v>
      </c>
      <c r="BA135" s="44">
        <f t="shared" ref="BA135:BA203" si="46">+U135+AC135+AK135+AS135</f>
        <v>0</v>
      </c>
      <c r="BB135" s="44">
        <f t="shared" ref="BB135:BB203" si="47">+V135+AD135+AL135+AT135</f>
        <v>0</v>
      </c>
      <c r="BC135" s="44">
        <f t="shared" ref="BC135:BC203" si="48">+W135+AE135+AM135+AU135</f>
        <v>0</v>
      </c>
      <c r="BD135" s="44">
        <f t="shared" ref="BD135:BD203" si="49">+X135+AF135+AN135+AV135</f>
        <v>0</v>
      </c>
      <c r="BE135" s="44">
        <f t="shared" ref="BE135:BE203" si="50">+Y135+AG135+AO135+AW135</f>
        <v>0</v>
      </c>
      <c r="BF135" s="83">
        <f t="shared" ref="BF135:BF203" si="51">+AY135+AZ135+BA135+BB135+BC135+BD135+BE135:BE136</f>
        <v>300</v>
      </c>
      <c r="BG135" s="47"/>
      <c r="BH135" s="47"/>
      <c r="BI135" s="90"/>
      <c r="BJ135" s="90"/>
      <c r="BK135" s="90"/>
      <c r="BL135" s="90"/>
      <c r="BM135" s="90"/>
      <c r="BN135" s="90"/>
      <c r="BO135" s="90"/>
      <c r="BP135" s="90"/>
      <c r="BQ135" s="90"/>
      <c r="BR135" s="90"/>
      <c r="BS135" s="90"/>
      <c r="BT135" s="90"/>
      <c r="BU135" s="90"/>
    </row>
    <row r="136" spans="1:73" s="91" customFormat="1" ht="54" x14ac:dyDescent="0.25">
      <c r="A136" s="707"/>
      <c r="B136" s="627"/>
      <c r="C136" s="627"/>
      <c r="D136" s="603" t="s">
        <v>535</v>
      </c>
      <c r="E136" s="603" t="s">
        <v>536</v>
      </c>
      <c r="F136" s="614" t="s">
        <v>537</v>
      </c>
      <c r="G136" s="614">
        <v>0.8</v>
      </c>
      <c r="H136" s="603"/>
      <c r="I136" s="603"/>
      <c r="J136" s="603" t="s">
        <v>156</v>
      </c>
      <c r="K136" s="355" t="s">
        <v>538</v>
      </c>
      <c r="L136" s="379" t="s">
        <v>539</v>
      </c>
      <c r="M136" s="44">
        <v>5</v>
      </c>
      <c r="N136" s="49">
        <v>80</v>
      </c>
      <c r="O136" s="44">
        <v>20</v>
      </c>
      <c r="P136" s="44">
        <v>40</v>
      </c>
      <c r="Q136" s="44">
        <v>60</v>
      </c>
      <c r="R136" s="45">
        <v>80</v>
      </c>
      <c r="S136" s="185"/>
      <c r="T136" s="44"/>
      <c r="U136" s="44"/>
      <c r="V136" s="44"/>
      <c r="W136" s="44"/>
      <c r="X136" s="44"/>
      <c r="Y136" s="44"/>
      <c r="Z136" s="44">
        <f t="shared" si="40"/>
        <v>0</v>
      </c>
      <c r="AA136" s="44"/>
      <c r="AB136" s="44"/>
      <c r="AC136" s="44"/>
      <c r="AD136" s="44"/>
      <c r="AE136" s="44"/>
      <c r="AF136" s="44"/>
      <c r="AG136" s="44"/>
      <c r="AH136" s="44">
        <f t="shared" si="41"/>
        <v>0</v>
      </c>
      <c r="AI136" s="44"/>
      <c r="AJ136" s="44"/>
      <c r="AK136" s="44"/>
      <c r="AL136" s="44"/>
      <c r="AM136" s="44"/>
      <c r="AN136" s="44"/>
      <c r="AO136" s="44"/>
      <c r="AP136" s="44">
        <f t="shared" si="42"/>
        <v>0</v>
      </c>
      <c r="AQ136" s="44"/>
      <c r="AR136" s="44"/>
      <c r="AS136" s="44"/>
      <c r="AT136" s="44"/>
      <c r="AU136" s="44"/>
      <c r="AV136" s="44"/>
      <c r="AW136" s="44"/>
      <c r="AX136" s="44">
        <f t="shared" si="43"/>
        <v>0</v>
      </c>
      <c r="AY136" s="44">
        <f t="shared" si="44"/>
        <v>0</v>
      </c>
      <c r="AZ136" s="44">
        <f t="shared" si="45"/>
        <v>0</v>
      </c>
      <c r="BA136" s="44">
        <f t="shared" si="46"/>
        <v>0</v>
      </c>
      <c r="BB136" s="44">
        <f t="shared" si="47"/>
        <v>0</v>
      </c>
      <c r="BC136" s="44">
        <f t="shared" si="48"/>
        <v>0</v>
      </c>
      <c r="BD136" s="44">
        <f t="shared" si="49"/>
        <v>0</v>
      </c>
      <c r="BE136" s="44">
        <f t="shared" si="50"/>
        <v>0</v>
      </c>
      <c r="BF136" s="83">
        <f t="shared" si="51"/>
        <v>0</v>
      </c>
      <c r="BG136" s="47"/>
      <c r="BH136" s="47"/>
      <c r="BI136" s="90"/>
      <c r="BJ136" s="90"/>
      <c r="BK136" s="90"/>
      <c r="BL136" s="90"/>
      <c r="BM136" s="90"/>
      <c r="BN136" s="90"/>
      <c r="BO136" s="90"/>
      <c r="BP136" s="90"/>
      <c r="BQ136" s="90"/>
      <c r="BR136" s="90"/>
      <c r="BS136" s="90"/>
      <c r="BT136" s="90"/>
      <c r="BU136" s="90"/>
    </row>
    <row r="137" spans="1:73" s="91" customFormat="1" ht="81" x14ac:dyDescent="0.25">
      <c r="A137" s="707"/>
      <c r="B137" s="627"/>
      <c r="C137" s="627"/>
      <c r="D137" s="603"/>
      <c r="E137" s="603"/>
      <c r="F137" s="614"/>
      <c r="G137" s="614"/>
      <c r="H137" s="603"/>
      <c r="I137" s="603"/>
      <c r="J137" s="603"/>
      <c r="K137" s="355" t="s">
        <v>540</v>
      </c>
      <c r="L137" s="379" t="s">
        <v>541</v>
      </c>
      <c r="M137" s="44">
        <v>60</v>
      </c>
      <c r="N137" s="49">
        <v>80</v>
      </c>
      <c r="O137" s="44">
        <v>60</v>
      </c>
      <c r="P137" s="44">
        <v>70</v>
      </c>
      <c r="Q137" s="44">
        <v>75</v>
      </c>
      <c r="R137" s="45">
        <v>80</v>
      </c>
      <c r="S137" s="185"/>
      <c r="T137" s="44"/>
      <c r="U137" s="44"/>
      <c r="V137" s="44"/>
      <c r="W137" s="44"/>
      <c r="X137" s="44"/>
      <c r="Y137" s="44"/>
      <c r="Z137" s="44">
        <f t="shared" si="40"/>
        <v>0</v>
      </c>
      <c r="AA137" s="44"/>
      <c r="AB137" s="44"/>
      <c r="AC137" s="44"/>
      <c r="AD137" s="44"/>
      <c r="AE137" s="44"/>
      <c r="AF137" s="44"/>
      <c r="AG137" s="44"/>
      <c r="AH137" s="44">
        <f t="shared" si="41"/>
        <v>0</v>
      </c>
      <c r="AI137" s="44"/>
      <c r="AJ137" s="44"/>
      <c r="AK137" s="44"/>
      <c r="AL137" s="44"/>
      <c r="AM137" s="44"/>
      <c r="AN137" s="44"/>
      <c r="AO137" s="44"/>
      <c r="AP137" s="44">
        <f t="shared" si="42"/>
        <v>0</v>
      </c>
      <c r="AQ137" s="44"/>
      <c r="AR137" s="44"/>
      <c r="AS137" s="44"/>
      <c r="AT137" s="44"/>
      <c r="AU137" s="44"/>
      <c r="AV137" s="44"/>
      <c r="AW137" s="44"/>
      <c r="AX137" s="44">
        <f t="shared" si="43"/>
        <v>0</v>
      </c>
      <c r="AY137" s="44">
        <f t="shared" si="44"/>
        <v>0</v>
      </c>
      <c r="AZ137" s="44">
        <f t="shared" si="45"/>
        <v>0</v>
      </c>
      <c r="BA137" s="44">
        <f t="shared" si="46"/>
        <v>0</v>
      </c>
      <c r="BB137" s="44">
        <f t="shared" si="47"/>
        <v>0</v>
      </c>
      <c r="BC137" s="44">
        <f t="shared" si="48"/>
        <v>0</v>
      </c>
      <c r="BD137" s="44">
        <f t="shared" si="49"/>
        <v>0</v>
      </c>
      <c r="BE137" s="44">
        <f t="shared" si="50"/>
        <v>0</v>
      </c>
      <c r="BF137" s="83">
        <f t="shared" si="51"/>
        <v>0</v>
      </c>
      <c r="BG137" s="47"/>
      <c r="BH137" s="47"/>
      <c r="BI137" s="90"/>
      <c r="BJ137" s="90"/>
      <c r="BK137" s="90"/>
      <c r="BL137" s="90"/>
      <c r="BM137" s="90"/>
      <c r="BN137" s="90"/>
      <c r="BO137" s="90"/>
      <c r="BP137" s="90"/>
      <c r="BQ137" s="90"/>
      <c r="BR137" s="90"/>
      <c r="BS137" s="90"/>
      <c r="BT137" s="90"/>
      <c r="BU137" s="90"/>
    </row>
    <row r="138" spans="1:73" s="91" customFormat="1" ht="81" x14ac:dyDescent="0.25">
      <c r="A138" s="707"/>
      <c r="B138" s="627"/>
      <c r="C138" s="627"/>
      <c r="D138" s="603"/>
      <c r="E138" s="603"/>
      <c r="F138" s="614"/>
      <c r="G138" s="614"/>
      <c r="H138" s="603"/>
      <c r="I138" s="603"/>
      <c r="J138" s="603"/>
      <c r="K138" s="355" t="s">
        <v>542</v>
      </c>
      <c r="L138" s="379" t="s">
        <v>543</v>
      </c>
      <c r="M138" s="79">
        <v>40</v>
      </c>
      <c r="N138" s="79">
        <v>70</v>
      </c>
      <c r="O138" s="241">
        <v>40</v>
      </c>
      <c r="P138" s="241">
        <v>45</v>
      </c>
      <c r="Q138" s="241">
        <v>50</v>
      </c>
      <c r="R138" s="251">
        <v>70</v>
      </c>
      <c r="S138" s="185"/>
      <c r="T138" s="44"/>
      <c r="U138" s="44">
        <v>10</v>
      </c>
      <c r="V138" s="44"/>
      <c r="W138" s="44"/>
      <c r="X138" s="44"/>
      <c r="Y138" s="44"/>
      <c r="Z138" s="44">
        <f t="shared" si="40"/>
        <v>10</v>
      </c>
      <c r="AA138" s="44"/>
      <c r="AB138" s="44"/>
      <c r="AC138" s="44">
        <v>8</v>
      </c>
      <c r="AD138" s="44"/>
      <c r="AE138" s="44"/>
      <c r="AF138" s="44"/>
      <c r="AG138" s="44"/>
      <c r="AH138" s="44">
        <f t="shared" si="41"/>
        <v>8</v>
      </c>
      <c r="AI138" s="44"/>
      <c r="AJ138" s="44"/>
      <c r="AK138" s="44">
        <v>8</v>
      </c>
      <c r="AL138" s="44"/>
      <c r="AM138" s="44"/>
      <c r="AN138" s="44"/>
      <c r="AO138" s="44"/>
      <c r="AP138" s="44">
        <f t="shared" si="42"/>
        <v>8</v>
      </c>
      <c r="AQ138" s="44"/>
      <c r="AR138" s="44"/>
      <c r="AS138" s="44">
        <v>8</v>
      </c>
      <c r="AT138" s="44"/>
      <c r="AU138" s="44"/>
      <c r="AV138" s="44"/>
      <c r="AW138" s="44"/>
      <c r="AX138" s="44">
        <f t="shared" si="43"/>
        <v>8</v>
      </c>
      <c r="AY138" s="44">
        <f t="shared" si="44"/>
        <v>0</v>
      </c>
      <c r="AZ138" s="44">
        <f t="shared" si="45"/>
        <v>0</v>
      </c>
      <c r="BA138" s="44">
        <f t="shared" si="46"/>
        <v>34</v>
      </c>
      <c r="BB138" s="44">
        <f t="shared" si="47"/>
        <v>0</v>
      </c>
      <c r="BC138" s="44">
        <f t="shared" si="48"/>
        <v>0</v>
      </c>
      <c r="BD138" s="44">
        <f t="shared" si="49"/>
        <v>0</v>
      </c>
      <c r="BE138" s="44">
        <f t="shared" si="50"/>
        <v>0</v>
      </c>
      <c r="BF138" s="83">
        <f t="shared" si="51"/>
        <v>34</v>
      </c>
      <c r="BG138" s="47"/>
      <c r="BH138" s="47"/>
      <c r="BI138" s="90"/>
      <c r="BJ138" s="90"/>
      <c r="BK138" s="90"/>
      <c r="BL138" s="90"/>
      <c r="BM138" s="90"/>
      <c r="BN138" s="90"/>
      <c r="BO138" s="90"/>
      <c r="BP138" s="90"/>
      <c r="BQ138" s="90"/>
      <c r="BR138" s="90"/>
      <c r="BS138" s="90"/>
      <c r="BT138" s="90"/>
      <c r="BU138" s="90"/>
    </row>
    <row r="139" spans="1:73" s="91" customFormat="1" ht="67.5" x14ac:dyDescent="0.25">
      <c r="A139" s="707"/>
      <c r="B139" s="627"/>
      <c r="C139" s="627"/>
      <c r="D139" s="603"/>
      <c r="E139" s="603"/>
      <c r="F139" s="614"/>
      <c r="G139" s="614"/>
      <c r="H139" s="603"/>
      <c r="I139" s="603"/>
      <c r="J139" s="603"/>
      <c r="K139" s="355" t="s">
        <v>544</v>
      </c>
      <c r="L139" s="379" t="s">
        <v>545</v>
      </c>
      <c r="M139" s="50">
        <v>4</v>
      </c>
      <c r="N139" s="87">
        <v>29</v>
      </c>
      <c r="O139" s="50">
        <v>10</v>
      </c>
      <c r="P139" s="50">
        <v>15</v>
      </c>
      <c r="Q139" s="50">
        <v>20</v>
      </c>
      <c r="R139" s="203">
        <v>29</v>
      </c>
      <c r="S139" s="185"/>
      <c r="T139" s="44"/>
      <c r="U139" s="44"/>
      <c r="V139" s="44"/>
      <c r="W139" s="44"/>
      <c r="X139" s="44"/>
      <c r="Y139" s="44"/>
      <c r="Z139" s="44">
        <f t="shared" si="40"/>
        <v>0</v>
      </c>
      <c r="AA139" s="44"/>
      <c r="AB139" s="44"/>
      <c r="AC139" s="44"/>
      <c r="AD139" s="44"/>
      <c r="AE139" s="44"/>
      <c r="AF139" s="44"/>
      <c r="AG139" s="44"/>
      <c r="AH139" s="44">
        <f t="shared" si="41"/>
        <v>0</v>
      </c>
      <c r="AI139" s="44"/>
      <c r="AJ139" s="44"/>
      <c r="AK139" s="44"/>
      <c r="AL139" s="44"/>
      <c r="AM139" s="44"/>
      <c r="AN139" s="44"/>
      <c r="AO139" s="44"/>
      <c r="AP139" s="44">
        <f t="shared" si="42"/>
        <v>0</v>
      </c>
      <c r="AQ139" s="44"/>
      <c r="AR139" s="44"/>
      <c r="AS139" s="44"/>
      <c r="AT139" s="44"/>
      <c r="AU139" s="44"/>
      <c r="AV139" s="44"/>
      <c r="AW139" s="44"/>
      <c r="AX139" s="44">
        <f t="shared" si="43"/>
        <v>0</v>
      </c>
      <c r="AY139" s="44">
        <f t="shared" si="44"/>
        <v>0</v>
      </c>
      <c r="AZ139" s="44">
        <f t="shared" si="45"/>
        <v>0</v>
      </c>
      <c r="BA139" s="44">
        <f t="shared" si="46"/>
        <v>0</v>
      </c>
      <c r="BB139" s="44">
        <f t="shared" si="47"/>
        <v>0</v>
      </c>
      <c r="BC139" s="44">
        <f t="shared" si="48"/>
        <v>0</v>
      </c>
      <c r="BD139" s="44">
        <f t="shared" si="49"/>
        <v>0</v>
      </c>
      <c r="BE139" s="44">
        <f t="shared" si="50"/>
        <v>0</v>
      </c>
      <c r="BF139" s="83">
        <f t="shared" si="51"/>
        <v>0</v>
      </c>
      <c r="BG139" s="47"/>
      <c r="BH139" s="47"/>
      <c r="BI139" s="90"/>
      <c r="BJ139" s="90"/>
      <c r="BK139" s="90"/>
      <c r="BL139" s="90"/>
      <c r="BM139" s="90"/>
      <c r="BN139" s="90"/>
      <c r="BO139" s="90"/>
      <c r="BP139" s="90"/>
      <c r="BQ139" s="90"/>
      <c r="BR139" s="90"/>
      <c r="BS139" s="90"/>
      <c r="BT139" s="90"/>
      <c r="BU139" s="90"/>
    </row>
    <row r="140" spans="1:73" s="91" customFormat="1" ht="67.5" x14ac:dyDescent="0.25">
      <c r="A140" s="707"/>
      <c r="B140" s="627"/>
      <c r="C140" s="627"/>
      <c r="D140" s="603"/>
      <c r="E140" s="603"/>
      <c r="F140" s="614"/>
      <c r="G140" s="614"/>
      <c r="H140" s="603"/>
      <c r="I140" s="603"/>
      <c r="J140" s="603"/>
      <c r="K140" s="355" t="s">
        <v>659</v>
      </c>
      <c r="L140" s="379" t="s">
        <v>441</v>
      </c>
      <c r="M140" s="50">
        <v>2</v>
      </c>
      <c r="N140" s="50">
        <v>29</v>
      </c>
      <c r="O140" s="50">
        <v>7</v>
      </c>
      <c r="P140" s="50">
        <v>12</v>
      </c>
      <c r="Q140" s="50">
        <v>20</v>
      </c>
      <c r="R140" s="203">
        <v>29</v>
      </c>
      <c r="S140" s="185"/>
      <c r="T140" s="44"/>
      <c r="U140" s="44">
        <v>5</v>
      </c>
      <c r="V140" s="44"/>
      <c r="W140" s="44"/>
      <c r="X140" s="44"/>
      <c r="Y140" s="44"/>
      <c r="Z140" s="44">
        <f t="shared" si="40"/>
        <v>5</v>
      </c>
      <c r="AA140" s="44"/>
      <c r="AB140" s="44"/>
      <c r="AC140" s="44">
        <v>2</v>
      </c>
      <c r="AD140" s="44"/>
      <c r="AE140" s="44"/>
      <c r="AF140" s="44"/>
      <c r="AG140" s="44"/>
      <c r="AH140" s="44">
        <f t="shared" si="41"/>
        <v>2</v>
      </c>
      <c r="AI140" s="44"/>
      <c r="AJ140" s="44"/>
      <c r="AK140" s="44">
        <v>2</v>
      </c>
      <c r="AL140" s="44"/>
      <c r="AM140" s="44"/>
      <c r="AN140" s="44"/>
      <c r="AO140" s="44"/>
      <c r="AP140" s="44">
        <f t="shared" si="42"/>
        <v>2</v>
      </c>
      <c r="AQ140" s="44"/>
      <c r="AR140" s="44"/>
      <c r="AS140" s="44">
        <v>2</v>
      </c>
      <c r="AT140" s="44"/>
      <c r="AU140" s="44"/>
      <c r="AV140" s="44"/>
      <c r="AW140" s="44"/>
      <c r="AX140" s="44">
        <f t="shared" si="43"/>
        <v>2</v>
      </c>
      <c r="AY140" s="44">
        <f t="shared" si="44"/>
        <v>0</v>
      </c>
      <c r="AZ140" s="44">
        <f t="shared" si="45"/>
        <v>0</v>
      </c>
      <c r="BA140" s="44">
        <f t="shared" si="46"/>
        <v>11</v>
      </c>
      <c r="BB140" s="44">
        <f t="shared" si="47"/>
        <v>0</v>
      </c>
      <c r="BC140" s="44">
        <f t="shared" si="48"/>
        <v>0</v>
      </c>
      <c r="BD140" s="44">
        <f t="shared" si="49"/>
        <v>0</v>
      </c>
      <c r="BE140" s="44">
        <f t="shared" si="50"/>
        <v>0</v>
      </c>
      <c r="BF140" s="83">
        <f t="shared" si="51"/>
        <v>11</v>
      </c>
      <c r="BG140" s="47"/>
      <c r="BH140" s="47"/>
      <c r="BI140" s="90"/>
      <c r="BJ140" s="90"/>
      <c r="BK140" s="90"/>
      <c r="BL140" s="90"/>
      <c r="BM140" s="90"/>
      <c r="BN140" s="90"/>
      <c r="BO140" s="90"/>
      <c r="BP140" s="90"/>
      <c r="BQ140" s="90"/>
      <c r="BR140" s="90"/>
      <c r="BS140" s="90"/>
      <c r="BT140" s="90"/>
      <c r="BU140" s="90"/>
    </row>
    <row r="141" spans="1:73" s="91" customFormat="1" ht="40.5" x14ac:dyDescent="0.25">
      <c r="A141" s="707"/>
      <c r="B141" s="627"/>
      <c r="C141" s="627"/>
      <c r="D141" s="359"/>
      <c r="E141" s="355"/>
      <c r="F141" s="358"/>
      <c r="G141" s="358"/>
      <c r="H141" s="603"/>
      <c r="I141" s="603"/>
      <c r="J141" s="355" t="s">
        <v>153</v>
      </c>
      <c r="K141" s="355" t="s">
        <v>114</v>
      </c>
      <c r="L141" s="379" t="s">
        <v>697</v>
      </c>
      <c r="M141" s="79">
        <v>33</v>
      </c>
      <c r="N141" s="79">
        <v>34</v>
      </c>
      <c r="O141" s="50">
        <v>34</v>
      </c>
      <c r="P141" s="50">
        <v>34</v>
      </c>
      <c r="Q141" s="50">
        <v>34</v>
      </c>
      <c r="R141" s="198">
        <v>34</v>
      </c>
      <c r="S141" s="259"/>
      <c r="T141" s="44"/>
      <c r="U141" s="44"/>
      <c r="V141" s="44">
        <v>1459</v>
      </c>
      <c r="W141" s="44"/>
      <c r="X141" s="44"/>
      <c r="Y141" s="44"/>
      <c r="Z141" s="44">
        <f t="shared" si="40"/>
        <v>1459</v>
      </c>
      <c r="AA141" s="44"/>
      <c r="AB141" s="44"/>
      <c r="AC141" s="44"/>
      <c r="AD141" s="44">
        <v>1459</v>
      </c>
      <c r="AE141" s="44"/>
      <c r="AF141" s="44"/>
      <c r="AG141" s="44"/>
      <c r="AH141" s="44">
        <f t="shared" si="41"/>
        <v>1459</v>
      </c>
      <c r="AI141" s="44"/>
      <c r="AJ141" s="44"/>
      <c r="AK141" s="44"/>
      <c r="AL141" s="44">
        <v>1459</v>
      </c>
      <c r="AM141" s="44"/>
      <c r="AN141" s="44"/>
      <c r="AO141" s="44"/>
      <c r="AP141" s="44">
        <f t="shared" si="42"/>
        <v>1459</v>
      </c>
      <c r="AQ141" s="44"/>
      <c r="AR141" s="44"/>
      <c r="AS141" s="44"/>
      <c r="AT141" s="44">
        <v>1459</v>
      </c>
      <c r="AU141" s="44"/>
      <c r="AV141" s="44"/>
      <c r="AW141" s="44"/>
      <c r="AX141" s="44">
        <f t="shared" si="43"/>
        <v>1459</v>
      </c>
      <c r="AY141" s="44">
        <f t="shared" si="44"/>
        <v>0</v>
      </c>
      <c r="AZ141" s="44">
        <f t="shared" si="45"/>
        <v>0</v>
      </c>
      <c r="BA141" s="44">
        <f t="shared" si="46"/>
        <v>0</v>
      </c>
      <c r="BB141" s="44">
        <f t="shared" si="47"/>
        <v>5836</v>
      </c>
      <c r="BC141" s="44">
        <f t="shared" si="48"/>
        <v>0</v>
      </c>
      <c r="BD141" s="44">
        <f t="shared" si="49"/>
        <v>0</v>
      </c>
      <c r="BE141" s="44">
        <f t="shared" si="50"/>
        <v>0</v>
      </c>
      <c r="BF141" s="83">
        <f t="shared" si="51"/>
        <v>5836</v>
      </c>
      <c r="BG141" s="411"/>
      <c r="BH141" s="412"/>
      <c r="BI141" s="90"/>
      <c r="BJ141" s="90"/>
      <c r="BK141" s="90"/>
      <c r="BL141" s="90"/>
      <c r="BM141" s="90"/>
      <c r="BN141" s="90"/>
      <c r="BO141" s="90"/>
      <c r="BP141" s="90"/>
      <c r="BQ141" s="90"/>
      <c r="BR141" s="90"/>
      <c r="BS141" s="90"/>
      <c r="BT141" s="90"/>
      <c r="BU141" s="90"/>
    </row>
    <row r="142" spans="1:73" s="91" customFormat="1" ht="40.5" x14ac:dyDescent="0.25">
      <c r="A142" s="707"/>
      <c r="B142" s="627"/>
      <c r="C142" s="627"/>
      <c r="D142" s="627"/>
      <c r="E142" s="603"/>
      <c r="F142" s="612"/>
      <c r="G142" s="612"/>
      <c r="H142" s="603" t="s">
        <v>85</v>
      </c>
      <c r="I142" s="603" t="s">
        <v>560</v>
      </c>
      <c r="J142" s="611"/>
      <c r="K142" s="355" t="s">
        <v>86</v>
      </c>
      <c r="L142" s="379" t="s">
        <v>87</v>
      </c>
      <c r="M142" s="44">
        <v>17082</v>
      </c>
      <c r="N142" s="44">
        <f>+M142+8000</f>
        <v>25082</v>
      </c>
      <c r="O142" s="44">
        <f>+M142+2000</f>
        <v>19082</v>
      </c>
      <c r="P142" s="44">
        <f>+O142+2000</f>
        <v>21082</v>
      </c>
      <c r="Q142" s="44">
        <f>+P142+2000</f>
        <v>23082</v>
      </c>
      <c r="R142" s="45">
        <v>25082</v>
      </c>
      <c r="S142" s="185"/>
      <c r="T142" s="44">
        <v>500</v>
      </c>
      <c r="U142" s="44"/>
      <c r="V142" s="44"/>
      <c r="W142" s="44"/>
      <c r="X142" s="44"/>
      <c r="Y142" s="44"/>
      <c r="Z142" s="44">
        <f t="shared" si="40"/>
        <v>500</v>
      </c>
      <c r="AA142" s="44"/>
      <c r="AB142" s="44">
        <v>500</v>
      </c>
      <c r="AC142" s="44"/>
      <c r="AD142" s="44"/>
      <c r="AE142" s="44"/>
      <c r="AF142" s="44"/>
      <c r="AG142" s="44"/>
      <c r="AH142" s="44">
        <f t="shared" si="41"/>
        <v>500</v>
      </c>
      <c r="AI142" s="44"/>
      <c r="AJ142" s="44">
        <v>500</v>
      </c>
      <c r="AK142" s="44"/>
      <c r="AL142" s="44"/>
      <c r="AM142" s="44"/>
      <c r="AN142" s="44"/>
      <c r="AO142" s="44"/>
      <c r="AP142" s="44">
        <f t="shared" si="42"/>
        <v>500</v>
      </c>
      <c r="AQ142" s="44"/>
      <c r="AR142" s="44">
        <v>500</v>
      </c>
      <c r="AS142" s="44"/>
      <c r="AT142" s="44"/>
      <c r="AU142" s="44"/>
      <c r="AV142" s="44"/>
      <c r="AW142" s="44"/>
      <c r="AX142" s="44">
        <f t="shared" si="43"/>
        <v>500</v>
      </c>
      <c r="AY142" s="44">
        <f t="shared" si="44"/>
        <v>0</v>
      </c>
      <c r="AZ142" s="44">
        <f t="shared" si="45"/>
        <v>2000</v>
      </c>
      <c r="BA142" s="44">
        <f t="shared" si="46"/>
        <v>0</v>
      </c>
      <c r="BB142" s="44">
        <f t="shared" si="47"/>
        <v>0</v>
      </c>
      <c r="BC142" s="44">
        <f t="shared" si="48"/>
        <v>0</v>
      </c>
      <c r="BD142" s="44">
        <f t="shared" si="49"/>
        <v>0</v>
      </c>
      <c r="BE142" s="44">
        <f t="shared" si="50"/>
        <v>0</v>
      </c>
      <c r="BF142" s="83">
        <f t="shared" si="51"/>
        <v>2000</v>
      </c>
      <c r="BG142" s="47"/>
      <c r="BH142" s="47"/>
      <c r="BI142" s="90"/>
      <c r="BJ142" s="90"/>
      <c r="BK142" s="90"/>
      <c r="BL142" s="90"/>
      <c r="BM142" s="90"/>
      <c r="BN142" s="90"/>
      <c r="BO142" s="90"/>
      <c r="BP142" s="90"/>
      <c r="BQ142" s="90"/>
      <c r="BR142" s="90"/>
      <c r="BS142" s="90"/>
      <c r="BT142" s="90"/>
      <c r="BU142" s="90"/>
    </row>
    <row r="143" spans="1:73" s="91" customFormat="1" ht="27" x14ac:dyDescent="0.25">
      <c r="A143" s="707"/>
      <c r="B143" s="627"/>
      <c r="C143" s="627"/>
      <c r="D143" s="627"/>
      <c r="E143" s="603"/>
      <c r="F143" s="612"/>
      <c r="G143" s="612"/>
      <c r="H143" s="603"/>
      <c r="I143" s="603"/>
      <c r="J143" s="611"/>
      <c r="K143" s="355" t="s">
        <v>88</v>
      </c>
      <c r="L143" s="379" t="s">
        <v>228</v>
      </c>
      <c r="M143" s="44">
        <v>1955</v>
      </c>
      <c r="N143" s="44">
        <v>24000</v>
      </c>
      <c r="O143" s="44">
        <v>6000</v>
      </c>
      <c r="P143" s="44">
        <v>12000</v>
      </c>
      <c r="Q143" s="44">
        <v>18000</v>
      </c>
      <c r="R143" s="45">
        <v>24000</v>
      </c>
      <c r="S143" s="185"/>
      <c r="T143" s="44"/>
      <c r="U143" s="44"/>
      <c r="V143" s="44"/>
      <c r="W143" s="44"/>
      <c r="X143" s="44"/>
      <c r="Y143" s="44">
        <v>3000</v>
      </c>
      <c r="Z143" s="44">
        <f t="shared" si="40"/>
        <v>3000</v>
      </c>
      <c r="AA143" s="44"/>
      <c r="AB143" s="44"/>
      <c r="AC143" s="44"/>
      <c r="AD143" s="44"/>
      <c r="AE143" s="44"/>
      <c r="AF143" s="44"/>
      <c r="AG143" s="44">
        <v>3000</v>
      </c>
      <c r="AH143" s="44">
        <f t="shared" si="41"/>
        <v>3000</v>
      </c>
      <c r="AI143" s="44"/>
      <c r="AJ143" s="44"/>
      <c r="AK143" s="44"/>
      <c r="AL143" s="44"/>
      <c r="AM143" s="44"/>
      <c r="AN143" s="44"/>
      <c r="AO143" s="44">
        <v>3000</v>
      </c>
      <c r="AP143" s="44">
        <f t="shared" si="42"/>
        <v>3000</v>
      </c>
      <c r="AQ143" s="44"/>
      <c r="AR143" s="44"/>
      <c r="AS143" s="44"/>
      <c r="AT143" s="44"/>
      <c r="AU143" s="44"/>
      <c r="AV143" s="44"/>
      <c r="AW143" s="44">
        <v>3000</v>
      </c>
      <c r="AX143" s="44">
        <f t="shared" si="43"/>
        <v>3000</v>
      </c>
      <c r="AY143" s="44">
        <f t="shared" si="44"/>
        <v>0</v>
      </c>
      <c r="AZ143" s="44">
        <f t="shared" si="45"/>
        <v>0</v>
      </c>
      <c r="BA143" s="44">
        <f t="shared" si="46"/>
        <v>0</v>
      </c>
      <c r="BB143" s="44">
        <f t="shared" si="47"/>
        <v>0</v>
      </c>
      <c r="BC143" s="44">
        <f t="shared" si="48"/>
        <v>0</v>
      </c>
      <c r="BD143" s="44">
        <f t="shared" si="49"/>
        <v>0</v>
      </c>
      <c r="BE143" s="44">
        <f t="shared" si="50"/>
        <v>12000</v>
      </c>
      <c r="BF143" s="83">
        <f t="shared" si="51"/>
        <v>12000</v>
      </c>
      <c r="BG143" s="47"/>
      <c r="BH143" s="47"/>
      <c r="BI143" s="90"/>
      <c r="BJ143" s="90"/>
      <c r="BK143" s="90"/>
      <c r="BL143" s="90"/>
      <c r="BM143" s="90"/>
      <c r="BN143" s="90"/>
      <c r="BO143" s="90"/>
      <c r="BP143" s="90"/>
      <c r="BQ143" s="90"/>
      <c r="BR143" s="90"/>
      <c r="BS143" s="90"/>
      <c r="BT143" s="90"/>
      <c r="BU143" s="90"/>
    </row>
    <row r="144" spans="1:73" s="91" customFormat="1" ht="40.5" x14ac:dyDescent="0.25">
      <c r="A144" s="707"/>
      <c r="B144" s="627"/>
      <c r="C144" s="627"/>
      <c r="D144" s="716"/>
      <c r="E144" s="611"/>
      <c r="F144" s="612"/>
      <c r="G144" s="612"/>
      <c r="H144" s="603" t="s">
        <v>231</v>
      </c>
      <c r="I144" s="603" t="s">
        <v>929</v>
      </c>
      <c r="J144" s="611"/>
      <c r="K144" s="355" t="s">
        <v>229</v>
      </c>
      <c r="L144" s="379" t="s">
        <v>230</v>
      </c>
      <c r="M144" s="3">
        <v>100</v>
      </c>
      <c r="N144" s="44">
        <v>240</v>
      </c>
      <c r="O144" s="44">
        <v>240</v>
      </c>
      <c r="P144" s="44"/>
      <c r="Q144" s="44"/>
      <c r="R144" s="45"/>
      <c r="S144" s="185"/>
      <c r="T144" s="44"/>
      <c r="U144" s="44"/>
      <c r="V144" s="44">
        <v>23</v>
      </c>
      <c r="W144" s="44"/>
      <c r="X144" s="44"/>
      <c r="Y144" s="44">
        <v>118</v>
      </c>
      <c r="Z144" s="44">
        <f t="shared" si="40"/>
        <v>141</v>
      </c>
      <c r="AA144" s="44"/>
      <c r="AB144" s="44"/>
      <c r="AC144" s="44"/>
      <c r="AD144" s="44"/>
      <c r="AE144" s="44"/>
      <c r="AF144" s="44"/>
      <c r="AG144" s="44"/>
      <c r="AH144" s="44">
        <f t="shared" si="41"/>
        <v>0</v>
      </c>
      <c r="AI144" s="44"/>
      <c r="AJ144" s="44"/>
      <c r="AK144" s="44"/>
      <c r="AL144" s="44"/>
      <c r="AM144" s="44"/>
      <c r="AN144" s="44"/>
      <c r="AO144" s="44"/>
      <c r="AP144" s="44">
        <f t="shared" si="42"/>
        <v>0</v>
      </c>
      <c r="AQ144" s="44"/>
      <c r="AR144" s="44"/>
      <c r="AS144" s="44"/>
      <c r="AT144" s="44"/>
      <c r="AU144" s="44"/>
      <c r="AV144" s="44"/>
      <c r="AW144" s="44"/>
      <c r="AX144" s="44">
        <f t="shared" si="43"/>
        <v>0</v>
      </c>
      <c r="AY144" s="44">
        <f t="shared" si="44"/>
        <v>0</v>
      </c>
      <c r="AZ144" s="44">
        <f t="shared" si="45"/>
        <v>0</v>
      </c>
      <c r="BA144" s="44">
        <f t="shared" si="46"/>
        <v>0</v>
      </c>
      <c r="BB144" s="44">
        <f t="shared" si="47"/>
        <v>23</v>
      </c>
      <c r="BC144" s="44">
        <f t="shared" si="48"/>
        <v>0</v>
      </c>
      <c r="BD144" s="44">
        <f t="shared" si="49"/>
        <v>0</v>
      </c>
      <c r="BE144" s="44">
        <f t="shared" si="50"/>
        <v>118</v>
      </c>
      <c r="BF144" s="83">
        <f t="shared" si="51"/>
        <v>141</v>
      </c>
      <c r="BG144" s="47"/>
      <c r="BH144" s="47"/>
      <c r="BI144" s="90"/>
      <c r="BJ144" s="90"/>
      <c r="BK144" s="90"/>
      <c r="BL144" s="90"/>
      <c r="BM144" s="90"/>
      <c r="BN144" s="90"/>
      <c r="BO144" s="90"/>
      <c r="BP144" s="90"/>
      <c r="BQ144" s="90"/>
      <c r="BR144" s="90"/>
      <c r="BS144" s="90"/>
      <c r="BT144" s="90"/>
      <c r="BU144" s="90"/>
    </row>
    <row r="145" spans="1:73" s="91" customFormat="1" ht="41.25" thickBot="1" x14ac:dyDescent="0.3">
      <c r="A145" s="707"/>
      <c r="B145" s="628"/>
      <c r="C145" s="628"/>
      <c r="D145" s="717"/>
      <c r="E145" s="655"/>
      <c r="F145" s="625"/>
      <c r="G145" s="625"/>
      <c r="H145" s="604"/>
      <c r="I145" s="604"/>
      <c r="J145" s="655"/>
      <c r="K145" s="356" t="s">
        <v>936</v>
      </c>
      <c r="L145" s="380" t="s">
        <v>217</v>
      </c>
      <c r="M145" s="123">
        <v>2</v>
      </c>
      <c r="N145" s="123">
        <v>6</v>
      </c>
      <c r="O145" s="123">
        <v>3</v>
      </c>
      <c r="P145" s="123">
        <v>4</v>
      </c>
      <c r="Q145" s="123">
        <v>5</v>
      </c>
      <c r="R145" s="199">
        <v>6</v>
      </c>
      <c r="S145" s="186"/>
      <c r="T145" s="123"/>
      <c r="U145" s="123"/>
      <c r="V145" s="123">
        <v>45</v>
      </c>
      <c r="W145" s="123"/>
      <c r="X145" s="123"/>
      <c r="Y145" s="123"/>
      <c r="Z145" s="123">
        <f t="shared" si="40"/>
        <v>45</v>
      </c>
      <c r="AA145" s="123">
        <v>46</v>
      </c>
      <c r="AB145" s="123"/>
      <c r="AC145" s="123"/>
      <c r="AD145" s="123"/>
      <c r="AE145" s="123"/>
      <c r="AF145" s="123"/>
      <c r="AG145" s="123"/>
      <c r="AH145" s="123">
        <f t="shared" si="41"/>
        <v>46</v>
      </c>
      <c r="AI145" s="123">
        <v>50</v>
      </c>
      <c r="AJ145" s="123"/>
      <c r="AK145" s="123"/>
      <c r="AL145" s="123">
        <v>48</v>
      </c>
      <c r="AM145" s="123"/>
      <c r="AN145" s="123"/>
      <c r="AO145" s="123"/>
      <c r="AP145" s="123">
        <f t="shared" si="42"/>
        <v>98</v>
      </c>
      <c r="AQ145" s="123">
        <v>100</v>
      </c>
      <c r="AR145" s="123"/>
      <c r="AS145" s="123"/>
      <c r="AT145" s="123">
        <v>50</v>
      </c>
      <c r="AU145" s="123"/>
      <c r="AV145" s="123"/>
      <c r="AW145" s="123"/>
      <c r="AX145" s="123">
        <f t="shared" si="43"/>
        <v>150</v>
      </c>
      <c r="AY145" s="123">
        <f t="shared" si="44"/>
        <v>196</v>
      </c>
      <c r="AZ145" s="123">
        <f t="shared" si="45"/>
        <v>0</v>
      </c>
      <c r="BA145" s="123">
        <f t="shared" si="46"/>
        <v>0</v>
      </c>
      <c r="BB145" s="123">
        <f t="shared" si="47"/>
        <v>143</v>
      </c>
      <c r="BC145" s="123">
        <f t="shared" si="48"/>
        <v>0</v>
      </c>
      <c r="BD145" s="123">
        <f t="shared" si="49"/>
        <v>0</v>
      </c>
      <c r="BE145" s="123">
        <f t="shared" si="50"/>
        <v>0</v>
      </c>
      <c r="BF145" s="128">
        <f t="shared" si="51"/>
        <v>339</v>
      </c>
      <c r="BG145" s="47"/>
      <c r="BH145" s="47"/>
      <c r="BI145" s="90"/>
      <c r="BJ145" s="90"/>
      <c r="BK145" s="90"/>
      <c r="BL145" s="90"/>
      <c r="BM145" s="90"/>
      <c r="BN145" s="90"/>
      <c r="BO145" s="90"/>
      <c r="BP145" s="90"/>
      <c r="BQ145" s="90"/>
      <c r="BR145" s="90"/>
      <c r="BS145" s="90"/>
      <c r="BT145" s="90"/>
      <c r="BU145" s="90"/>
    </row>
    <row r="146" spans="1:73" s="91" customFormat="1" ht="54" x14ac:dyDescent="0.25">
      <c r="A146" s="707"/>
      <c r="B146" s="626" t="s">
        <v>779</v>
      </c>
      <c r="C146" s="626" t="s">
        <v>161</v>
      </c>
      <c r="D146" s="629" t="s">
        <v>598</v>
      </c>
      <c r="E146" s="629" t="s">
        <v>588</v>
      </c>
      <c r="F146" s="609">
        <v>99.43</v>
      </c>
      <c r="G146" s="609">
        <v>92.18</v>
      </c>
      <c r="H146" s="715" t="s">
        <v>793</v>
      </c>
      <c r="I146" s="600" t="s">
        <v>741</v>
      </c>
      <c r="J146" s="606" t="s">
        <v>850</v>
      </c>
      <c r="K146" s="366" t="s">
        <v>182</v>
      </c>
      <c r="L146" s="362" t="s">
        <v>678</v>
      </c>
      <c r="M146" s="121">
        <v>29</v>
      </c>
      <c r="N146" s="122">
        <v>29</v>
      </c>
      <c r="O146" s="122">
        <v>29</v>
      </c>
      <c r="P146" s="122">
        <v>29</v>
      </c>
      <c r="Q146" s="122">
        <v>29</v>
      </c>
      <c r="R146" s="195">
        <v>29</v>
      </c>
      <c r="S146" s="216"/>
      <c r="T146" s="122">
        <v>6</v>
      </c>
      <c r="U146" s="122"/>
      <c r="V146" s="122"/>
      <c r="W146" s="122"/>
      <c r="X146" s="122"/>
      <c r="Y146" s="122"/>
      <c r="Z146" s="124">
        <f t="shared" si="40"/>
        <v>6</v>
      </c>
      <c r="AA146" s="122"/>
      <c r="AB146" s="122">
        <v>6</v>
      </c>
      <c r="AC146" s="122"/>
      <c r="AD146" s="122"/>
      <c r="AE146" s="122"/>
      <c r="AF146" s="122"/>
      <c r="AG146" s="122"/>
      <c r="AH146" s="124">
        <f t="shared" si="41"/>
        <v>6</v>
      </c>
      <c r="AI146" s="122"/>
      <c r="AJ146" s="122">
        <v>6</v>
      </c>
      <c r="AK146" s="122"/>
      <c r="AL146" s="122"/>
      <c r="AM146" s="122"/>
      <c r="AN146" s="122"/>
      <c r="AO146" s="122"/>
      <c r="AP146" s="124">
        <f t="shared" si="42"/>
        <v>6</v>
      </c>
      <c r="AQ146" s="122"/>
      <c r="AR146" s="122">
        <v>6</v>
      </c>
      <c r="AS146" s="122"/>
      <c r="AT146" s="122"/>
      <c r="AU146" s="122"/>
      <c r="AV146" s="122"/>
      <c r="AW146" s="122"/>
      <c r="AX146" s="124">
        <f t="shared" si="43"/>
        <v>6</v>
      </c>
      <c r="AY146" s="124">
        <f t="shared" si="44"/>
        <v>0</v>
      </c>
      <c r="AZ146" s="124">
        <f t="shared" si="45"/>
        <v>24</v>
      </c>
      <c r="BA146" s="124">
        <f t="shared" si="46"/>
        <v>0</v>
      </c>
      <c r="BB146" s="124">
        <f t="shared" si="47"/>
        <v>0</v>
      </c>
      <c r="BC146" s="124">
        <f t="shared" si="48"/>
        <v>0</v>
      </c>
      <c r="BD146" s="124">
        <f t="shared" si="49"/>
        <v>0</v>
      </c>
      <c r="BE146" s="124">
        <f t="shared" si="50"/>
        <v>0</v>
      </c>
      <c r="BF146" s="125">
        <f t="shared" si="51"/>
        <v>24</v>
      </c>
      <c r="BG146" s="47"/>
      <c r="BH146" s="47"/>
      <c r="BI146" s="90"/>
      <c r="BJ146" s="90"/>
      <c r="BK146" s="90"/>
      <c r="BL146" s="90"/>
      <c r="BM146" s="90"/>
      <c r="BN146" s="90"/>
      <c r="BO146" s="90"/>
      <c r="BP146" s="90"/>
      <c r="BQ146" s="90"/>
      <c r="BR146" s="90"/>
      <c r="BS146" s="90"/>
      <c r="BT146" s="90"/>
      <c r="BU146" s="90"/>
    </row>
    <row r="147" spans="1:73" s="91" customFormat="1" ht="40.5" x14ac:dyDescent="0.25">
      <c r="A147" s="707"/>
      <c r="B147" s="627"/>
      <c r="C147" s="627"/>
      <c r="D147" s="620"/>
      <c r="E147" s="620"/>
      <c r="F147" s="608"/>
      <c r="G147" s="608"/>
      <c r="H147" s="611"/>
      <c r="I147" s="601"/>
      <c r="J147" s="607"/>
      <c r="K147" s="354" t="s">
        <v>183</v>
      </c>
      <c r="L147" s="357" t="s">
        <v>664</v>
      </c>
      <c r="M147" s="367">
        <v>1</v>
      </c>
      <c r="N147" s="367">
        <v>1</v>
      </c>
      <c r="O147" s="367">
        <v>1</v>
      </c>
      <c r="P147" s="367">
        <v>1</v>
      </c>
      <c r="Q147" s="367">
        <v>1</v>
      </c>
      <c r="R147" s="192">
        <v>1</v>
      </c>
      <c r="S147" s="184"/>
      <c r="T147" s="3">
        <v>50</v>
      </c>
      <c r="U147" s="3"/>
      <c r="V147" s="3"/>
      <c r="W147" s="3"/>
      <c r="X147" s="3"/>
      <c r="Y147" s="3"/>
      <c r="Z147" s="44">
        <f t="shared" si="40"/>
        <v>50</v>
      </c>
      <c r="AA147" s="3"/>
      <c r="AB147" s="3">
        <v>50</v>
      </c>
      <c r="AC147" s="3"/>
      <c r="AD147" s="3"/>
      <c r="AE147" s="3"/>
      <c r="AF147" s="3"/>
      <c r="AG147" s="3"/>
      <c r="AH147" s="44">
        <f t="shared" si="41"/>
        <v>50</v>
      </c>
      <c r="AI147" s="3"/>
      <c r="AJ147" s="3">
        <v>50</v>
      </c>
      <c r="AK147" s="3"/>
      <c r="AL147" s="3"/>
      <c r="AM147" s="3"/>
      <c r="AN147" s="3"/>
      <c r="AO147" s="3"/>
      <c r="AP147" s="44">
        <f t="shared" si="42"/>
        <v>50</v>
      </c>
      <c r="AQ147" s="3"/>
      <c r="AR147" s="3">
        <v>50</v>
      </c>
      <c r="AS147" s="3"/>
      <c r="AT147" s="3"/>
      <c r="AU147" s="3"/>
      <c r="AV147" s="3"/>
      <c r="AW147" s="3"/>
      <c r="AX147" s="44">
        <f t="shared" si="43"/>
        <v>50</v>
      </c>
      <c r="AY147" s="44">
        <f t="shared" si="44"/>
        <v>0</v>
      </c>
      <c r="AZ147" s="44">
        <f t="shared" si="45"/>
        <v>200</v>
      </c>
      <c r="BA147" s="44">
        <f t="shared" si="46"/>
        <v>0</v>
      </c>
      <c r="BB147" s="44">
        <f t="shared" si="47"/>
        <v>0</v>
      </c>
      <c r="BC147" s="44">
        <f t="shared" si="48"/>
        <v>0</v>
      </c>
      <c r="BD147" s="44">
        <f t="shared" si="49"/>
        <v>0</v>
      </c>
      <c r="BE147" s="44">
        <f t="shared" si="50"/>
        <v>0</v>
      </c>
      <c r="BF147" s="83">
        <f t="shared" si="51"/>
        <v>200</v>
      </c>
      <c r="BG147" s="47"/>
      <c r="BH147" s="47"/>
      <c r="BI147" s="90"/>
      <c r="BJ147" s="90"/>
      <c r="BK147" s="90"/>
      <c r="BL147" s="90"/>
      <c r="BM147" s="90"/>
      <c r="BN147" s="90"/>
      <c r="BO147" s="90"/>
      <c r="BP147" s="90"/>
      <c r="BQ147" s="90"/>
      <c r="BR147" s="90"/>
      <c r="BS147" s="90"/>
      <c r="BT147" s="90"/>
      <c r="BU147" s="90"/>
    </row>
    <row r="148" spans="1:73" s="91" customFormat="1" ht="67.5" x14ac:dyDescent="0.25">
      <c r="A148" s="707"/>
      <c r="B148" s="627"/>
      <c r="C148" s="627"/>
      <c r="D148" s="620"/>
      <c r="E148" s="620"/>
      <c r="F148" s="608"/>
      <c r="G148" s="608"/>
      <c r="H148" s="611"/>
      <c r="I148" s="601"/>
      <c r="J148" s="607"/>
      <c r="K148" s="354" t="s">
        <v>184</v>
      </c>
      <c r="L148" s="357" t="s">
        <v>185</v>
      </c>
      <c r="M148" s="367">
        <v>0</v>
      </c>
      <c r="N148" s="367">
        <v>29</v>
      </c>
      <c r="O148" s="367">
        <v>6</v>
      </c>
      <c r="P148" s="367">
        <v>14</v>
      </c>
      <c r="Q148" s="367">
        <v>21</v>
      </c>
      <c r="R148" s="192">
        <v>29</v>
      </c>
      <c r="S148" s="184"/>
      <c r="T148" s="3">
        <v>40</v>
      </c>
      <c r="U148" s="3"/>
      <c r="V148" s="3"/>
      <c r="W148" s="3"/>
      <c r="X148" s="3"/>
      <c r="Y148" s="3"/>
      <c r="Z148" s="44">
        <f t="shared" si="40"/>
        <v>40</v>
      </c>
      <c r="AA148" s="3"/>
      <c r="AB148" s="3">
        <v>40</v>
      </c>
      <c r="AC148" s="3"/>
      <c r="AD148" s="3"/>
      <c r="AE148" s="3"/>
      <c r="AF148" s="3"/>
      <c r="AG148" s="3"/>
      <c r="AH148" s="44">
        <f t="shared" si="41"/>
        <v>40</v>
      </c>
      <c r="AI148" s="3"/>
      <c r="AJ148" s="3">
        <v>40</v>
      </c>
      <c r="AK148" s="3"/>
      <c r="AL148" s="3"/>
      <c r="AM148" s="3"/>
      <c r="AN148" s="3"/>
      <c r="AO148" s="3"/>
      <c r="AP148" s="44">
        <f t="shared" si="42"/>
        <v>40</v>
      </c>
      <c r="AQ148" s="3"/>
      <c r="AR148" s="3">
        <v>40</v>
      </c>
      <c r="AS148" s="3"/>
      <c r="AT148" s="3"/>
      <c r="AU148" s="3"/>
      <c r="AV148" s="3"/>
      <c r="AW148" s="3"/>
      <c r="AX148" s="44">
        <f t="shared" si="43"/>
        <v>40</v>
      </c>
      <c r="AY148" s="44">
        <f t="shared" si="44"/>
        <v>0</v>
      </c>
      <c r="AZ148" s="44">
        <f t="shared" si="45"/>
        <v>160</v>
      </c>
      <c r="BA148" s="44">
        <f t="shared" si="46"/>
        <v>0</v>
      </c>
      <c r="BB148" s="44">
        <f t="shared" si="47"/>
        <v>0</v>
      </c>
      <c r="BC148" s="44">
        <f t="shared" si="48"/>
        <v>0</v>
      </c>
      <c r="BD148" s="44">
        <f t="shared" si="49"/>
        <v>0</v>
      </c>
      <c r="BE148" s="44">
        <f t="shared" si="50"/>
        <v>0</v>
      </c>
      <c r="BF148" s="83">
        <f t="shared" si="51"/>
        <v>160</v>
      </c>
      <c r="BG148" s="47"/>
      <c r="BH148" s="47"/>
      <c r="BI148" s="90"/>
      <c r="BJ148" s="90"/>
      <c r="BK148" s="90"/>
      <c r="BL148" s="90"/>
      <c r="BM148" s="90"/>
      <c r="BN148" s="90"/>
      <c r="BO148" s="90"/>
      <c r="BP148" s="90"/>
      <c r="BQ148" s="90"/>
      <c r="BR148" s="90"/>
      <c r="BS148" s="90"/>
      <c r="BT148" s="90"/>
      <c r="BU148" s="90"/>
    </row>
    <row r="149" spans="1:73" s="91" customFormat="1" ht="40.5" x14ac:dyDescent="0.25">
      <c r="A149" s="707"/>
      <c r="B149" s="627"/>
      <c r="C149" s="627"/>
      <c r="D149" s="630"/>
      <c r="E149" s="630"/>
      <c r="F149" s="610"/>
      <c r="G149" s="610"/>
      <c r="H149" s="611"/>
      <c r="I149" s="601"/>
      <c r="J149" s="607"/>
      <c r="K149" s="354" t="s">
        <v>186</v>
      </c>
      <c r="L149" s="357" t="s">
        <v>187</v>
      </c>
      <c r="M149" s="367">
        <v>9</v>
      </c>
      <c r="N149" s="367">
        <v>29</v>
      </c>
      <c r="O149" s="367">
        <v>15</v>
      </c>
      <c r="P149" s="367">
        <v>21</v>
      </c>
      <c r="Q149" s="367">
        <v>29</v>
      </c>
      <c r="R149" s="192">
        <v>0</v>
      </c>
      <c r="S149" s="184"/>
      <c r="T149" s="3">
        <v>90</v>
      </c>
      <c r="U149" s="3"/>
      <c r="V149" s="3"/>
      <c r="W149" s="3"/>
      <c r="X149" s="3"/>
      <c r="Y149" s="3"/>
      <c r="Z149" s="44">
        <f t="shared" si="40"/>
        <v>90</v>
      </c>
      <c r="AA149" s="3"/>
      <c r="AB149" s="3">
        <v>90</v>
      </c>
      <c r="AC149" s="3"/>
      <c r="AD149" s="3"/>
      <c r="AE149" s="3"/>
      <c r="AF149" s="3"/>
      <c r="AG149" s="3"/>
      <c r="AH149" s="44">
        <f t="shared" si="41"/>
        <v>90</v>
      </c>
      <c r="AI149" s="3"/>
      <c r="AJ149" s="3">
        <v>90</v>
      </c>
      <c r="AK149" s="3"/>
      <c r="AL149" s="3"/>
      <c r="AM149" s="3"/>
      <c r="AN149" s="3"/>
      <c r="AO149" s="3"/>
      <c r="AP149" s="44">
        <f t="shared" si="42"/>
        <v>90</v>
      </c>
      <c r="AQ149" s="3"/>
      <c r="AR149" s="3">
        <v>90</v>
      </c>
      <c r="AS149" s="3"/>
      <c r="AT149" s="3"/>
      <c r="AU149" s="3"/>
      <c r="AV149" s="3"/>
      <c r="AW149" s="3"/>
      <c r="AX149" s="44">
        <f t="shared" si="43"/>
        <v>90</v>
      </c>
      <c r="AY149" s="44">
        <f t="shared" si="44"/>
        <v>0</v>
      </c>
      <c r="AZ149" s="44">
        <f t="shared" si="45"/>
        <v>360</v>
      </c>
      <c r="BA149" s="44">
        <f t="shared" si="46"/>
        <v>0</v>
      </c>
      <c r="BB149" s="44">
        <f t="shared" si="47"/>
        <v>0</v>
      </c>
      <c r="BC149" s="44">
        <f t="shared" si="48"/>
        <v>0</v>
      </c>
      <c r="BD149" s="44">
        <f t="shared" si="49"/>
        <v>0</v>
      </c>
      <c r="BE149" s="44">
        <f t="shared" si="50"/>
        <v>0</v>
      </c>
      <c r="BF149" s="83">
        <f t="shared" si="51"/>
        <v>360</v>
      </c>
      <c r="BG149" s="47"/>
      <c r="BH149" s="47"/>
      <c r="BI149" s="90"/>
      <c r="BJ149" s="90"/>
      <c r="BK149" s="90"/>
      <c r="BL149" s="90"/>
      <c r="BM149" s="90"/>
      <c r="BN149" s="90"/>
      <c r="BO149" s="90"/>
      <c r="BP149" s="90"/>
      <c r="BQ149" s="90"/>
      <c r="BR149" s="90"/>
      <c r="BS149" s="90"/>
      <c r="BT149" s="90"/>
      <c r="BU149" s="90"/>
    </row>
    <row r="150" spans="1:73" s="91" customFormat="1" ht="67.5" x14ac:dyDescent="0.25">
      <c r="A150" s="707"/>
      <c r="B150" s="627"/>
      <c r="C150" s="627"/>
      <c r="D150" s="630"/>
      <c r="E150" s="630"/>
      <c r="F150" s="610"/>
      <c r="G150" s="610"/>
      <c r="H150" s="611"/>
      <c r="I150" s="601"/>
      <c r="J150" s="607"/>
      <c r="K150" s="354" t="s">
        <v>574</v>
      </c>
      <c r="L150" s="357" t="s">
        <v>679</v>
      </c>
      <c r="M150" s="3">
        <v>1</v>
      </c>
      <c r="N150" s="5">
        <v>1</v>
      </c>
      <c r="O150" s="5">
        <v>1</v>
      </c>
      <c r="P150" s="5">
        <v>1</v>
      </c>
      <c r="Q150" s="5">
        <v>1</v>
      </c>
      <c r="R150" s="193">
        <v>1</v>
      </c>
      <c r="S150" s="184"/>
      <c r="T150" s="3">
        <v>100</v>
      </c>
      <c r="U150" s="3"/>
      <c r="V150" s="3"/>
      <c r="W150" s="3"/>
      <c r="X150" s="3"/>
      <c r="Y150" s="3"/>
      <c r="Z150" s="44">
        <f t="shared" si="40"/>
        <v>100</v>
      </c>
      <c r="AA150" s="3"/>
      <c r="AB150" s="3">
        <v>100</v>
      </c>
      <c r="AC150" s="3"/>
      <c r="AD150" s="3"/>
      <c r="AE150" s="3"/>
      <c r="AF150" s="3"/>
      <c r="AG150" s="3"/>
      <c r="AH150" s="44">
        <f t="shared" si="41"/>
        <v>100</v>
      </c>
      <c r="AI150" s="3"/>
      <c r="AJ150" s="3">
        <v>100</v>
      </c>
      <c r="AK150" s="3"/>
      <c r="AL150" s="3"/>
      <c r="AM150" s="3"/>
      <c r="AN150" s="3"/>
      <c r="AO150" s="3"/>
      <c r="AP150" s="44">
        <f t="shared" si="42"/>
        <v>100</v>
      </c>
      <c r="AQ150" s="3"/>
      <c r="AR150" s="3">
        <v>100</v>
      </c>
      <c r="AS150" s="3"/>
      <c r="AT150" s="3"/>
      <c r="AU150" s="3"/>
      <c r="AV150" s="3"/>
      <c r="AW150" s="3"/>
      <c r="AX150" s="44">
        <f t="shared" si="43"/>
        <v>100</v>
      </c>
      <c r="AY150" s="44">
        <f t="shared" si="44"/>
        <v>0</v>
      </c>
      <c r="AZ150" s="44">
        <f t="shared" si="45"/>
        <v>400</v>
      </c>
      <c r="BA150" s="44">
        <f t="shared" si="46"/>
        <v>0</v>
      </c>
      <c r="BB150" s="44">
        <f t="shared" si="47"/>
        <v>0</v>
      </c>
      <c r="BC150" s="44">
        <f t="shared" si="48"/>
        <v>0</v>
      </c>
      <c r="BD150" s="44">
        <f t="shared" si="49"/>
        <v>0</v>
      </c>
      <c r="BE150" s="44">
        <f t="shared" si="50"/>
        <v>0</v>
      </c>
      <c r="BF150" s="83">
        <f t="shared" si="51"/>
        <v>400</v>
      </c>
      <c r="BG150" s="47"/>
      <c r="BH150" s="47"/>
      <c r="BI150" s="90"/>
      <c r="BJ150" s="90"/>
      <c r="BK150" s="90"/>
      <c r="BL150" s="90"/>
      <c r="BM150" s="90"/>
      <c r="BN150" s="90"/>
      <c r="BO150" s="90"/>
      <c r="BP150" s="90"/>
      <c r="BQ150" s="90"/>
      <c r="BR150" s="90"/>
      <c r="BS150" s="90"/>
      <c r="BT150" s="90"/>
      <c r="BU150" s="90"/>
    </row>
    <row r="151" spans="1:73" s="91" customFormat="1" ht="54" x14ac:dyDescent="0.25">
      <c r="A151" s="707"/>
      <c r="B151" s="627"/>
      <c r="C151" s="627"/>
      <c r="D151" s="630"/>
      <c r="E151" s="630"/>
      <c r="F151" s="610"/>
      <c r="G151" s="610"/>
      <c r="H151" s="611"/>
      <c r="I151" s="601"/>
      <c r="J151" s="607"/>
      <c r="K151" s="354" t="s">
        <v>188</v>
      </c>
      <c r="L151" s="357" t="s">
        <v>664</v>
      </c>
      <c r="M151" s="367">
        <v>1</v>
      </c>
      <c r="N151" s="367">
        <v>1</v>
      </c>
      <c r="O151" s="367">
        <v>1</v>
      </c>
      <c r="P151" s="367">
        <v>1</v>
      </c>
      <c r="Q151" s="367">
        <v>1</v>
      </c>
      <c r="R151" s="192">
        <v>1</v>
      </c>
      <c r="S151" s="184"/>
      <c r="T151" s="3">
        <v>110</v>
      </c>
      <c r="U151" s="3"/>
      <c r="V151" s="3"/>
      <c r="W151" s="3"/>
      <c r="X151" s="3"/>
      <c r="Y151" s="3"/>
      <c r="Z151" s="44">
        <f t="shared" si="40"/>
        <v>110</v>
      </c>
      <c r="AA151" s="3"/>
      <c r="AB151" s="3">
        <v>110</v>
      </c>
      <c r="AC151" s="3"/>
      <c r="AD151" s="3"/>
      <c r="AE151" s="3"/>
      <c r="AF151" s="3"/>
      <c r="AG151" s="3"/>
      <c r="AH151" s="44">
        <f t="shared" si="41"/>
        <v>110</v>
      </c>
      <c r="AI151" s="3"/>
      <c r="AJ151" s="3">
        <v>110</v>
      </c>
      <c r="AK151" s="3"/>
      <c r="AL151" s="3"/>
      <c r="AM151" s="3"/>
      <c r="AN151" s="3"/>
      <c r="AO151" s="3"/>
      <c r="AP151" s="44">
        <f t="shared" si="42"/>
        <v>110</v>
      </c>
      <c r="AQ151" s="3"/>
      <c r="AR151" s="3">
        <v>110</v>
      </c>
      <c r="AS151" s="3"/>
      <c r="AT151" s="3"/>
      <c r="AU151" s="3"/>
      <c r="AV151" s="3"/>
      <c r="AW151" s="3"/>
      <c r="AX151" s="44">
        <f t="shared" si="43"/>
        <v>110</v>
      </c>
      <c r="AY151" s="44">
        <f t="shared" si="44"/>
        <v>0</v>
      </c>
      <c r="AZ151" s="44">
        <f t="shared" si="45"/>
        <v>440</v>
      </c>
      <c r="BA151" s="44">
        <f t="shared" si="46"/>
        <v>0</v>
      </c>
      <c r="BB151" s="44">
        <f t="shared" si="47"/>
        <v>0</v>
      </c>
      <c r="BC151" s="44">
        <f t="shared" si="48"/>
        <v>0</v>
      </c>
      <c r="BD151" s="44">
        <f t="shared" si="49"/>
        <v>0</v>
      </c>
      <c r="BE151" s="44">
        <f t="shared" si="50"/>
        <v>0</v>
      </c>
      <c r="BF151" s="83">
        <f t="shared" si="51"/>
        <v>440</v>
      </c>
      <c r="BG151" s="47"/>
      <c r="BH151" s="47"/>
      <c r="BI151" s="90"/>
      <c r="BJ151" s="90"/>
      <c r="BK151" s="90"/>
      <c r="BL151" s="90"/>
      <c r="BM151" s="90"/>
      <c r="BN151" s="90"/>
      <c r="BO151" s="90"/>
      <c r="BP151" s="90"/>
      <c r="BQ151" s="90"/>
      <c r="BR151" s="90"/>
      <c r="BS151" s="90"/>
      <c r="BT151" s="90"/>
      <c r="BU151" s="90"/>
    </row>
    <row r="152" spans="1:73" s="91" customFormat="1" ht="54" x14ac:dyDescent="0.25">
      <c r="A152" s="707"/>
      <c r="B152" s="627"/>
      <c r="C152" s="627"/>
      <c r="D152" s="620" t="s">
        <v>599</v>
      </c>
      <c r="E152" s="620" t="s">
        <v>600</v>
      </c>
      <c r="F152" s="608">
        <v>17.11</v>
      </c>
      <c r="G152" s="608">
        <v>14.7</v>
      </c>
      <c r="H152" s="611"/>
      <c r="I152" s="601"/>
      <c r="J152" s="607"/>
      <c r="K152" s="354" t="s">
        <v>680</v>
      </c>
      <c r="L152" s="357" t="s">
        <v>664</v>
      </c>
      <c r="M152" s="367">
        <v>1</v>
      </c>
      <c r="N152" s="367">
        <v>1</v>
      </c>
      <c r="O152" s="367">
        <v>1</v>
      </c>
      <c r="P152" s="367">
        <v>1</v>
      </c>
      <c r="Q152" s="367">
        <v>1</v>
      </c>
      <c r="R152" s="192">
        <v>1</v>
      </c>
      <c r="S152" s="184"/>
      <c r="T152" s="3">
        <v>50</v>
      </c>
      <c r="U152" s="3"/>
      <c r="V152" s="3"/>
      <c r="W152" s="3"/>
      <c r="X152" s="3"/>
      <c r="Y152" s="3"/>
      <c r="Z152" s="44">
        <f t="shared" si="40"/>
        <v>50</v>
      </c>
      <c r="AA152" s="3"/>
      <c r="AB152" s="3">
        <v>50</v>
      </c>
      <c r="AC152" s="3"/>
      <c r="AD152" s="3"/>
      <c r="AE152" s="3"/>
      <c r="AF152" s="3"/>
      <c r="AG152" s="3"/>
      <c r="AH152" s="44">
        <f t="shared" si="41"/>
        <v>50</v>
      </c>
      <c r="AI152" s="12"/>
      <c r="AJ152" s="3">
        <v>50</v>
      </c>
      <c r="AK152" s="12"/>
      <c r="AL152" s="12"/>
      <c r="AM152" s="3"/>
      <c r="AN152" s="12"/>
      <c r="AO152" s="12"/>
      <c r="AP152" s="44">
        <f t="shared" si="42"/>
        <v>50</v>
      </c>
      <c r="AQ152" s="12"/>
      <c r="AR152" s="3">
        <v>50</v>
      </c>
      <c r="AS152" s="12"/>
      <c r="AT152" s="12"/>
      <c r="AU152" s="3"/>
      <c r="AV152" s="12"/>
      <c r="AW152" s="12"/>
      <c r="AX152" s="44">
        <f t="shared" si="43"/>
        <v>50</v>
      </c>
      <c r="AY152" s="44">
        <f t="shared" si="44"/>
        <v>0</v>
      </c>
      <c r="AZ152" s="44">
        <f t="shared" si="45"/>
        <v>200</v>
      </c>
      <c r="BA152" s="44">
        <f t="shared" si="46"/>
        <v>0</v>
      </c>
      <c r="BB152" s="44">
        <f t="shared" si="47"/>
        <v>0</v>
      </c>
      <c r="BC152" s="44">
        <f t="shared" si="48"/>
        <v>0</v>
      </c>
      <c r="BD152" s="44">
        <f t="shared" si="49"/>
        <v>0</v>
      </c>
      <c r="BE152" s="44">
        <f t="shared" si="50"/>
        <v>0</v>
      </c>
      <c r="BF152" s="83">
        <f t="shared" si="51"/>
        <v>200</v>
      </c>
      <c r="BG152" s="47"/>
      <c r="BH152" s="47"/>
      <c r="BI152" s="90"/>
      <c r="BJ152" s="90"/>
      <c r="BK152" s="90"/>
      <c r="BL152" s="90"/>
      <c r="BM152" s="90"/>
      <c r="BN152" s="90"/>
      <c r="BO152" s="90"/>
      <c r="BP152" s="90"/>
      <c r="BQ152" s="90"/>
      <c r="BR152" s="90"/>
      <c r="BS152" s="90"/>
      <c r="BT152" s="90"/>
      <c r="BU152" s="90"/>
    </row>
    <row r="153" spans="1:73" s="91" customFormat="1" ht="54" x14ac:dyDescent="0.25">
      <c r="A153" s="707"/>
      <c r="B153" s="627"/>
      <c r="C153" s="627"/>
      <c r="D153" s="620"/>
      <c r="E153" s="620"/>
      <c r="F153" s="608"/>
      <c r="G153" s="608"/>
      <c r="H153" s="611"/>
      <c r="I153" s="601"/>
      <c r="J153" s="607"/>
      <c r="K153" s="4" t="s">
        <v>189</v>
      </c>
      <c r="L153" s="357" t="s">
        <v>672</v>
      </c>
      <c r="M153" s="3">
        <v>29</v>
      </c>
      <c r="N153" s="5">
        <v>29</v>
      </c>
      <c r="O153" s="5">
        <v>29</v>
      </c>
      <c r="P153" s="5">
        <v>29</v>
      </c>
      <c r="Q153" s="5">
        <v>29</v>
      </c>
      <c r="R153" s="196">
        <v>29</v>
      </c>
      <c r="S153" s="184"/>
      <c r="T153" s="3">
        <v>30</v>
      </c>
      <c r="U153" s="3"/>
      <c r="V153" s="3"/>
      <c r="W153" s="3"/>
      <c r="X153" s="3"/>
      <c r="Y153" s="3"/>
      <c r="Z153" s="44">
        <f t="shared" si="40"/>
        <v>30</v>
      </c>
      <c r="AA153" s="3"/>
      <c r="AB153" s="3">
        <v>30</v>
      </c>
      <c r="AC153" s="3"/>
      <c r="AD153" s="3"/>
      <c r="AE153" s="3"/>
      <c r="AF153" s="3"/>
      <c r="AG153" s="3"/>
      <c r="AH153" s="44">
        <f t="shared" si="41"/>
        <v>30</v>
      </c>
      <c r="AI153" s="12"/>
      <c r="AJ153" s="3">
        <v>30</v>
      </c>
      <c r="AK153" s="12"/>
      <c r="AL153" s="12"/>
      <c r="AM153" s="3"/>
      <c r="AN153" s="12"/>
      <c r="AO153" s="12"/>
      <c r="AP153" s="44">
        <f t="shared" si="42"/>
        <v>30</v>
      </c>
      <c r="AQ153" s="12"/>
      <c r="AR153" s="3">
        <v>30</v>
      </c>
      <c r="AS153" s="12"/>
      <c r="AT153" s="12"/>
      <c r="AU153" s="3"/>
      <c r="AV153" s="12"/>
      <c r="AW153" s="12"/>
      <c r="AX153" s="44">
        <f t="shared" si="43"/>
        <v>30</v>
      </c>
      <c r="AY153" s="44">
        <f t="shared" si="44"/>
        <v>0</v>
      </c>
      <c r="AZ153" s="44">
        <f t="shared" si="45"/>
        <v>120</v>
      </c>
      <c r="BA153" s="44">
        <f t="shared" si="46"/>
        <v>0</v>
      </c>
      <c r="BB153" s="44">
        <f t="shared" si="47"/>
        <v>0</v>
      </c>
      <c r="BC153" s="44">
        <f t="shared" si="48"/>
        <v>0</v>
      </c>
      <c r="BD153" s="44">
        <f t="shared" si="49"/>
        <v>0</v>
      </c>
      <c r="BE153" s="44">
        <f t="shared" si="50"/>
        <v>0</v>
      </c>
      <c r="BF153" s="83">
        <f t="shared" si="51"/>
        <v>120</v>
      </c>
      <c r="BG153" s="47"/>
      <c r="BH153" s="47"/>
      <c r="BI153" s="90"/>
      <c r="BJ153" s="90"/>
      <c r="BK153" s="90"/>
      <c r="BL153" s="90"/>
      <c r="BM153" s="90"/>
      <c r="BN153" s="90"/>
      <c r="BO153" s="90"/>
      <c r="BP153" s="90"/>
      <c r="BQ153" s="90"/>
      <c r="BR153" s="90"/>
      <c r="BS153" s="90"/>
      <c r="BT153" s="90"/>
      <c r="BU153" s="90"/>
    </row>
    <row r="154" spans="1:73" s="91" customFormat="1" ht="27" x14ac:dyDescent="0.25">
      <c r="A154" s="707"/>
      <c r="B154" s="627"/>
      <c r="C154" s="627"/>
      <c r="D154" s="620"/>
      <c r="E154" s="620"/>
      <c r="F154" s="608"/>
      <c r="G154" s="608"/>
      <c r="H154" s="611"/>
      <c r="I154" s="601"/>
      <c r="J154" s="607"/>
      <c r="K154" s="4" t="s">
        <v>190</v>
      </c>
      <c r="L154" s="357" t="s">
        <v>191</v>
      </c>
      <c r="M154" s="3">
        <v>29</v>
      </c>
      <c r="N154" s="5">
        <v>29</v>
      </c>
      <c r="O154" s="5">
        <v>29</v>
      </c>
      <c r="P154" s="5">
        <v>29</v>
      </c>
      <c r="Q154" s="5">
        <v>29</v>
      </c>
      <c r="R154" s="196">
        <v>29</v>
      </c>
      <c r="S154" s="184"/>
      <c r="T154" s="3">
        <v>10</v>
      </c>
      <c r="U154" s="3"/>
      <c r="V154" s="3"/>
      <c r="W154" s="3"/>
      <c r="X154" s="3"/>
      <c r="Y154" s="3"/>
      <c r="Z154" s="44">
        <f t="shared" si="40"/>
        <v>10</v>
      </c>
      <c r="AA154" s="3"/>
      <c r="AB154" s="3">
        <v>10</v>
      </c>
      <c r="AC154" s="3"/>
      <c r="AD154" s="3"/>
      <c r="AE154" s="3"/>
      <c r="AF154" s="3"/>
      <c r="AG154" s="3"/>
      <c r="AH154" s="44">
        <f t="shared" si="41"/>
        <v>10</v>
      </c>
      <c r="AI154" s="12"/>
      <c r="AJ154" s="3">
        <v>10</v>
      </c>
      <c r="AK154" s="12"/>
      <c r="AL154" s="12"/>
      <c r="AM154" s="3"/>
      <c r="AN154" s="12"/>
      <c r="AO154" s="12"/>
      <c r="AP154" s="44">
        <f t="shared" si="42"/>
        <v>10</v>
      </c>
      <c r="AQ154" s="12"/>
      <c r="AR154" s="3">
        <v>10</v>
      </c>
      <c r="AS154" s="12"/>
      <c r="AT154" s="12"/>
      <c r="AU154" s="3"/>
      <c r="AV154" s="12"/>
      <c r="AW154" s="12"/>
      <c r="AX154" s="44">
        <f t="shared" si="43"/>
        <v>10</v>
      </c>
      <c r="AY154" s="44">
        <f t="shared" si="44"/>
        <v>0</v>
      </c>
      <c r="AZ154" s="44">
        <f t="shared" si="45"/>
        <v>40</v>
      </c>
      <c r="BA154" s="44">
        <f t="shared" si="46"/>
        <v>0</v>
      </c>
      <c r="BB154" s="44">
        <f t="shared" si="47"/>
        <v>0</v>
      </c>
      <c r="BC154" s="44">
        <f t="shared" si="48"/>
        <v>0</v>
      </c>
      <c r="BD154" s="44">
        <f t="shared" si="49"/>
        <v>0</v>
      </c>
      <c r="BE154" s="44">
        <f t="shared" si="50"/>
        <v>0</v>
      </c>
      <c r="BF154" s="83">
        <f t="shared" si="51"/>
        <v>40</v>
      </c>
      <c r="BG154" s="47"/>
      <c r="BH154" s="47"/>
      <c r="BI154" s="90"/>
      <c r="BJ154" s="90"/>
      <c r="BK154" s="90"/>
      <c r="BL154" s="90"/>
      <c r="BM154" s="90"/>
      <c r="BN154" s="90"/>
      <c r="BO154" s="90"/>
      <c r="BP154" s="90"/>
      <c r="BQ154" s="90"/>
      <c r="BR154" s="90"/>
      <c r="BS154" s="90"/>
      <c r="BT154" s="90"/>
      <c r="BU154" s="90"/>
    </row>
    <row r="155" spans="1:73" s="91" customFormat="1" ht="67.5" x14ac:dyDescent="0.25">
      <c r="A155" s="707"/>
      <c r="B155" s="627"/>
      <c r="C155" s="627"/>
      <c r="D155" s="620"/>
      <c r="E155" s="620"/>
      <c r="F155" s="608"/>
      <c r="G155" s="608"/>
      <c r="H155" s="611"/>
      <c r="I155" s="601"/>
      <c r="J155" s="607"/>
      <c r="K155" s="4" t="s">
        <v>681</v>
      </c>
      <c r="L155" s="82" t="s">
        <v>682</v>
      </c>
      <c r="M155" s="3">
        <v>29</v>
      </c>
      <c r="N155" s="5">
        <v>29</v>
      </c>
      <c r="O155" s="5">
        <v>29</v>
      </c>
      <c r="P155" s="5">
        <v>29</v>
      </c>
      <c r="Q155" s="5">
        <v>29</v>
      </c>
      <c r="R155" s="196">
        <v>29</v>
      </c>
      <c r="S155" s="184"/>
      <c r="T155" s="3">
        <v>120</v>
      </c>
      <c r="U155" s="3"/>
      <c r="V155" s="3"/>
      <c r="W155" s="3"/>
      <c r="X155" s="3"/>
      <c r="Y155" s="3"/>
      <c r="Z155" s="44">
        <f t="shared" si="40"/>
        <v>120</v>
      </c>
      <c r="AA155" s="3"/>
      <c r="AB155" s="3">
        <v>120</v>
      </c>
      <c r="AC155" s="3"/>
      <c r="AD155" s="3"/>
      <c r="AE155" s="3"/>
      <c r="AF155" s="3"/>
      <c r="AG155" s="3"/>
      <c r="AH155" s="44">
        <f t="shared" si="41"/>
        <v>120</v>
      </c>
      <c r="AI155" s="12"/>
      <c r="AJ155" s="3">
        <v>120</v>
      </c>
      <c r="AK155" s="12"/>
      <c r="AL155" s="12"/>
      <c r="AM155" s="3"/>
      <c r="AN155" s="12"/>
      <c r="AO155" s="12"/>
      <c r="AP155" s="44">
        <f t="shared" si="42"/>
        <v>120</v>
      </c>
      <c r="AQ155" s="12"/>
      <c r="AR155" s="3">
        <v>120</v>
      </c>
      <c r="AS155" s="12"/>
      <c r="AT155" s="12"/>
      <c r="AU155" s="3"/>
      <c r="AV155" s="12"/>
      <c r="AW155" s="12"/>
      <c r="AX155" s="44">
        <f t="shared" si="43"/>
        <v>120</v>
      </c>
      <c r="AY155" s="44">
        <f t="shared" si="44"/>
        <v>0</v>
      </c>
      <c r="AZ155" s="44">
        <f t="shared" si="45"/>
        <v>480</v>
      </c>
      <c r="BA155" s="44">
        <f t="shared" si="46"/>
        <v>0</v>
      </c>
      <c r="BB155" s="44">
        <f t="shared" si="47"/>
        <v>0</v>
      </c>
      <c r="BC155" s="44">
        <f t="shared" si="48"/>
        <v>0</v>
      </c>
      <c r="BD155" s="44">
        <f t="shared" si="49"/>
        <v>0</v>
      </c>
      <c r="BE155" s="44">
        <f t="shared" si="50"/>
        <v>0</v>
      </c>
      <c r="BF155" s="83">
        <f t="shared" si="51"/>
        <v>480</v>
      </c>
      <c r="BG155" s="47"/>
      <c r="BH155" s="47"/>
      <c r="BI155" s="90"/>
      <c r="BJ155" s="90"/>
      <c r="BK155" s="90"/>
      <c r="BL155" s="90"/>
      <c r="BM155" s="90"/>
      <c r="BN155" s="90"/>
      <c r="BO155" s="90"/>
      <c r="BP155" s="90"/>
      <c r="BQ155" s="90"/>
      <c r="BR155" s="90"/>
      <c r="BS155" s="90"/>
      <c r="BT155" s="90"/>
      <c r="BU155" s="90"/>
    </row>
    <row r="156" spans="1:73" s="91" customFormat="1" ht="40.5" x14ac:dyDescent="0.25">
      <c r="A156" s="707"/>
      <c r="B156" s="627"/>
      <c r="C156" s="627"/>
      <c r="D156" s="620"/>
      <c r="E156" s="620"/>
      <c r="F156" s="608"/>
      <c r="G156" s="608"/>
      <c r="H156" s="611"/>
      <c r="I156" s="601"/>
      <c r="J156" s="607"/>
      <c r="K156" s="4" t="s">
        <v>683</v>
      </c>
      <c r="L156" s="82" t="s">
        <v>684</v>
      </c>
      <c r="M156" s="3">
        <v>8</v>
      </c>
      <c r="N156" s="5">
        <v>29</v>
      </c>
      <c r="O156" s="3">
        <v>16</v>
      </c>
      <c r="P156" s="3">
        <v>24</v>
      </c>
      <c r="Q156" s="3">
        <v>29</v>
      </c>
      <c r="R156" s="196">
        <v>29</v>
      </c>
      <c r="S156" s="184"/>
      <c r="T156" s="3">
        <v>40</v>
      </c>
      <c r="U156" s="3"/>
      <c r="V156" s="3"/>
      <c r="W156" s="3"/>
      <c r="X156" s="3"/>
      <c r="Y156" s="3"/>
      <c r="Z156" s="44">
        <f t="shared" si="40"/>
        <v>40</v>
      </c>
      <c r="AA156" s="3"/>
      <c r="AB156" s="3">
        <v>40</v>
      </c>
      <c r="AC156" s="3"/>
      <c r="AD156" s="3"/>
      <c r="AE156" s="3"/>
      <c r="AF156" s="3"/>
      <c r="AG156" s="3"/>
      <c r="AH156" s="44">
        <f t="shared" si="41"/>
        <v>40</v>
      </c>
      <c r="AI156" s="3"/>
      <c r="AJ156" s="3">
        <v>40</v>
      </c>
      <c r="AK156" s="3"/>
      <c r="AL156" s="3"/>
      <c r="AM156" s="3"/>
      <c r="AN156" s="3"/>
      <c r="AO156" s="3"/>
      <c r="AP156" s="44">
        <f t="shared" si="42"/>
        <v>40</v>
      </c>
      <c r="AQ156" s="3"/>
      <c r="AR156" s="3">
        <v>40</v>
      </c>
      <c r="AS156" s="3"/>
      <c r="AT156" s="3"/>
      <c r="AU156" s="3"/>
      <c r="AV156" s="3"/>
      <c r="AW156" s="3"/>
      <c r="AX156" s="44">
        <f t="shared" si="43"/>
        <v>40</v>
      </c>
      <c r="AY156" s="44">
        <f t="shared" si="44"/>
        <v>0</v>
      </c>
      <c r="AZ156" s="44">
        <f t="shared" si="45"/>
        <v>160</v>
      </c>
      <c r="BA156" s="44">
        <f t="shared" si="46"/>
        <v>0</v>
      </c>
      <c r="BB156" s="44">
        <f t="shared" si="47"/>
        <v>0</v>
      </c>
      <c r="BC156" s="44">
        <f t="shared" si="48"/>
        <v>0</v>
      </c>
      <c r="BD156" s="44">
        <f t="shared" si="49"/>
        <v>0</v>
      </c>
      <c r="BE156" s="44">
        <f t="shared" si="50"/>
        <v>0</v>
      </c>
      <c r="BF156" s="83">
        <f t="shared" si="51"/>
        <v>160</v>
      </c>
      <c r="BG156" s="47"/>
      <c r="BH156" s="47"/>
      <c r="BI156" s="90"/>
      <c r="BJ156" s="90"/>
      <c r="BK156" s="90"/>
      <c r="BL156" s="90"/>
      <c r="BM156" s="90"/>
      <c r="BN156" s="90"/>
      <c r="BO156" s="90"/>
      <c r="BP156" s="90"/>
      <c r="BQ156" s="90"/>
      <c r="BR156" s="90"/>
      <c r="BS156" s="90"/>
      <c r="BT156" s="90"/>
      <c r="BU156" s="90"/>
    </row>
    <row r="157" spans="1:73" s="91" customFormat="1" ht="67.5" x14ac:dyDescent="0.25">
      <c r="A157" s="707"/>
      <c r="B157" s="627"/>
      <c r="C157" s="627"/>
      <c r="D157" s="620"/>
      <c r="E157" s="620"/>
      <c r="F157" s="608"/>
      <c r="G157" s="608"/>
      <c r="H157" s="611"/>
      <c r="I157" s="601"/>
      <c r="J157" s="607"/>
      <c r="K157" s="354" t="s">
        <v>685</v>
      </c>
      <c r="L157" s="357" t="s">
        <v>686</v>
      </c>
      <c r="M157" s="367">
        <v>8</v>
      </c>
      <c r="N157" s="367">
        <v>32</v>
      </c>
      <c r="O157" s="367">
        <v>8</v>
      </c>
      <c r="P157" s="367">
        <v>16</v>
      </c>
      <c r="Q157" s="367">
        <v>24</v>
      </c>
      <c r="R157" s="192">
        <v>32</v>
      </c>
      <c r="S157" s="184"/>
      <c r="T157" s="3">
        <v>50</v>
      </c>
      <c r="U157" s="3"/>
      <c r="V157" s="3"/>
      <c r="W157" s="3"/>
      <c r="X157" s="3"/>
      <c r="Y157" s="3"/>
      <c r="Z157" s="44">
        <f t="shared" si="40"/>
        <v>50</v>
      </c>
      <c r="AA157" s="3"/>
      <c r="AB157" s="3">
        <v>50</v>
      </c>
      <c r="AC157" s="3"/>
      <c r="AD157" s="3"/>
      <c r="AE157" s="3"/>
      <c r="AF157" s="3"/>
      <c r="AG157" s="3"/>
      <c r="AH157" s="44">
        <f t="shared" si="41"/>
        <v>50</v>
      </c>
      <c r="AI157" s="3"/>
      <c r="AJ157" s="3">
        <v>50</v>
      </c>
      <c r="AK157" s="3"/>
      <c r="AL157" s="3"/>
      <c r="AM157" s="3"/>
      <c r="AN157" s="3"/>
      <c r="AO157" s="3"/>
      <c r="AP157" s="44">
        <f t="shared" si="42"/>
        <v>50</v>
      </c>
      <c r="AQ157" s="3"/>
      <c r="AR157" s="3">
        <v>50</v>
      </c>
      <c r="AS157" s="3"/>
      <c r="AT157" s="3"/>
      <c r="AU157" s="3"/>
      <c r="AV157" s="3"/>
      <c r="AW157" s="3"/>
      <c r="AX157" s="44">
        <f t="shared" si="43"/>
        <v>50</v>
      </c>
      <c r="AY157" s="44">
        <f t="shared" si="44"/>
        <v>0</v>
      </c>
      <c r="AZ157" s="44">
        <f t="shared" si="45"/>
        <v>200</v>
      </c>
      <c r="BA157" s="44">
        <f t="shared" si="46"/>
        <v>0</v>
      </c>
      <c r="BB157" s="44">
        <f t="shared" si="47"/>
        <v>0</v>
      </c>
      <c r="BC157" s="44">
        <f t="shared" si="48"/>
        <v>0</v>
      </c>
      <c r="BD157" s="44">
        <f t="shared" si="49"/>
        <v>0</v>
      </c>
      <c r="BE157" s="44">
        <f t="shared" si="50"/>
        <v>0</v>
      </c>
      <c r="BF157" s="83">
        <f t="shared" si="51"/>
        <v>200</v>
      </c>
      <c r="BG157" s="47"/>
      <c r="BH157" s="47"/>
      <c r="BI157" s="90"/>
      <c r="BJ157" s="90"/>
      <c r="BK157" s="90"/>
      <c r="BL157" s="90"/>
      <c r="BM157" s="90"/>
      <c r="BN157" s="90"/>
      <c r="BO157" s="90"/>
      <c r="BP157" s="90"/>
      <c r="BQ157" s="90"/>
      <c r="BR157" s="90"/>
      <c r="BS157" s="90"/>
      <c r="BT157" s="90"/>
      <c r="BU157" s="90"/>
    </row>
    <row r="158" spans="1:73" s="91" customFormat="1" ht="54" x14ac:dyDescent="0.25">
      <c r="A158" s="707"/>
      <c r="B158" s="627"/>
      <c r="C158" s="627"/>
      <c r="D158" s="620" t="s">
        <v>589</v>
      </c>
      <c r="E158" s="620" t="s">
        <v>572</v>
      </c>
      <c r="F158" s="720">
        <v>0.95</v>
      </c>
      <c r="G158" s="613" t="s">
        <v>573</v>
      </c>
      <c r="H158" s="611"/>
      <c r="I158" s="601"/>
      <c r="J158" s="607"/>
      <c r="K158" s="4" t="s">
        <v>593</v>
      </c>
      <c r="L158" s="82" t="s">
        <v>687</v>
      </c>
      <c r="M158" s="3">
        <v>29</v>
      </c>
      <c r="N158" s="5">
        <v>29</v>
      </c>
      <c r="O158" s="5">
        <v>29</v>
      </c>
      <c r="P158" s="5">
        <v>29</v>
      </c>
      <c r="Q158" s="5">
        <v>29</v>
      </c>
      <c r="R158" s="193">
        <v>29</v>
      </c>
      <c r="S158" s="184"/>
      <c r="T158" s="3">
        <v>40</v>
      </c>
      <c r="U158" s="3"/>
      <c r="V158" s="3"/>
      <c r="W158" s="3"/>
      <c r="X158" s="3"/>
      <c r="Y158" s="3"/>
      <c r="Z158" s="44">
        <f t="shared" si="40"/>
        <v>40</v>
      </c>
      <c r="AA158" s="3"/>
      <c r="AB158" s="3">
        <v>40</v>
      </c>
      <c r="AC158" s="3"/>
      <c r="AD158" s="3"/>
      <c r="AE158" s="3"/>
      <c r="AF158" s="3"/>
      <c r="AG158" s="3"/>
      <c r="AH158" s="44">
        <f t="shared" si="41"/>
        <v>40</v>
      </c>
      <c r="AI158" s="3"/>
      <c r="AJ158" s="3">
        <v>40</v>
      </c>
      <c r="AK158" s="3"/>
      <c r="AL158" s="3"/>
      <c r="AM158" s="3"/>
      <c r="AN158" s="3"/>
      <c r="AO158" s="3"/>
      <c r="AP158" s="44">
        <f t="shared" si="42"/>
        <v>40</v>
      </c>
      <c r="AQ158" s="3"/>
      <c r="AR158" s="3">
        <v>40</v>
      </c>
      <c r="AS158" s="3"/>
      <c r="AT158" s="3"/>
      <c r="AU158" s="3"/>
      <c r="AV158" s="3"/>
      <c r="AW158" s="3"/>
      <c r="AX158" s="44">
        <f t="shared" si="43"/>
        <v>40</v>
      </c>
      <c r="AY158" s="44">
        <f t="shared" si="44"/>
        <v>0</v>
      </c>
      <c r="AZ158" s="44">
        <f t="shared" si="45"/>
        <v>160</v>
      </c>
      <c r="BA158" s="44">
        <f t="shared" si="46"/>
        <v>0</v>
      </c>
      <c r="BB158" s="44">
        <f t="shared" si="47"/>
        <v>0</v>
      </c>
      <c r="BC158" s="44">
        <f t="shared" si="48"/>
        <v>0</v>
      </c>
      <c r="BD158" s="44">
        <f t="shared" si="49"/>
        <v>0</v>
      </c>
      <c r="BE158" s="44">
        <f t="shared" si="50"/>
        <v>0</v>
      </c>
      <c r="BF158" s="83">
        <f t="shared" si="51"/>
        <v>160</v>
      </c>
      <c r="BG158" s="47"/>
      <c r="BH158" s="47"/>
      <c r="BI158" s="90"/>
      <c r="BJ158" s="90"/>
      <c r="BK158" s="90"/>
      <c r="BL158" s="90"/>
      <c r="BM158" s="90"/>
      <c r="BN158" s="90"/>
      <c r="BO158" s="90"/>
      <c r="BP158" s="90"/>
      <c r="BQ158" s="90"/>
      <c r="BR158" s="90"/>
      <c r="BS158" s="90"/>
      <c r="BT158" s="90"/>
      <c r="BU158" s="90"/>
    </row>
    <row r="159" spans="1:73" s="91" customFormat="1" ht="54" x14ac:dyDescent="0.25">
      <c r="A159" s="707"/>
      <c r="B159" s="627"/>
      <c r="C159" s="627"/>
      <c r="D159" s="620"/>
      <c r="E159" s="620"/>
      <c r="F159" s="720"/>
      <c r="G159" s="613"/>
      <c r="H159" s="611"/>
      <c r="I159" s="601"/>
      <c r="J159" s="607"/>
      <c r="K159" s="4" t="s">
        <v>688</v>
      </c>
      <c r="L159" s="82" t="s">
        <v>689</v>
      </c>
      <c r="M159" s="3">
        <v>1</v>
      </c>
      <c r="N159" s="5">
        <v>1</v>
      </c>
      <c r="O159" s="5">
        <v>1</v>
      </c>
      <c r="P159" s="5">
        <v>1</v>
      </c>
      <c r="Q159" s="5">
        <v>1</v>
      </c>
      <c r="R159" s="193">
        <v>1</v>
      </c>
      <c r="S159" s="184"/>
      <c r="T159" s="3">
        <v>80</v>
      </c>
      <c r="U159" s="3"/>
      <c r="V159" s="3"/>
      <c r="W159" s="3"/>
      <c r="X159" s="3"/>
      <c r="Y159" s="3"/>
      <c r="Z159" s="44">
        <f t="shared" si="40"/>
        <v>80</v>
      </c>
      <c r="AA159" s="3"/>
      <c r="AB159" s="3">
        <v>80</v>
      </c>
      <c r="AC159" s="3"/>
      <c r="AD159" s="3"/>
      <c r="AE159" s="3"/>
      <c r="AF159" s="3"/>
      <c r="AG159" s="3"/>
      <c r="AH159" s="44">
        <f t="shared" si="41"/>
        <v>80</v>
      </c>
      <c r="AI159" s="3"/>
      <c r="AJ159" s="3">
        <v>80</v>
      </c>
      <c r="AK159" s="3"/>
      <c r="AL159" s="3"/>
      <c r="AM159" s="3"/>
      <c r="AN159" s="3"/>
      <c r="AO159" s="3"/>
      <c r="AP159" s="44">
        <f t="shared" si="42"/>
        <v>80</v>
      </c>
      <c r="AQ159" s="3"/>
      <c r="AR159" s="3">
        <v>80</v>
      </c>
      <c r="AS159" s="3"/>
      <c r="AT159" s="3"/>
      <c r="AU159" s="3"/>
      <c r="AV159" s="3"/>
      <c r="AW159" s="3"/>
      <c r="AX159" s="44">
        <f t="shared" si="43"/>
        <v>80</v>
      </c>
      <c r="AY159" s="44">
        <f t="shared" si="44"/>
        <v>0</v>
      </c>
      <c r="AZ159" s="44">
        <f t="shared" si="45"/>
        <v>320</v>
      </c>
      <c r="BA159" s="44">
        <f t="shared" si="46"/>
        <v>0</v>
      </c>
      <c r="BB159" s="44">
        <f t="shared" si="47"/>
        <v>0</v>
      </c>
      <c r="BC159" s="44">
        <f t="shared" si="48"/>
        <v>0</v>
      </c>
      <c r="BD159" s="44">
        <f t="shared" si="49"/>
        <v>0</v>
      </c>
      <c r="BE159" s="44">
        <f t="shared" si="50"/>
        <v>0</v>
      </c>
      <c r="BF159" s="83">
        <f t="shared" si="51"/>
        <v>320</v>
      </c>
      <c r="BG159" s="47"/>
      <c r="BH159" s="47"/>
      <c r="BI159" s="90"/>
      <c r="BJ159" s="90"/>
      <c r="BK159" s="90"/>
      <c r="BL159" s="90"/>
      <c r="BM159" s="90"/>
      <c r="BN159" s="90"/>
      <c r="BO159" s="90"/>
      <c r="BP159" s="90"/>
      <c r="BQ159" s="90"/>
      <c r="BR159" s="90"/>
      <c r="BS159" s="90"/>
      <c r="BT159" s="90"/>
      <c r="BU159" s="90"/>
    </row>
    <row r="160" spans="1:73" s="91" customFormat="1" ht="40.5" x14ac:dyDescent="0.25">
      <c r="A160" s="707"/>
      <c r="B160" s="627"/>
      <c r="C160" s="627"/>
      <c r="D160" s="620"/>
      <c r="E160" s="620"/>
      <c r="F160" s="720"/>
      <c r="G160" s="613"/>
      <c r="H160" s="611"/>
      <c r="I160" s="601"/>
      <c r="J160" s="607"/>
      <c r="K160" s="4" t="s">
        <v>590</v>
      </c>
      <c r="L160" s="357" t="s">
        <v>690</v>
      </c>
      <c r="M160" s="3">
        <v>10</v>
      </c>
      <c r="N160" s="5">
        <v>29</v>
      </c>
      <c r="O160" s="3">
        <v>15</v>
      </c>
      <c r="P160" s="3">
        <v>20</v>
      </c>
      <c r="Q160" s="3">
        <v>25</v>
      </c>
      <c r="R160" s="196">
        <v>29</v>
      </c>
      <c r="S160" s="184"/>
      <c r="T160" s="3">
        <v>140</v>
      </c>
      <c r="U160" s="3"/>
      <c r="V160" s="3"/>
      <c r="W160" s="3"/>
      <c r="X160" s="3"/>
      <c r="Y160" s="3"/>
      <c r="Z160" s="44">
        <f t="shared" si="40"/>
        <v>140</v>
      </c>
      <c r="AA160" s="3"/>
      <c r="AB160" s="3">
        <v>140</v>
      </c>
      <c r="AC160" s="3"/>
      <c r="AD160" s="3"/>
      <c r="AE160" s="3"/>
      <c r="AF160" s="3"/>
      <c r="AG160" s="3"/>
      <c r="AH160" s="44">
        <f t="shared" si="41"/>
        <v>140</v>
      </c>
      <c r="AI160" s="3"/>
      <c r="AJ160" s="3">
        <v>140</v>
      </c>
      <c r="AK160" s="3"/>
      <c r="AL160" s="3"/>
      <c r="AM160" s="3"/>
      <c r="AN160" s="3"/>
      <c r="AO160" s="3"/>
      <c r="AP160" s="44">
        <f t="shared" si="42"/>
        <v>140</v>
      </c>
      <c r="AQ160" s="3"/>
      <c r="AR160" s="3">
        <v>140</v>
      </c>
      <c r="AS160" s="3"/>
      <c r="AT160" s="3"/>
      <c r="AU160" s="3"/>
      <c r="AV160" s="3"/>
      <c r="AW160" s="3"/>
      <c r="AX160" s="44">
        <f t="shared" si="43"/>
        <v>140</v>
      </c>
      <c r="AY160" s="44">
        <f t="shared" si="44"/>
        <v>0</v>
      </c>
      <c r="AZ160" s="44">
        <f t="shared" si="45"/>
        <v>560</v>
      </c>
      <c r="BA160" s="44">
        <f t="shared" si="46"/>
        <v>0</v>
      </c>
      <c r="BB160" s="44">
        <f t="shared" si="47"/>
        <v>0</v>
      </c>
      <c r="BC160" s="44">
        <f t="shared" si="48"/>
        <v>0</v>
      </c>
      <c r="BD160" s="44">
        <f t="shared" si="49"/>
        <v>0</v>
      </c>
      <c r="BE160" s="44">
        <f t="shared" si="50"/>
        <v>0</v>
      </c>
      <c r="BF160" s="83">
        <f t="shared" si="51"/>
        <v>560</v>
      </c>
      <c r="BG160" s="47"/>
      <c r="BH160" s="47"/>
      <c r="BI160" s="90"/>
      <c r="BJ160" s="90"/>
      <c r="BK160" s="90"/>
      <c r="BL160" s="90"/>
      <c r="BM160" s="90"/>
      <c r="BN160" s="90"/>
      <c r="BO160" s="90"/>
      <c r="BP160" s="90"/>
      <c r="BQ160" s="90"/>
      <c r="BR160" s="90"/>
      <c r="BS160" s="90"/>
      <c r="BT160" s="90"/>
      <c r="BU160" s="90"/>
    </row>
    <row r="161" spans="1:73" s="91" customFormat="1" ht="67.5" x14ac:dyDescent="0.25">
      <c r="A161" s="707"/>
      <c r="B161" s="627"/>
      <c r="C161" s="627"/>
      <c r="D161" s="620"/>
      <c r="E161" s="620"/>
      <c r="F161" s="720"/>
      <c r="G161" s="613"/>
      <c r="H161" s="611"/>
      <c r="I161" s="601"/>
      <c r="J161" s="607"/>
      <c r="K161" s="4" t="s">
        <v>192</v>
      </c>
      <c r="L161" s="357" t="s">
        <v>193</v>
      </c>
      <c r="M161" s="367">
        <v>29</v>
      </c>
      <c r="N161" s="367">
        <v>29</v>
      </c>
      <c r="O161" s="367">
        <v>29</v>
      </c>
      <c r="P161" s="367">
        <v>29</v>
      </c>
      <c r="Q161" s="367">
        <v>29</v>
      </c>
      <c r="R161" s="192">
        <v>29</v>
      </c>
      <c r="S161" s="184"/>
      <c r="T161" s="3">
        <v>330</v>
      </c>
      <c r="U161" s="3"/>
      <c r="V161" s="3"/>
      <c r="W161" s="3"/>
      <c r="X161" s="3"/>
      <c r="Y161" s="3"/>
      <c r="Z161" s="44">
        <f t="shared" si="40"/>
        <v>330</v>
      </c>
      <c r="AA161" s="3"/>
      <c r="AB161" s="3">
        <v>330</v>
      </c>
      <c r="AC161" s="3"/>
      <c r="AD161" s="3"/>
      <c r="AE161" s="3"/>
      <c r="AF161" s="3"/>
      <c r="AG161" s="3"/>
      <c r="AH161" s="44">
        <f t="shared" si="41"/>
        <v>330</v>
      </c>
      <c r="AI161" s="3"/>
      <c r="AJ161" s="3">
        <v>330</v>
      </c>
      <c r="AK161" s="3"/>
      <c r="AL161" s="3"/>
      <c r="AM161" s="3"/>
      <c r="AN161" s="3"/>
      <c r="AO161" s="3"/>
      <c r="AP161" s="44">
        <f t="shared" si="42"/>
        <v>330</v>
      </c>
      <c r="AQ161" s="3"/>
      <c r="AR161" s="3">
        <v>330</v>
      </c>
      <c r="AS161" s="3"/>
      <c r="AT161" s="3"/>
      <c r="AU161" s="3"/>
      <c r="AV161" s="3"/>
      <c r="AW161" s="3"/>
      <c r="AX161" s="44">
        <f t="shared" si="43"/>
        <v>330</v>
      </c>
      <c r="AY161" s="44">
        <f t="shared" si="44"/>
        <v>0</v>
      </c>
      <c r="AZ161" s="44">
        <f t="shared" si="45"/>
        <v>1320</v>
      </c>
      <c r="BA161" s="44">
        <f t="shared" si="46"/>
        <v>0</v>
      </c>
      <c r="BB161" s="44">
        <f t="shared" si="47"/>
        <v>0</v>
      </c>
      <c r="BC161" s="44">
        <f t="shared" si="48"/>
        <v>0</v>
      </c>
      <c r="BD161" s="44">
        <f t="shared" si="49"/>
        <v>0</v>
      </c>
      <c r="BE161" s="44">
        <f t="shared" si="50"/>
        <v>0</v>
      </c>
      <c r="BF161" s="83">
        <f t="shared" si="51"/>
        <v>1320</v>
      </c>
      <c r="BG161" s="47"/>
      <c r="BH161" s="47"/>
      <c r="BI161" s="90"/>
      <c r="BJ161" s="90"/>
      <c r="BK161" s="90"/>
      <c r="BL161" s="90"/>
      <c r="BM161" s="90"/>
      <c r="BN161" s="90"/>
      <c r="BO161" s="90"/>
      <c r="BP161" s="90"/>
      <c r="BQ161" s="90"/>
      <c r="BR161" s="90"/>
      <c r="BS161" s="90"/>
      <c r="BT161" s="90"/>
      <c r="BU161" s="90"/>
    </row>
    <row r="162" spans="1:73" s="91" customFormat="1" ht="54" x14ac:dyDescent="0.25">
      <c r="A162" s="707"/>
      <c r="B162" s="627"/>
      <c r="C162" s="627"/>
      <c r="D162" s="620"/>
      <c r="E162" s="620"/>
      <c r="F162" s="720"/>
      <c r="G162" s="613"/>
      <c r="H162" s="611"/>
      <c r="I162" s="601"/>
      <c r="J162" s="607"/>
      <c r="K162" s="354" t="s">
        <v>691</v>
      </c>
      <c r="L162" s="357" t="s">
        <v>678</v>
      </c>
      <c r="M162" s="367">
        <v>29</v>
      </c>
      <c r="N162" s="367">
        <v>29</v>
      </c>
      <c r="O162" s="367">
        <v>29</v>
      </c>
      <c r="P162" s="367">
        <v>29</v>
      </c>
      <c r="Q162" s="367">
        <v>29</v>
      </c>
      <c r="R162" s="192">
        <v>29</v>
      </c>
      <c r="S162" s="184"/>
      <c r="T162" s="3">
        <v>10</v>
      </c>
      <c r="U162" s="3"/>
      <c r="V162" s="3"/>
      <c r="W162" s="3"/>
      <c r="X162" s="3"/>
      <c r="Y162" s="3"/>
      <c r="Z162" s="44">
        <f t="shared" si="40"/>
        <v>10</v>
      </c>
      <c r="AA162" s="3"/>
      <c r="AB162" s="3">
        <v>10</v>
      </c>
      <c r="AC162" s="3"/>
      <c r="AD162" s="3"/>
      <c r="AE162" s="3"/>
      <c r="AF162" s="3"/>
      <c r="AG162" s="3"/>
      <c r="AH162" s="44">
        <f t="shared" si="41"/>
        <v>10</v>
      </c>
      <c r="AI162" s="3"/>
      <c r="AJ162" s="3">
        <v>10</v>
      </c>
      <c r="AK162" s="3"/>
      <c r="AL162" s="3"/>
      <c r="AM162" s="3"/>
      <c r="AN162" s="3"/>
      <c r="AO162" s="3"/>
      <c r="AP162" s="44">
        <f t="shared" si="42"/>
        <v>10</v>
      </c>
      <c r="AQ162" s="3"/>
      <c r="AR162" s="3">
        <v>10</v>
      </c>
      <c r="AS162" s="3"/>
      <c r="AT162" s="3"/>
      <c r="AU162" s="3"/>
      <c r="AV162" s="3"/>
      <c r="AW162" s="3"/>
      <c r="AX162" s="44">
        <f t="shared" si="43"/>
        <v>10</v>
      </c>
      <c r="AY162" s="44">
        <f t="shared" si="44"/>
        <v>0</v>
      </c>
      <c r="AZ162" s="44">
        <f t="shared" si="45"/>
        <v>40</v>
      </c>
      <c r="BA162" s="44">
        <f t="shared" si="46"/>
        <v>0</v>
      </c>
      <c r="BB162" s="44">
        <f t="shared" si="47"/>
        <v>0</v>
      </c>
      <c r="BC162" s="44">
        <f t="shared" si="48"/>
        <v>0</v>
      </c>
      <c r="BD162" s="44">
        <f t="shared" si="49"/>
        <v>0</v>
      </c>
      <c r="BE162" s="44">
        <f t="shared" si="50"/>
        <v>0</v>
      </c>
      <c r="BF162" s="83">
        <f t="shared" si="51"/>
        <v>40</v>
      </c>
      <c r="BG162" s="47"/>
      <c r="BH162" s="47"/>
      <c r="BI162" s="90"/>
      <c r="BJ162" s="90"/>
      <c r="BK162" s="90"/>
      <c r="BL162" s="90"/>
      <c r="BM162" s="90"/>
      <c r="BN162" s="90"/>
      <c r="BO162" s="90"/>
      <c r="BP162" s="90"/>
      <c r="BQ162" s="90"/>
      <c r="BR162" s="90"/>
      <c r="BS162" s="90"/>
      <c r="BT162" s="90"/>
      <c r="BU162" s="90"/>
    </row>
    <row r="163" spans="1:73" s="91" customFormat="1" ht="40.5" x14ac:dyDescent="0.25">
      <c r="A163" s="707"/>
      <c r="B163" s="627"/>
      <c r="C163" s="627"/>
      <c r="D163" s="620" t="s">
        <v>948</v>
      </c>
      <c r="E163" s="620" t="s">
        <v>194</v>
      </c>
      <c r="F163" s="608">
        <v>2.2000000000000002</v>
      </c>
      <c r="G163" s="608">
        <v>2.2000000000000002</v>
      </c>
      <c r="H163" s="611"/>
      <c r="I163" s="601"/>
      <c r="J163" s="603" t="s">
        <v>743</v>
      </c>
      <c r="K163" s="354" t="s">
        <v>692</v>
      </c>
      <c r="L163" s="82" t="s">
        <v>693</v>
      </c>
      <c r="M163" s="7">
        <v>0</v>
      </c>
      <c r="N163" s="7">
        <v>1</v>
      </c>
      <c r="O163" s="7"/>
      <c r="P163" s="7"/>
      <c r="Q163" s="7"/>
      <c r="R163" s="41">
        <v>1</v>
      </c>
      <c r="S163" s="184"/>
      <c r="T163" s="3"/>
      <c r="U163" s="3"/>
      <c r="V163" s="3"/>
      <c r="W163" s="3"/>
      <c r="X163" s="3"/>
      <c r="Y163" s="3"/>
      <c r="Z163" s="44">
        <f t="shared" si="40"/>
        <v>0</v>
      </c>
      <c r="AA163" s="3"/>
      <c r="AB163" s="3"/>
      <c r="AC163" s="3"/>
      <c r="AD163" s="3"/>
      <c r="AE163" s="3"/>
      <c r="AF163" s="3"/>
      <c r="AG163" s="3"/>
      <c r="AH163" s="44">
        <f t="shared" si="41"/>
        <v>0</v>
      </c>
      <c r="AI163" s="3"/>
      <c r="AJ163" s="3"/>
      <c r="AK163" s="3"/>
      <c r="AL163" s="3"/>
      <c r="AM163" s="3"/>
      <c r="AN163" s="3"/>
      <c r="AO163" s="3"/>
      <c r="AP163" s="44">
        <f t="shared" si="42"/>
        <v>0</v>
      </c>
      <c r="AQ163" s="3"/>
      <c r="AR163" s="3"/>
      <c r="AS163" s="3"/>
      <c r="AT163" s="3"/>
      <c r="AU163" s="3"/>
      <c r="AV163" s="3"/>
      <c r="AW163" s="3">
        <v>400</v>
      </c>
      <c r="AX163" s="44">
        <f t="shared" si="43"/>
        <v>400</v>
      </c>
      <c r="AY163" s="44">
        <f t="shared" si="44"/>
        <v>0</v>
      </c>
      <c r="AZ163" s="44">
        <f t="shared" si="45"/>
        <v>0</v>
      </c>
      <c r="BA163" s="44">
        <f t="shared" si="46"/>
        <v>0</v>
      </c>
      <c r="BB163" s="44">
        <f t="shared" si="47"/>
        <v>0</v>
      </c>
      <c r="BC163" s="44">
        <f t="shared" si="48"/>
        <v>0</v>
      </c>
      <c r="BD163" s="44">
        <f t="shared" si="49"/>
        <v>0</v>
      </c>
      <c r="BE163" s="44">
        <f t="shared" si="50"/>
        <v>400</v>
      </c>
      <c r="BF163" s="83">
        <f t="shared" si="51"/>
        <v>400</v>
      </c>
      <c r="BG163" s="47"/>
      <c r="BH163" s="47"/>
      <c r="BI163" s="90"/>
      <c r="BJ163" s="90"/>
      <c r="BK163" s="90"/>
      <c r="BL163" s="90"/>
      <c r="BM163" s="90"/>
      <c r="BN163" s="90"/>
      <c r="BO163" s="90"/>
      <c r="BP163" s="90"/>
      <c r="BQ163" s="90"/>
      <c r="BR163" s="90"/>
      <c r="BS163" s="90"/>
      <c r="BT163" s="90"/>
      <c r="BU163" s="90"/>
    </row>
    <row r="164" spans="1:73" s="91" customFormat="1" ht="40.5" x14ac:dyDescent="0.25">
      <c r="A164" s="707"/>
      <c r="B164" s="627"/>
      <c r="C164" s="627"/>
      <c r="D164" s="620"/>
      <c r="E164" s="620"/>
      <c r="F164" s="608"/>
      <c r="G164" s="608"/>
      <c r="H164" s="611"/>
      <c r="I164" s="601"/>
      <c r="J164" s="607"/>
      <c r="K164" s="354" t="s">
        <v>694</v>
      </c>
      <c r="L164" s="82" t="s">
        <v>695</v>
      </c>
      <c r="M164" s="7">
        <v>29</v>
      </c>
      <c r="N164" s="7">
        <v>29</v>
      </c>
      <c r="O164" s="7">
        <v>29</v>
      </c>
      <c r="P164" s="7">
        <v>29</v>
      </c>
      <c r="Q164" s="7">
        <v>29</v>
      </c>
      <c r="R164" s="41">
        <v>29</v>
      </c>
      <c r="S164" s="184"/>
      <c r="T164" s="3">
        <v>30</v>
      </c>
      <c r="U164" s="3"/>
      <c r="V164" s="3"/>
      <c r="W164" s="3"/>
      <c r="X164" s="3"/>
      <c r="Y164" s="3"/>
      <c r="Z164" s="44">
        <f t="shared" si="40"/>
        <v>30</v>
      </c>
      <c r="AA164" s="3"/>
      <c r="AB164" s="3">
        <v>30</v>
      </c>
      <c r="AC164" s="3"/>
      <c r="AD164" s="3"/>
      <c r="AE164" s="3"/>
      <c r="AF164" s="3"/>
      <c r="AG164" s="3"/>
      <c r="AH164" s="44">
        <f t="shared" si="41"/>
        <v>30</v>
      </c>
      <c r="AI164" s="3"/>
      <c r="AJ164" s="3">
        <v>30</v>
      </c>
      <c r="AK164" s="3"/>
      <c r="AL164" s="3"/>
      <c r="AM164" s="3"/>
      <c r="AN164" s="3"/>
      <c r="AO164" s="3"/>
      <c r="AP164" s="44">
        <f t="shared" si="42"/>
        <v>30</v>
      </c>
      <c r="AQ164" s="3"/>
      <c r="AR164" s="3">
        <v>30</v>
      </c>
      <c r="AS164" s="3"/>
      <c r="AT164" s="3"/>
      <c r="AU164" s="3"/>
      <c r="AV164" s="3"/>
      <c r="AW164" s="3"/>
      <c r="AX164" s="44">
        <f t="shared" si="43"/>
        <v>30</v>
      </c>
      <c r="AY164" s="44">
        <f t="shared" si="44"/>
        <v>0</v>
      </c>
      <c r="AZ164" s="44">
        <f t="shared" si="45"/>
        <v>120</v>
      </c>
      <c r="BA164" s="44">
        <f t="shared" si="46"/>
        <v>0</v>
      </c>
      <c r="BB164" s="44">
        <f t="shared" si="47"/>
        <v>0</v>
      </c>
      <c r="BC164" s="44">
        <f t="shared" si="48"/>
        <v>0</v>
      </c>
      <c r="BD164" s="44">
        <f t="shared" si="49"/>
        <v>0</v>
      </c>
      <c r="BE164" s="44">
        <f t="shared" si="50"/>
        <v>0</v>
      </c>
      <c r="BF164" s="83">
        <f t="shared" si="51"/>
        <v>120</v>
      </c>
      <c r="BG164" s="47"/>
      <c r="BH164" s="47"/>
      <c r="BI164" s="90"/>
      <c r="BJ164" s="90"/>
      <c r="BK164" s="90"/>
      <c r="BL164" s="90"/>
      <c r="BM164" s="90"/>
      <c r="BN164" s="90"/>
      <c r="BO164" s="90"/>
      <c r="BP164" s="90"/>
      <c r="BQ164" s="90"/>
      <c r="BR164" s="90"/>
      <c r="BS164" s="90"/>
      <c r="BT164" s="90"/>
      <c r="BU164" s="90"/>
    </row>
    <row r="165" spans="1:73" s="91" customFormat="1" ht="54" x14ac:dyDescent="0.25">
      <c r="A165" s="707"/>
      <c r="B165" s="627"/>
      <c r="C165" s="627"/>
      <c r="D165" s="620"/>
      <c r="E165" s="620"/>
      <c r="F165" s="608"/>
      <c r="G165" s="608"/>
      <c r="H165" s="611"/>
      <c r="I165" s="601"/>
      <c r="J165" s="607"/>
      <c r="K165" s="354" t="s">
        <v>196</v>
      </c>
      <c r="L165" s="82" t="s">
        <v>197</v>
      </c>
      <c r="M165" s="7">
        <v>4</v>
      </c>
      <c r="N165" s="7">
        <v>29</v>
      </c>
      <c r="O165" s="7">
        <v>8</v>
      </c>
      <c r="P165" s="7">
        <v>15</v>
      </c>
      <c r="Q165" s="7">
        <v>21</v>
      </c>
      <c r="R165" s="41">
        <v>29</v>
      </c>
      <c r="S165" s="184"/>
      <c r="T165" s="3">
        <v>20</v>
      </c>
      <c r="U165" s="3"/>
      <c r="V165" s="3"/>
      <c r="W165" s="3"/>
      <c r="X165" s="3"/>
      <c r="Y165" s="3"/>
      <c r="Z165" s="44">
        <f t="shared" si="40"/>
        <v>20</v>
      </c>
      <c r="AA165" s="3"/>
      <c r="AB165" s="3">
        <v>20</v>
      </c>
      <c r="AC165" s="3"/>
      <c r="AD165" s="3"/>
      <c r="AE165" s="3"/>
      <c r="AF165" s="3"/>
      <c r="AG165" s="3"/>
      <c r="AH165" s="44">
        <f t="shared" si="41"/>
        <v>20</v>
      </c>
      <c r="AI165" s="3"/>
      <c r="AJ165" s="3">
        <v>20</v>
      </c>
      <c r="AK165" s="3"/>
      <c r="AL165" s="3"/>
      <c r="AM165" s="3"/>
      <c r="AN165" s="3"/>
      <c r="AO165" s="3"/>
      <c r="AP165" s="44">
        <f t="shared" si="42"/>
        <v>20</v>
      </c>
      <c r="AQ165" s="3"/>
      <c r="AR165" s="3">
        <v>20</v>
      </c>
      <c r="AS165" s="3"/>
      <c r="AT165" s="3"/>
      <c r="AU165" s="3"/>
      <c r="AV165" s="3"/>
      <c r="AW165" s="3"/>
      <c r="AX165" s="44">
        <f t="shared" si="43"/>
        <v>20</v>
      </c>
      <c r="AY165" s="44">
        <f t="shared" si="44"/>
        <v>0</v>
      </c>
      <c r="AZ165" s="44">
        <f t="shared" si="45"/>
        <v>80</v>
      </c>
      <c r="BA165" s="44">
        <f t="shared" si="46"/>
        <v>0</v>
      </c>
      <c r="BB165" s="44">
        <f t="shared" si="47"/>
        <v>0</v>
      </c>
      <c r="BC165" s="44">
        <f t="shared" si="48"/>
        <v>0</v>
      </c>
      <c r="BD165" s="44">
        <f t="shared" si="49"/>
        <v>0</v>
      </c>
      <c r="BE165" s="44">
        <f t="shared" si="50"/>
        <v>0</v>
      </c>
      <c r="BF165" s="83">
        <f t="shared" si="51"/>
        <v>80</v>
      </c>
      <c r="BG165" s="47"/>
      <c r="BH165" s="47"/>
      <c r="BI165" s="90"/>
      <c r="BJ165" s="90"/>
      <c r="BK165" s="90"/>
      <c r="BL165" s="90"/>
      <c r="BM165" s="90"/>
      <c r="BN165" s="90"/>
      <c r="BO165" s="90"/>
      <c r="BP165" s="90"/>
      <c r="BQ165" s="90"/>
      <c r="BR165" s="90"/>
      <c r="BS165" s="90"/>
      <c r="BT165" s="90"/>
      <c r="BU165" s="90"/>
    </row>
    <row r="166" spans="1:73" s="91" customFormat="1" ht="27" x14ac:dyDescent="0.25">
      <c r="A166" s="707"/>
      <c r="B166" s="627"/>
      <c r="C166" s="627"/>
      <c r="D166" s="620"/>
      <c r="E166" s="620"/>
      <c r="F166" s="608"/>
      <c r="G166" s="608"/>
      <c r="H166" s="611"/>
      <c r="I166" s="601"/>
      <c r="J166" s="607"/>
      <c r="K166" s="354" t="s">
        <v>198</v>
      </c>
      <c r="L166" s="82" t="s">
        <v>199</v>
      </c>
      <c r="M166" s="7">
        <v>1</v>
      </c>
      <c r="N166" s="7">
        <v>4</v>
      </c>
      <c r="O166" s="7">
        <v>1</v>
      </c>
      <c r="P166" s="7">
        <v>2</v>
      </c>
      <c r="Q166" s="7">
        <v>3</v>
      </c>
      <c r="R166" s="41">
        <v>4</v>
      </c>
      <c r="S166" s="184"/>
      <c r="T166" s="3">
        <v>5</v>
      </c>
      <c r="U166" s="3"/>
      <c r="V166" s="3"/>
      <c r="W166" s="3"/>
      <c r="X166" s="3"/>
      <c r="Y166" s="3"/>
      <c r="Z166" s="44">
        <f t="shared" si="40"/>
        <v>5</v>
      </c>
      <c r="AA166" s="3"/>
      <c r="AB166" s="3">
        <v>5</v>
      </c>
      <c r="AC166" s="3"/>
      <c r="AD166" s="3"/>
      <c r="AE166" s="3"/>
      <c r="AF166" s="3"/>
      <c r="AG166" s="3"/>
      <c r="AH166" s="44">
        <f t="shared" si="41"/>
        <v>5</v>
      </c>
      <c r="AI166" s="3"/>
      <c r="AJ166" s="3">
        <v>5</v>
      </c>
      <c r="AK166" s="3"/>
      <c r="AL166" s="3"/>
      <c r="AM166" s="3"/>
      <c r="AN166" s="3"/>
      <c r="AO166" s="3"/>
      <c r="AP166" s="44">
        <f t="shared" si="42"/>
        <v>5</v>
      </c>
      <c r="AQ166" s="3"/>
      <c r="AR166" s="3">
        <v>5</v>
      </c>
      <c r="AS166" s="3"/>
      <c r="AT166" s="3"/>
      <c r="AU166" s="3"/>
      <c r="AV166" s="3"/>
      <c r="AW166" s="3"/>
      <c r="AX166" s="44">
        <f t="shared" si="43"/>
        <v>5</v>
      </c>
      <c r="AY166" s="44">
        <f t="shared" si="44"/>
        <v>0</v>
      </c>
      <c r="AZ166" s="44">
        <f t="shared" si="45"/>
        <v>20</v>
      </c>
      <c r="BA166" s="44">
        <f t="shared" si="46"/>
        <v>0</v>
      </c>
      <c r="BB166" s="44">
        <f t="shared" si="47"/>
        <v>0</v>
      </c>
      <c r="BC166" s="44">
        <f t="shared" si="48"/>
        <v>0</v>
      </c>
      <c r="BD166" s="44">
        <f t="shared" si="49"/>
        <v>0</v>
      </c>
      <c r="BE166" s="44">
        <f t="shared" si="50"/>
        <v>0</v>
      </c>
      <c r="BF166" s="83">
        <f t="shared" si="51"/>
        <v>20</v>
      </c>
      <c r="BG166" s="47"/>
      <c r="BH166" s="47"/>
      <c r="BI166" s="90"/>
      <c r="BJ166" s="90"/>
      <c r="BK166" s="90"/>
      <c r="BL166" s="90"/>
      <c r="BM166" s="90"/>
      <c r="BN166" s="90"/>
      <c r="BO166" s="90"/>
      <c r="BP166" s="90"/>
      <c r="BQ166" s="90"/>
      <c r="BR166" s="90"/>
      <c r="BS166" s="90"/>
      <c r="BT166" s="90"/>
      <c r="BU166" s="90"/>
    </row>
    <row r="167" spans="1:73" s="91" customFormat="1" ht="40.5" x14ac:dyDescent="0.25">
      <c r="A167" s="707"/>
      <c r="B167" s="627"/>
      <c r="C167" s="627"/>
      <c r="D167" s="620"/>
      <c r="E167" s="620"/>
      <c r="F167" s="608"/>
      <c r="G167" s="608"/>
      <c r="H167" s="611"/>
      <c r="I167" s="601"/>
      <c r="J167" s="607"/>
      <c r="K167" s="354" t="s">
        <v>200</v>
      </c>
      <c r="L167" s="82" t="s">
        <v>201</v>
      </c>
      <c r="M167" s="7">
        <v>3</v>
      </c>
      <c r="N167" s="7">
        <v>29</v>
      </c>
      <c r="O167" s="7">
        <v>10</v>
      </c>
      <c r="P167" s="7">
        <v>17</v>
      </c>
      <c r="Q167" s="7">
        <v>21</v>
      </c>
      <c r="R167" s="41">
        <v>29</v>
      </c>
      <c r="S167" s="184"/>
      <c r="T167" s="3">
        <v>45</v>
      </c>
      <c r="U167" s="3"/>
      <c r="V167" s="3"/>
      <c r="W167" s="3"/>
      <c r="X167" s="3"/>
      <c r="Y167" s="3"/>
      <c r="Z167" s="44">
        <f t="shared" si="40"/>
        <v>45</v>
      </c>
      <c r="AA167" s="3"/>
      <c r="AB167" s="3">
        <v>45</v>
      </c>
      <c r="AC167" s="3"/>
      <c r="AD167" s="3"/>
      <c r="AE167" s="3"/>
      <c r="AF167" s="3"/>
      <c r="AG167" s="3"/>
      <c r="AH167" s="44">
        <f t="shared" si="41"/>
        <v>45</v>
      </c>
      <c r="AI167" s="3"/>
      <c r="AJ167" s="3">
        <v>45</v>
      </c>
      <c r="AK167" s="3"/>
      <c r="AL167" s="3"/>
      <c r="AM167" s="3"/>
      <c r="AN167" s="3"/>
      <c r="AO167" s="3"/>
      <c r="AP167" s="44">
        <f t="shared" si="42"/>
        <v>45</v>
      </c>
      <c r="AQ167" s="3"/>
      <c r="AR167" s="3">
        <v>45</v>
      </c>
      <c r="AS167" s="3"/>
      <c r="AT167" s="3"/>
      <c r="AU167" s="3"/>
      <c r="AV167" s="3"/>
      <c r="AW167" s="3"/>
      <c r="AX167" s="44">
        <f t="shared" si="43"/>
        <v>45</v>
      </c>
      <c r="AY167" s="44">
        <f t="shared" si="44"/>
        <v>0</v>
      </c>
      <c r="AZ167" s="44">
        <f t="shared" si="45"/>
        <v>180</v>
      </c>
      <c r="BA167" s="44">
        <f t="shared" si="46"/>
        <v>0</v>
      </c>
      <c r="BB167" s="44">
        <f t="shared" si="47"/>
        <v>0</v>
      </c>
      <c r="BC167" s="44">
        <f t="shared" si="48"/>
        <v>0</v>
      </c>
      <c r="BD167" s="44">
        <f t="shared" si="49"/>
        <v>0</v>
      </c>
      <c r="BE167" s="44">
        <f t="shared" si="50"/>
        <v>0</v>
      </c>
      <c r="BF167" s="83">
        <f t="shared" si="51"/>
        <v>180</v>
      </c>
      <c r="BG167" s="47"/>
      <c r="BH167" s="47"/>
      <c r="BI167" s="90"/>
      <c r="BJ167" s="90"/>
      <c r="BK167" s="90"/>
      <c r="BL167" s="90"/>
      <c r="BM167" s="90"/>
      <c r="BN167" s="90"/>
      <c r="BO167" s="90"/>
      <c r="BP167" s="90"/>
      <c r="BQ167" s="90"/>
      <c r="BR167" s="90"/>
      <c r="BS167" s="90"/>
      <c r="BT167" s="90"/>
      <c r="BU167" s="90"/>
    </row>
    <row r="168" spans="1:73" s="91" customFormat="1" ht="54" x14ac:dyDescent="0.25">
      <c r="A168" s="707"/>
      <c r="B168" s="627"/>
      <c r="C168" s="627"/>
      <c r="D168" s="620" t="s">
        <v>195</v>
      </c>
      <c r="E168" s="620" t="s">
        <v>579</v>
      </c>
      <c r="F168" s="608">
        <v>18.09</v>
      </c>
      <c r="G168" s="608">
        <v>18</v>
      </c>
      <c r="H168" s="611"/>
      <c r="I168" s="601"/>
      <c r="J168" s="607"/>
      <c r="K168" s="354" t="s">
        <v>591</v>
      </c>
      <c r="L168" s="82" t="s">
        <v>592</v>
      </c>
      <c r="M168" s="8"/>
      <c r="N168" s="8">
        <v>26886</v>
      </c>
      <c r="O168" s="8">
        <v>7908</v>
      </c>
      <c r="P168" s="8">
        <v>15000</v>
      </c>
      <c r="Q168" s="8">
        <v>21000</v>
      </c>
      <c r="R168" s="197">
        <v>26886</v>
      </c>
      <c r="S168" s="184"/>
      <c r="T168" s="3">
        <v>260</v>
      </c>
      <c r="U168" s="3"/>
      <c r="V168" s="3"/>
      <c r="W168" s="3"/>
      <c r="X168" s="3"/>
      <c r="Y168" s="3"/>
      <c r="Z168" s="44">
        <f t="shared" si="40"/>
        <v>260</v>
      </c>
      <c r="AA168" s="3"/>
      <c r="AB168" s="3">
        <v>260</v>
      </c>
      <c r="AC168" s="3"/>
      <c r="AD168" s="3"/>
      <c r="AE168" s="3"/>
      <c r="AF168" s="3"/>
      <c r="AG168" s="3"/>
      <c r="AH168" s="44">
        <f t="shared" si="41"/>
        <v>260</v>
      </c>
      <c r="AI168" s="3"/>
      <c r="AJ168" s="3">
        <v>260</v>
      </c>
      <c r="AK168" s="3"/>
      <c r="AL168" s="3"/>
      <c r="AM168" s="3"/>
      <c r="AN168" s="3"/>
      <c r="AO168" s="3"/>
      <c r="AP168" s="44">
        <f t="shared" si="42"/>
        <v>260</v>
      </c>
      <c r="AQ168" s="3"/>
      <c r="AR168" s="3">
        <v>260</v>
      </c>
      <c r="AS168" s="3"/>
      <c r="AT168" s="3"/>
      <c r="AU168" s="3"/>
      <c r="AV168" s="3"/>
      <c r="AW168" s="3"/>
      <c r="AX168" s="44">
        <f t="shared" si="43"/>
        <v>260</v>
      </c>
      <c r="AY168" s="44">
        <f t="shared" si="44"/>
        <v>0</v>
      </c>
      <c r="AZ168" s="44">
        <f t="shared" si="45"/>
        <v>1040</v>
      </c>
      <c r="BA168" s="44">
        <f t="shared" si="46"/>
        <v>0</v>
      </c>
      <c r="BB168" s="44">
        <f t="shared" si="47"/>
        <v>0</v>
      </c>
      <c r="BC168" s="44">
        <f t="shared" si="48"/>
        <v>0</v>
      </c>
      <c r="BD168" s="44">
        <f t="shared" si="49"/>
        <v>0</v>
      </c>
      <c r="BE168" s="44">
        <f t="shared" si="50"/>
        <v>0</v>
      </c>
      <c r="BF168" s="83">
        <f t="shared" si="51"/>
        <v>1040</v>
      </c>
      <c r="BG168" s="47"/>
      <c r="BH168" s="47"/>
      <c r="BI168" s="90"/>
      <c r="BJ168" s="90"/>
      <c r="BK168" s="90"/>
      <c r="BL168" s="90"/>
      <c r="BM168" s="90"/>
      <c r="BN168" s="90"/>
      <c r="BO168" s="90"/>
      <c r="BP168" s="90"/>
      <c r="BQ168" s="90"/>
      <c r="BR168" s="90"/>
      <c r="BS168" s="90"/>
      <c r="BT168" s="90"/>
      <c r="BU168" s="90"/>
    </row>
    <row r="169" spans="1:73" s="91" customFormat="1" ht="54" x14ac:dyDescent="0.25">
      <c r="A169" s="707"/>
      <c r="B169" s="627"/>
      <c r="C169" s="627"/>
      <c r="D169" s="620"/>
      <c r="E169" s="620"/>
      <c r="F169" s="608"/>
      <c r="G169" s="608"/>
      <c r="H169" s="611"/>
      <c r="I169" s="601"/>
      <c r="J169" s="607"/>
      <c r="K169" s="354" t="s">
        <v>1315</v>
      </c>
      <c r="L169" s="82" t="s">
        <v>696</v>
      </c>
      <c r="M169" s="7">
        <v>1</v>
      </c>
      <c r="N169" s="7">
        <v>1</v>
      </c>
      <c r="O169" s="7">
        <v>1</v>
      </c>
      <c r="P169" s="7">
        <v>1</v>
      </c>
      <c r="Q169" s="7">
        <v>1</v>
      </c>
      <c r="R169" s="41">
        <v>1</v>
      </c>
      <c r="S169" s="184"/>
      <c r="T169" s="3">
        <v>55</v>
      </c>
      <c r="U169" s="3"/>
      <c r="V169" s="3"/>
      <c r="W169" s="3"/>
      <c r="X169" s="3"/>
      <c r="Y169" s="3"/>
      <c r="Z169" s="44">
        <f t="shared" si="40"/>
        <v>55</v>
      </c>
      <c r="AA169" s="3"/>
      <c r="AB169" s="3">
        <v>55</v>
      </c>
      <c r="AC169" s="3"/>
      <c r="AD169" s="3"/>
      <c r="AE169" s="3"/>
      <c r="AF169" s="3"/>
      <c r="AG169" s="3"/>
      <c r="AH169" s="44">
        <f t="shared" si="41"/>
        <v>55</v>
      </c>
      <c r="AI169" s="3"/>
      <c r="AJ169" s="3">
        <v>55</v>
      </c>
      <c r="AK169" s="3"/>
      <c r="AL169" s="3"/>
      <c r="AM169" s="3"/>
      <c r="AN169" s="3"/>
      <c r="AO169" s="3"/>
      <c r="AP169" s="44">
        <f t="shared" si="42"/>
        <v>55</v>
      </c>
      <c r="AQ169" s="3"/>
      <c r="AR169" s="3">
        <v>55</v>
      </c>
      <c r="AS169" s="3"/>
      <c r="AT169" s="3"/>
      <c r="AU169" s="3"/>
      <c r="AV169" s="3"/>
      <c r="AW169" s="3"/>
      <c r="AX169" s="44">
        <f t="shared" si="43"/>
        <v>55</v>
      </c>
      <c r="AY169" s="44">
        <f t="shared" si="44"/>
        <v>0</v>
      </c>
      <c r="AZ169" s="44">
        <f t="shared" si="45"/>
        <v>220</v>
      </c>
      <c r="BA169" s="44">
        <f t="shared" si="46"/>
        <v>0</v>
      </c>
      <c r="BB169" s="44">
        <f t="shared" si="47"/>
        <v>0</v>
      </c>
      <c r="BC169" s="44">
        <f t="shared" si="48"/>
        <v>0</v>
      </c>
      <c r="BD169" s="44">
        <f t="shared" si="49"/>
        <v>0</v>
      </c>
      <c r="BE169" s="44">
        <f t="shared" si="50"/>
        <v>0</v>
      </c>
      <c r="BF169" s="83">
        <f t="shared" si="51"/>
        <v>220</v>
      </c>
      <c r="BG169" s="47"/>
      <c r="BH169" s="47"/>
      <c r="BI169" s="90"/>
      <c r="BJ169" s="90"/>
      <c r="BK169" s="90"/>
      <c r="BL169" s="90"/>
      <c r="BM169" s="90"/>
      <c r="BN169" s="90"/>
      <c r="BO169" s="90"/>
      <c r="BP169" s="90"/>
      <c r="BQ169" s="90"/>
      <c r="BR169" s="90"/>
      <c r="BS169" s="90"/>
      <c r="BT169" s="90"/>
      <c r="BU169" s="90"/>
    </row>
    <row r="170" spans="1:73" s="91" customFormat="1" ht="54" x14ac:dyDescent="0.25">
      <c r="A170" s="707"/>
      <c r="B170" s="627"/>
      <c r="C170" s="627"/>
      <c r="D170" s="620"/>
      <c r="E170" s="620"/>
      <c r="F170" s="608"/>
      <c r="G170" s="608"/>
      <c r="H170" s="611"/>
      <c r="I170" s="601"/>
      <c r="J170" s="607"/>
      <c r="K170" s="354" t="s">
        <v>202</v>
      </c>
      <c r="L170" s="357" t="s">
        <v>678</v>
      </c>
      <c r="M170" s="367">
        <v>29</v>
      </c>
      <c r="N170" s="367">
        <v>29</v>
      </c>
      <c r="O170" s="367">
        <v>29</v>
      </c>
      <c r="P170" s="367">
        <v>29</v>
      </c>
      <c r="Q170" s="367">
        <v>29</v>
      </c>
      <c r="R170" s="192">
        <v>29</v>
      </c>
      <c r="S170" s="184"/>
      <c r="T170" s="3">
        <v>15</v>
      </c>
      <c r="U170" s="3"/>
      <c r="V170" s="3"/>
      <c r="W170" s="3"/>
      <c r="X170" s="3"/>
      <c r="Y170" s="3"/>
      <c r="Z170" s="44">
        <f t="shared" si="40"/>
        <v>15</v>
      </c>
      <c r="AA170" s="3"/>
      <c r="AB170" s="3">
        <v>15</v>
      </c>
      <c r="AC170" s="3"/>
      <c r="AD170" s="3"/>
      <c r="AE170" s="3"/>
      <c r="AF170" s="3"/>
      <c r="AG170" s="3"/>
      <c r="AH170" s="44">
        <f t="shared" si="41"/>
        <v>15</v>
      </c>
      <c r="AI170" s="3"/>
      <c r="AJ170" s="3">
        <v>15</v>
      </c>
      <c r="AK170" s="3"/>
      <c r="AL170" s="3"/>
      <c r="AM170" s="3"/>
      <c r="AN170" s="3"/>
      <c r="AO170" s="3"/>
      <c r="AP170" s="44">
        <f t="shared" si="42"/>
        <v>15</v>
      </c>
      <c r="AQ170" s="3"/>
      <c r="AR170" s="3">
        <v>15</v>
      </c>
      <c r="AS170" s="3"/>
      <c r="AT170" s="3"/>
      <c r="AU170" s="3"/>
      <c r="AV170" s="3"/>
      <c r="AW170" s="3"/>
      <c r="AX170" s="44">
        <f t="shared" si="43"/>
        <v>15</v>
      </c>
      <c r="AY170" s="44">
        <f t="shared" si="44"/>
        <v>0</v>
      </c>
      <c r="AZ170" s="44">
        <f t="shared" si="45"/>
        <v>60</v>
      </c>
      <c r="BA170" s="44">
        <f t="shared" si="46"/>
        <v>0</v>
      </c>
      <c r="BB170" s="44">
        <f t="shared" si="47"/>
        <v>0</v>
      </c>
      <c r="BC170" s="44">
        <f t="shared" si="48"/>
        <v>0</v>
      </c>
      <c r="BD170" s="44">
        <f t="shared" si="49"/>
        <v>0</v>
      </c>
      <c r="BE170" s="44">
        <f t="shared" si="50"/>
        <v>0</v>
      </c>
      <c r="BF170" s="83">
        <f t="shared" si="51"/>
        <v>60</v>
      </c>
      <c r="BG170" s="47"/>
      <c r="BH170" s="47"/>
      <c r="BI170" s="90"/>
      <c r="BJ170" s="90"/>
      <c r="BK170" s="90"/>
      <c r="BL170" s="90"/>
      <c r="BM170" s="90"/>
      <c r="BN170" s="90"/>
      <c r="BO170" s="90"/>
      <c r="BP170" s="90"/>
      <c r="BQ170" s="90"/>
      <c r="BR170" s="90"/>
      <c r="BS170" s="90"/>
      <c r="BT170" s="90"/>
      <c r="BU170" s="90"/>
    </row>
    <row r="171" spans="1:73" s="91" customFormat="1" ht="27" x14ac:dyDescent="0.25">
      <c r="A171" s="707"/>
      <c r="B171" s="627"/>
      <c r="C171" s="627"/>
      <c r="D171" s="620"/>
      <c r="E171" s="620"/>
      <c r="F171" s="608"/>
      <c r="G171" s="608"/>
      <c r="H171" s="611"/>
      <c r="I171" s="601"/>
      <c r="J171" s="607"/>
      <c r="K171" s="354" t="s">
        <v>203</v>
      </c>
      <c r="L171" s="82" t="s">
        <v>696</v>
      </c>
      <c r="M171" s="7">
        <v>1</v>
      </c>
      <c r="N171" s="7">
        <v>1</v>
      </c>
      <c r="O171" s="7">
        <v>1</v>
      </c>
      <c r="P171" s="7">
        <v>1</v>
      </c>
      <c r="Q171" s="7">
        <v>1</v>
      </c>
      <c r="R171" s="41">
        <v>1</v>
      </c>
      <c r="S171" s="184"/>
      <c r="T171" s="3">
        <v>20</v>
      </c>
      <c r="U171" s="3"/>
      <c r="V171" s="3"/>
      <c r="W171" s="3"/>
      <c r="X171" s="3"/>
      <c r="Y171" s="3"/>
      <c r="Z171" s="44">
        <f t="shared" si="40"/>
        <v>20</v>
      </c>
      <c r="AA171" s="3"/>
      <c r="AB171" s="3">
        <v>20</v>
      </c>
      <c r="AC171" s="3"/>
      <c r="AD171" s="3"/>
      <c r="AE171" s="3"/>
      <c r="AF171" s="3"/>
      <c r="AG171" s="3"/>
      <c r="AH171" s="44">
        <f t="shared" si="41"/>
        <v>20</v>
      </c>
      <c r="AI171" s="3"/>
      <c r="AJ171" s="3">
        <v>20</v>
      </c>
      <c r="AK171" s="3"/>
      <c r="AL171" s="3"/>
      <c r="AM171" s="3"/>
      <c r="AN171" s="3"/>
      <c r="AO171" s="3"/>
      <c r="AP171" s="44">
        <f t="shared" si="42"/>
        <v>20</v>
      </c>
      <c r="AQ171" s="3"/>
      <c r="AR171" s="3">
        <v>20</v>
      </c>
      <c r="AS171" s="3"/>
      <c r="AT171" s="3"/>
      <c r="AU171" s="3"/>
      <c r="AV171" s="3"/>
      <c r="AW171" s="3"/>
      <c r="AX171" s="44">
        <f t="shared" si="43"/>
        <v>20</v>
      </c>
      <c r="AY171" s="44">
        <f t="shared" si="44"/>
        <v>0</v>
      </c>
      <c r="AZ171" s="44">
        <f t="shared" si="45"/>
        <v>80</v>
      </c>
      <c r="BA171" s="44">
        <f t="shared" si="46"/>
        <v>0</v>
      </c>
      <c r="BB171" s="44">
        <f t="shared" si="47"/>
        <v>0</v>
      </c>
      <c r="BC171" s="44">
        <f t="shared" si="48"/>
        <v>0</v>
      </c>
      <c r="BD171" s="44">
        <f t="shared" si="49"/>
        <v>0</v>
      </c>
      <c r="BE171" s="44">
        <f t="shared" si="50"/>
        <v>0</v>
      </c>
      <c r="BF171" s="83">
        <f t="shared" si="51"/>
        <v>80</v>
      </c>
      <c r="BG171" s="47"/>
      <c r="BH171" s="47"/>
      <c r="BI171" s="90"/>
      <c r="BJ171" s="90"/>
      <c r="BK171" s="90"/>
      <c r="BL171" s="90"/>
      <c r="BM171" s="90"/>
      <c r="BN171" s="90"/>
      <c r="BO171" s="90"/>
      <c r="BP171" s="90"/>
      <c r="BQ171" s="90"/>
      <c r="BR171" s="90"/>
      <c r="BS171" s="90"/>
      <c r="BT171" s="90"/>
      <c r="BU171" s="90"/>
    </row>
    <row r="172" spans="1:73" s="91" customFormat="1" ht="27" x14ac:dyDescent="0.25">
      <c r="A172" s="707"/>
      <c r="B172" s="627"/>
      <c r="C172" s="627"/>
      <c r="D172" s="620" t="s">
        <v>204</v>
      </c>
      <c r="E172" s="620" t="s">
        <v>205</v>
      </c>
      <c r="F172" s="613">
        <v>29</v>
      </c>
      <c r="G172" s="613">
        <v>29</v>
      </c>
      <c r="H172" s="611"/>
      <c r="I172" s="601"/>
      <c r="J172" s="603" t="s">
        <v>853</v>
      </c>
      <c r="K172" s="354" t="s">
        <v>206</v>
      </c>
      <c r="L172" s="357" t="s">
        <v>851</v>
      </c>
      <c r="M172" s="7">
        <v>8</v>
      </c>
      <c r="N172" s="7">
        <v>29</v>
      </c>
      <c r="O172" s="7">
        <v>13</v>
      </c>
      <c r="P172" s="7">
        <v>18</v>
      </c>
      <c r="Q172" s="7">
        <v>23</v>
      </c>
      <c r="R172" s="41">
        <v>29</v>
      </c>
      <c r="S172" s="184"/>
      <c r="T172" s="3">
        <v>60</v>
      </c>
      <c r="U172" s="3"/>
      <c r="V172" s="3"/>
      <c r="W172" s="3"/>
      <c r="X172" s="3"/>
      <c r="Y172" s="3"/>
      <c r="Z172" s="44">
        <f t="shared" si="40"/>
        <v>60</v>
      </c>
      <c r="AA172" s="3"/>
      <c r="AB172" s="3">
        <v>60</v>
      </c>
      <c r="AC172" s="3"/>
      <c r="AD172" s="3"/>
      <c r="AE172" s="3"/>
      <c r="AF172" s="3"/>
      <c r="AG172" s="3"/>
      <c r="AH172" s="44">
        <f t="shared" si="41"/>
        <v>60</v>
      </c>
      <c r="AI172" s="3"/>
      <c r="AJ172" s="3">
        <v>60</v>
      </c>
      <c r="AK172" s="3"/>
      <c r="AL172" s="3"/>
      <c r="AM172" s="3"/>
      <c r="AN172" s="3"/>
      <c r="AO172" s="3"/>
      <c r="AP172" s="44">
        <f t="shared" si="42"/>
        <v>60</v>
      </c>
      <c r="AQ172" s="3"/>
      <c r="AR172" s="3">
        <v>60</v>
      </c>
      <c r="AS172" s="3"/>
      <c r="AT172" s="3"/>
      <c r="AU172" s="3"/>
      <c r="AV172" s="3"/>
      <c r="AW172" s="3"/>
      <c r="AX172" s="44">
        <f t="shared" si="43"/>
        <v>60</v>
      </c>
      <c r="AY172" s="44">
        <f t="shared" si="44"/>
        <v>0</v>
      </c>
      <c r="AZ172" s="44">
        <f t="shared" si="45"/>
        <v>240</v>
      </c>
      <c r="BA172" s="44">
        <f t="shared" si="46"/>
        <v>0</v>
      </c>
      <c r="BB172" s="44">
        <f t="shared" si="47"/>
        <v>0</v>
      </c>
      <c r="BC172" s="44">
        <f t="shared" si="48"/>
        <v>0</v>
      </c>
      <c r="BD172" s="44">
        <f t="shared" si="49"/>
        <v>0</v>
      </c>
      <c r="BE172" s="44">
        <f t="shared" si="50"/>
        <v>0</v>
      </c>
      <c r="BF172" s="83">
        <f t="shared" si="51"/>
        <v>240</v>
      </c>
      <c r="BG172" s="9"/>
      <c r="BH172" s="9"/>
      <c r="BI172" s="90"/>
      <c r="BJ172" s="90"/>
      <c r="BK172" s="90"/>
      <c r="BL172" s="90"/>
      <c r="BM172" s="90"/>
      <c r="BN172" s="90"/>
      <c r="BO172" s="90"/>
      <c r="BP172" s="90"/>
      <c r="BQ172" s="90"/>
      <c r="BR172" s="90"/>
      <c r="BS172" s="90"/>
      <c r="BT172" s="90"/>
      <c r="BU172" s="90"/>
    </row>
    <row r="173" spans="1:73" s="91" customFormat="1" ht="54" x14ac:dyDescent="0.25">
      <c r="A173" s="707"/>
      <c r="B173" s="627"/>
      <c r="C173" s="627"/>
      <c r="D173" s="620"/>
      <c r="E173" s="620"/>
      <c r="F173" s="613"/>
      <c r="G173" s="613"/>
      <c r="H173" s="611"/>
      <c r="I173" s="601"/>
      <c r="J173" s="603"/>
      <c r="K173" s="354" t="s">
        <v>207</v>
      </c>
      <c r="L173" s="82" t="s">
        <v>696</v>
      </c>
      <c r="M173" s="7">
        <v>1</v>
      </c>
      <c r="N173" s="7">
        <v>1</v>
      </c>
      <c r="O173" s="7">
        <v>1</v>
      </c>
      <c r="P173" s="7">
        <v>1</v>
      </c>
      <c r="Q173" s="7">
        <v>1</v>
      </c>
      <c r="R173" s="41">
        <v>1</v>
      </c>
      <c r="S173" s="184"/>
      <c r="T173" s="3">
        <v>135</v>
      </c>
      <c r="U173" s="3"/>
      <c r="V173" s="3"/>
      <c r="W173" s="3"/>
      <c r="X173" s="3"/>
      <c r="Y173" s="3"/>
      <c r="Z173" s="44">
        <f t="shared" si="40"/>
        <v>135</v>
      </c>
      <c r="AA173" s="3"/>
      <c r="AB173" s="3">
        <v>135</v>
      </c>
      <c r="AC173" s="3"/>
      <c r="AD173" s="3"/>
      <c r="AE173" s="3"/>
      <c r="AF173" s="3"/>
      <c r="AG173" s="3"/>
      <c r="AH173" s="44">
        <f t="shared" si="41"/>
        <v>135</v>
      </c>
      <c r="AI173" s="3"/>
      <c r="AJ173" s="3">
        <v>135</v>
      </c>
      <c r="AK173" s="3"/>
      <c r="AL173" s="3"/>
      <c r="AM173" s="3"/>
      <c r="AN173" s="3"/>
      <c r="AO173" s="3"/>
      <c r="AP173" s="44">
        <f t="shared" si="42"/>
        <v>135</v>
      </c>
      <c r="AQ173" s="3"/>
      <c r="AR173" s="3">
        <v>135</v>
      </c>
      <c r="AS173" s="3"/>
      <c r="AT173" s="3"/>
      <c r="AU173" s="3"/>
      <c r="AV173" s="3"/>
      <c r="AW173" s="3"/>
      <c r="AX173" s="44">
        <f t="shared" si="43"/>
        <v>135</v>
      </c>
      <c r="AY173" s="44">
        <f t="shared" si="44"/>
        <v>0</v>
      </c>
      <c r="AZ173" s="44">
        <f t="shared" si="45"/>
        <v>540</v>
      </c>
      <c r="BA173" s="44">
        <f t="shared" si="46"/>
        <v>0</v>
      </c>
      <c r="BB173" s="44">
        <f t="shared" si="47"/>
        <v>0</v>
      </c>
      <c r="BC173" s="44">
        <f t="shared" si="48"/>
        <v>0</v>
      </c>
      <c r="BD173" s="44">
        <f t="shared" si="49"/>
        <v>0</v>
      </c>
      <c r="BE173" s="44">
        <f t="shared" si="50"/>
        <v>0</v>
      </c>
      <c r="BF173" s="83">
        <f t="shared" si="51"/>
        <v>540</v>
      </c>
      <c r="BG173" s="9"/>
      <c r="BH173" s="9"/>
      <c r="BI173" s="90"/>
      <c r="BJ173" s="90"/>
      <c r="BK173" s="90"/>
      <c r="BL173" s="90"/>
      <c r="BM173" s="90"/>
      <c r="BN173" s="90"/>
      <c r="BO173" s="90"/>
      <c r="BP173" s="90"/>
      <c r="BQ173" s="90"/>
      <c r="BR173" s="90"/>
      <c r="BS173" s="90"/>
      <c r="BT173" s="90"/>
      <c r="BU173" s="90"/>
    </row>
    <row r="174" spans="1:73" s="91" customFormat="1" ht="54" x14ac:dyDescent="0.25">
      <c r="A174" s="707"/>
      <c r="B174" s="627"/>
      <c r="C174" s="627"/>
      <c r="D174" s="620"/>
      <c r="E174" s="620"/>
      <c r="F174" s="613"/>
      <c r="G174" s="613"/>
      <c r="H174" s="611"/>
      <c r="I174" s="601"/>
      <c r="J174" s="603"/>
      <c r="K174" s="354" t="s">
        <v>208</v>
      </c>
      <c r="L174" s="357" t="s">
        <v>678</v>
      </c>
      <c r="M174" s="7">
        <v>1</v>
      </c>
      <c r="N174" s="7">
        <v>4</v>
      </c>
      <c r="O174" s="7">
        <v>1</v>
      </c>
      <c r="P174" s="7">
        <v>1</v>
      </c>
      <c r="Q174" s="7">
        <v>1</v>
      </c>
      <c r="R174" s="41">
        <v>1</v>
      </c>
      <c r="S174" s="184"/>
      <c r="T174" s="3">
        <v>65</v>
      </c>
      <c r="U174" s="3"/>
      <c r="V174" s="3"/>
      <c r="W174" s="3"/>
      <c r="X174" s="3"/>
      <c r="Y174" s="3"/>
      <c r="Z174" s="44">
        <f t="shared" si="40"/>
        <v>65</v>
      </c>
      <c r="AA174" s="3"/>
      <c r="AB174" s="3">
        <v>65</v>
      </c>
      <c r="AC174" s="3"/>
      <c r="AD174" s="3"/>
      <c r="AE174" s="3"/>
      <c r="AF174" s="3"/>
      <c r="AG174" s="3"/>
      <c r="AH174" s="44">
        <f t="shared" si="41"/>
        <v>65</v>
      </c>
      <c r="AI174" s="3"/>
      <c r="AJ174" s="3">
        <v>65</v>
      </c>
      <c r="AK174" s="3"/>
      <c r="AL174" s="3"/>
      <c r="AM174" s="3"/>
      <c r="AN174" s="3"/>
      <c r="AO174" s="3"/>
      <c r="AP174" s="44">
        <f t="shared" si="42"/>
        <v>65</v>
      </c>
      <c r="AQ174" s="3"/>
      <c r="AR174" s="3">
        <v>65</v>
      </c>
      <c r="AS174" s="3"/>
      <c r="AT174" s="3"/>
      <c r="AU174" s="3"/>
      <c r="AV174" s="3"/>
      <c r="AW174" s="3"/>
      <c r="AX174" s="44">
        <f t="shared" si="43"/>
        <v>65</v>
      </c>
      <c r="AY174" s="44">
        <f t="shared" si="44"/>
        <v>0</v>
      </c>
      <c r="AZ174" s="44">
        <f t="shared" si="45"/>
        <v>260</v>
      </c>
      <c r="BA174" s="44">
        <f t="shared" si="46"/>
        <v>0</v>
      </c>
      <c r="BB174" s="44">
        <f t="shared" si="47"/>
        <v>0</v>
      </c>
      <c r="BC174" s="44">
        <f t="shared" si="48"/>
        <v>0</v>
      </c>
      <c r="BD174" s="44">
        <f t="shared" si="49"/>
        <v>0</v>
      </c>
      <c r="BE174" s="44">
        <f t="shared" si="50"/>
        <v>0</v>
      </c>
      <c r="BF174" s="83">
        <f t="shared" ref="BF174:BF179" si="52">+AY174+AZ174+BA174+BB174+BC174+BD174+BE174:BE180</f>
        <v>260</v>
      </c>
      <c r="BG174" s="9"/>
      <c r="BH174" s="9"/>
      <c r="BI174" s="90"/>
      <c r="BJ174" s="90"/>
      <c r="BK174" s="90"/>
      <c r="BL174" s="90"/>
      <c r="BM174" s="90"/>
      <c r="BN174" s="90"/>
      <c r="BO174" s="90"/>
      <c r="BP174" s="90"/>
      <c r="BQ174" s="90"/>
      <c r="BR174" s="90"/>
      <c r="BS174" s="90"/>
      <c r="BT174" s="90"/>
      <c r="BU174" s="90"/>
    </row>
    <row r="175" spans="1:73" s="91" customFormat="1" ht="27" customHeight="1" x14ac:dyDescent="0.25">
      <c r="A175" s="707"/>
      <c r="B175" s="627"/>
      <c r="C175" s="627"/>
      <c r="D175" s="608"/>
      <c r="E175" s="608"/>
      <c r="F175" s="613"/>
      <c r="G175" s="613"/>
      <c r="H175" s="611"/>
      <c r="I175" s="601"/>
      <c r="J175" s="611" t="s">
        <v>971</v>
      </c>
      <c r="K175" s="354" t="s">
        <v>972</v>
      </c>
      <c r="L175" s="357" t="s">
        <v>973</v>
      </c>
      <c r="M175" s="7">
        <v>0</v>
      </c>
      <c r="N175" s="7">
        <v>1</v>
      </c>
      <c r="O175" s="7"/>
      <c r="P175" s="7">
        <v>1</v>
      </c>
      <c r="Q175" s="7"/>
      <c r="R175" s="41"/>
      <c r="S175" s="184"/>
      <c r="T175" s="3"/>
      <c r="U175" s="3"/>
      <c r="V175" s="3"/>
      <c r="W175" s="3"/>
      <c r="X175" s="3"/>
      <c r="Y175" s="3"/>
      <c r="Z175" s="44">
        <f t="shared" si="40"/>
        <v>0</v>
      </c>
      <c r="AA175" s="3"/>
      <c r="AB175" s="3"/>
      <c r="AC175" s="3"/>
      <c r="AD175" s="3"/>
      <c r="AE175" s="3"/>
      <c r="AF175" s="3"/>
      <c r="AG175" s="3"/>
      <c r="AH175" s="44">
        <f t="shared" si="41"/>
        <v>0</v>
      </c>
      <c r="AI175" s="3"/>
      <c r="AJ175" s="3"/>
      <c r="AK175" s="3"/>
      <c r="AL175" s="3"/>
      <c r="AM175" s="3"/>
      <c r="AN175" s="3"/>
      <c r="AO175" s="3"/>
      <c r="AP175" s="44">
        <f t="shared" si="42"/>
        <v>0</v>
      </c>
      <c r="AQ175" s="3"/>
      <c r="AR175" s="3"/>
      <c r="AS175" s="3"/>
      <c r="AT175" s="3"/>
      <c r="AU175" s="3"/>
      <c r="AV175" s="3"/>
      <c r="AW175" s="3"/>
      <c r="AX175" s="44">
        <f t="shared" si="43"/>
        <v>0</v>
      </c>
      <c r="AY175" s="44">
        <f t="shared" ref="AY175:BE179" si="53">+S175+AA175+AI175+AQ175</f>
        <v>0</v>
      </c>
      <c r="AZ175" s="44">
        <f t="shared" si="53"/>
        <v>0</v>
      </c>
      <c r="BA175" s="44">
        <f t="shared" si="53"/>
        <v>0</v>
      </c>
      <c r="BB175" s="44">
        <f t="shared" si="53"/>
        <v>0</v>
      </c>
      <c r="BC175" s="44">
        <f t="shared" si="53"/>
        <v>0</v>
      </c>
      <c r="BD175" s="44">
        <f t="shared" si="53"/>
        <v>0</v>
      </c>
      <c r="BE175" s="44">
        <f t="shared" si="53"/>
        <v>0</v>
      </c>
      <c r="BF175" s="83">
        <f t="shared" si="52"/>
        <v>0</v>
      </c>
      <c r="BG175" s="9"/>
      <c r="BH175" s="9"/>
      <c r="BI175" s="90"/>
      <c r="BJ175" s="90"/>
      <c r="BK175" s="90"/>
      <c r="BL175" s="90"/>
      <c r="BM175" s="90"/>
      <c r="BN175" s="90"/>
      <c r="BO175" s="90"/>
      <c r="BP175" s="90"/>
      <c r="BQ175" s="90"/>
      <c r="BR175" s="90"/>
      <c r="BS175" s="90"/>
      <c r="BT175" s="90"/>
      <c r="BU175" s="90"/>
    </row>
    <row r="176" spans="1:73" s="91" customFormat="1" ht="40.5" x14ac:dyDescent="0.25">
      <c r="A176" s="707"/>
      <c r="B176" s="627"/>
      <c r="C176" s="627"/>
      <c r="D176" s="608"/>
      <c r="E176" s="608"/>
      <c r="F176" s="613"/>
      <c r="G176" s="613"/>
      <c r="H176" s="611"/>
      <c r="I176" s="601"/>
      <c r="J176" s="611"/>
      <c r="K176" s="354" t="s">
        <v>974</v>
      </c>
      <c r="L176" s="357" t="s">
        <v>975</v>
      </c>
      <c r="M176" s="7">
        <v>0</v>
      </c>
      <c r="N176" s="7">
        <v>1</v>
      </c>
      <c r="O176" s="7">
        <v>1</v>
      </c>
      <c r="P176" s="7">
        <v>1</v>
      </c>
      <c r="Q176" s="7">
        <v>1</v>
      </c>
      <c r="R176" s="41">
        <v>1</v>
      </c>
      <c r="S176" s="184">
        <v>2</v>
      </c>
      <c r="T176" s="3"/>
      <c r="U176" s="3"/>
      <c r="V176" s="3"/>
      <c r="W176" s="3"/>
      <c r="X176" s="3"/>
      <c r="Y176" s="3"/>
      <c r="Z176" s="44">
        <f t="shared" si="40"/>
        <v>2</v>
      </c>
      <c r="AA176" s="3">
        <v>5</v>
      </c>
      <c r="AB176" s="3"/>
      <c r="AC176" s="3"/>
      <c r="AD176" s="3"/>
      <c r="AE176" s="3"/>
      <c r="AF176" s="3"/>
      <c r="AG176" s="3"/>
      <c r="AH176" s="44">
        <f t="shared" si="41"/>
        <v>5</v>
      </c>
      <c r="AI176" s="3">
        <v>5</v>
      </c>
      <c r="AJ176" s="3"/>
      <c r="AK176" s="3"/>
      <c r="AL176" s="3"/>
      <c r="AM176" s="3"/>
      <c r="AN176" s="3"/>
      <c r="AO176" s="3"/>
      <c r="AP176" s="44">
        <f t="shared" si="42"/>
        <v>5</v>
      </c>
      <c r="AQ176" s="3">
        <v>5</v>
      </c>
      <c r="AR176" s="3"/>
      <c r="AS176" s="3"/>
      <c r="AT176" s="3"/>
      <c r="AU176" s="3"/>
      <c r="AV176" s="3"/>
      <c r="AW176" s="3"/>
      <c r="AX176" s="44">
        <f t="shared" si="43"/>
        <v>5</v>
      </c>
      <c r="AY176" s="44">
        <f t="shared" si="53"/>
        <v>17</v>
      </c>
      <c r="AZ176" s="44">
        <f t="shared" si="53"/>
        <v>0</v>
      </c>
      <c r="BA176" s="44">
        <f t="shared" si="53"/>
        <v>0</v>
      </c>
      <c r="BB176" s="44">
        <f t="shared" si="53"/>
        <v>0</v>
      </c>
      <c r="BC176" s="44">
        <f t="shared" si="53"/>
        <v>0</v>
      </c>
      <c r="BD176" s="44">
        <f t="shared" si="53"/>
        <v>0</v>
      </c>
      <c r="BE176" s="44">
        <f t="shared" si="53"/>
        <v>0</v>
      </c>
      <c r="BF176" s="83">
        <f t="shared" si="52"/>
        <v>17</v>
      </c>
      <c r="BG176" s="9"/>
      <c r="BH176" s="9"/>
      <c r="BI176" s="90"/>
      <c r="BJ176" s="90"/>
      <c r="BK176" s="90"/>
      <c r="BL176" s="90"/>
      <c r="BM176" s="90"/>
      <c r="BN176" s="90"/>
      <c r="BO176" s="90"/>
      <c r="BP176" s="90"/>
      <c r="BQ176" s="90"/>
      <c r="BR176" s="90"/>
      <c r="BS176" s="90"/>
      <c r="BT176" s="90"/>
      <c r="BU176" s="90"/>
    </row>
    <row r="177" spans="1:73" s="91" customFormat="1" ht="81" x14ac:dyDescent="0.25">
      <c r="A177" s="707"/>
      <c r="B177" s="627"/>
      <c r="C177" s="627"/>
      <c r="D177" s="608"/>
      <c r="E177" s="608"/>
      <c r="F177" s="613"/>
      <c r="G177" s="613"/>
      <c r="H177" s="611"/>
      <c r="I177" s="601"/>
      <c r="J177" s="611"/>
      <c r="K177" s="354" t="s">
        <v>977</v>
      </c>
      <c r="L177" s="357" t="s">
        <v>976</v>
      </c>
      <c r="M177" s="7">
        <v>0</v>
      </c>
      <c r="N177" s="7">
        <v>1</v>
      </c>
      <c r="O177" s="7"/>
      <c r="P177" s="7">
        <v>1</v>
      </c>
      <c r="Q177" s="7"/>
      <c r="R177" s="41"/>
      <c r="S177" s="184"/>
      <c r="T177" s="3"/>
      <c r="U177" s="3"/>
      <c r="V177" s="3"/>
      <c r="W177" s="3"/>
      <c r="X177" s="3"/>
      <c r="Y177" s="3"/>
      <c r="Z177" s="44">
        <f t="shared" si="40"/>
        <v>0</v>
      </c>
      <c r="AA177" s="3">
        <v>15</v>
      </c>
      <c r="AB177" s="3"/>
      <c r="AC177" s="3"/>
      <c r="AD177" s="3"/>
      <c r="AE177" s="3"/>
      <c r="AF177" s="3"/>
      <c r="AG177" s="3"/>
      <c r="AH177" s="44">
        <f t="shared" si="41"/>
        <v>15</v>
      </c>
      <c r="AI177" s="3"/>
      <c r="AJ177" s="3"/>
      <c r="AK177" s="3"/>
      <c r="AL177" s="3"/>
      <c r="AM177" s="3"/>
      <c r="AN177" s="3"/>
      <c r="AO177" s="3"/>
      <c r="AP177" s="44">
        <f t="shared" si="42"/>
        <v>0</v>
      </c>
      <c r="AQ177" s="3"/>
      <c r="AR177" s="3"/>
      <c r="AS177" s="3"/>
      <c r="AT177" s="3"/>
      <c r="AU177" s="3"/>
      <c r="AV177" s="3"/>
      <c r="AW177" s="3"/>
      <c r="AX177" s="44">
        <f t="shared" si="43"/>
        <v>0</v>
      </c>
      <c r="AY177" s="44">
        <f t="shared" si="53"/>
        <v>15</v>
      </c>
      <c r="AZ177" s="44">
        <f t="shared" si="53"/>
        <v>0</v>
      </c>
      <c r="BA177" s="44">
        <f t="shared" si="53"/>
        <v>0</v>
      </c>
      <c r="BB177" s="44">
        <f t="shared" si="53"/>
        <v>0</v>
      </c>
      <c r="BC177" s="44">
        <f t="shared" si="53"/>
        <v>0</v>
      </c>
      <c r="BD177" s="44">
        <f t="shared" si="53"/>
        <v>0</v>
      </c>
      <c r="BE177" s="44">
        <f t="shared" si="53"/>
        <v>0</v>
      </c>
      <c r="BF177" s="83">
        <f t="shared" si="52"/>
        <v>15</v>
      </c>
      <c r="BG177" s="9"/>
      <c r="BH177" s="9"/>
      <c r="BI177" s="90"/>
      <c r="BJ177" s="90"/>
      <c r="BK177" s="90"/>
      <c r="BL177" s="90"/>
      <c r="BM177" s="90"/>
      <c r="BN177" s="90"/>
      <c r="BO177" s="90"/>
      <c r="BP177" s="90"/>
      <c r="BQ177" s="90"/>
      <c r="BR177" s="90"/>
      <c r="BS177" s="90"/>
      <c r="BT177" s="90"/>
      <c r="BU177" s="90"/>
    </row>
    <row r="178" spans="1:73" s="91" customFormat="1" ht="81" x14ac:dyDescent="0.25">
      <c r="A178" s="707"/>
      <c r="B178" s="627"/>
      <c r="C178" s="627"/>
      <c r="D178" s="608"/>
      <c r="E178" s="608"/>
      <c r="F178" s="613"/>
      <c r="G178" s="613"/>
      <c r="H178" s="611"/>
      <c r="I178" s="601"/>
      <c r="J178" s="611"/>
      <c r="K178" s="354" t="s">
        <v>978</v>
      </c>
      <c r="L178" s="357" t="s">
        <v>979</v>
      </c>
      <c r="M178" s="7">
        <v>0</v>
      </c>
      <c r="N178" s="7">
        <v>12</v>
      </c>
      <c r="O178" s="7">
        <v>12</v>
      </c>
      <c r="P178" s="7">
        <v>12</v>
      </c>
      <c r="Q178" s="7">
        <v>12</v>
      </c>
      <c r="R178" s="41">
        <v>12</v>
      </c>
      <c r="S178" s="184"/>
      <c r="T178" s="3"/>
      <c r="U178" s="3"/>
      <c r="V178" s="3">
        <v>20</v>
      </c>
      <c r="W178" s="3"/>
      <c r="X178" s="3"/>
      <c r="Y178" s="3"/>
      <c r="Z178" s="44">
        <f t="shared" si="40"/>
        <v>20</v>
      </c>
      <c r="AA178" s="3"/>
      <c r="AB178" s="3"/>
      <c r="AC178" s="3"/>
      <c r="AD178" s="3">
        <v>20</v>
      </c>
      <c r="AE178" s="3"/>
      <c r="AF178" s="3"/>
      <c r="AG178" s="3"/>
      <c r="AH178" s="44">
        <f t="shared" si="41"/>
        <v>20</v>
      </c>
      <c r="AI178" s="3">
        <v>50</v>
      </c>
      <c r="AJ178" s="3"/>
      <c r="AK178" s="3"/>
      <c r="AL178" s="3">
        <v>20</v>
      </c>
      <c r="AM178" s="3"/>
      <c r="AN178" s="3"/>
      <c r="AO178" s="3"/>
      <c r="AP178" s="44">
        <f t="shared" si="42"/>
        <v>70</v>
      </c>
      <c r="AQ178" s="3">
        <v>50</v>
      </c>
      <c r="AR178" s="3"/>
      <c r="AS178" s="3"/>
      <c r="AT178" s="3">
        <v>20</v>
      </c>
      <c r="AU178" s="3"/>
      <c r="AV178" s="3"/>
      <c r="AW178" s="3"/>
      <c r="AX178" s="44">
        <f t="shared" si="43"/>
        <v>70</v>
      </c>
      <c r="AY178" s="44">
        <f t="shared" si="53"/>
        <v>100</v>
      </c>
      <c r="AZ178" s="44">
        <f t="shared" si="53"/>
        <v>0</v>
      </c>
      <c r="BA178" s="44">
        <f t="shared" si="53"/>
        <v>0</v>
      </c>
      <c r="BB178" s="44">
        <f t="shared" si="53"/>
        <v>80</v>
      </c>
      <c r="BC178" s="44">
        <f t="shared" si="53"/>
        <v>0</v>
      </c>
      <c r="BD178" s="44">
        <f t="shared" si="53"/>
        <v>0</v>
      </c>
      <c r="BE178" s="44">
        <f t="shared" si="53"/>
        <v>0</v>
      </c>
      <c r="BF178" s="83">
        <f t="shared" si="52"/>
        <v>180</v>
      </c>
      <c r="BG178" s="9"/>
      <c r="BH178" s="9"/>
      <c r="BI178" s="90"/>
      <c r="BJ178" s="90"/>
      <c r="BK178" s="90"/>
      <c r="BL178" s="90"/>
      <c r="BM178" s="90"/>
      <c r="BN178" s="90"/>
      <c r="BO178" s="90"/>
      <c r="BP178" s="90"/>
      <c r="BQ178" s="90"/>
      <c r="BR178" s="90"/>
      <c r="BS178" s="90"/>
      <c r="BT178" s="90"/>
      <c r="BU178" s="90"/>
    </row>
    <row r="179" spans="1:73" s="91" customFormat="1" ht="63" customHeight="1" x14ac:dyDescent="0.25">
      <c r="A179" s="707"/>
      <c r="B179" s="627"/>
      <c r="C179" s="627"/>
      <c r="D179" s="608"/>
      <c r="E179" s="608"/>
      <c r="F179" s="613"/>
      <c r="G179" s="613"/>
      <c r="H179" s="611"/>
      <c r="I179" s="602"/>
      <c r="J179" s="611"/>
      <c r="K179" s="354" t="s">
        <v>980</v>
      </c>
      <c r="L179" s="357" t="s">
        <v>981</v>
      </c>
      <c r="M179" s="7">
        <v>0</v>
      </c>
      <c r="N179" s="7">
        <v>1</v>
      </c>
      <c r="O179" s="7"/>
      <c r="P179" s="7"/>
      <c r="Q179" s="7">
        <v>1</v>
      </c>
      <c r="R179" s="41"/>
      <c r="S179" s="184"/>
      <c r="T179" s="3"/>
      <c r="U179" s="3"/>
      <c r="V179" s="3"/>
      <c r="W179" s="3"/>
      <c r="X179" s="3"/>
      <c r="Y179" s="3"/>
      <c r="Z179" s="44">
        <f t="shared" si="40"/>
        <v>0</v>
      </c>
      <c r="AA179" s="3"/>
      <c r="AB179" s="3"/>
      <c r="AC179" s="3"/>
      <c r="AD179" s="3"/>
      <c r="AE179" s="3"/>
      <c r="AF179" s="3"/>
      <c r="AG179" s="3"/>
      <c r="AH179" s="44">
        <f t="shared" si="41"/>
        <v>0</v>
      </c>
      <c r="AI179" s="3">
        <v>30</v>
      </c>
      <c r="AJ179" s="3"/>
      <c r="AK179" s="3"/>
      <c r="AL179" s="3">
        <v>50</v>
      </c>
      <c r="AM179" s="3"/>
      <c r="AN179" s="3"/>
      <c r="AO179" s="3"/>
      <c r="AP179" s="44">
        <f t="shared" si="42"/>
        <v>80</v>
      </c>
      <c r="AQ179" s="3"/>
      <c r="AR179" s="3"/>
      <c r="AS179" s="3"/>
      <c r="AT179" s="3"/>
      <c r="AU179" s="3"/>
      <c r="AV179" s="3"/>
      <c r="AW179" s="3"/>
      <c r="AX179" s="44">
        <f t="shared" si="43"/>
        <v>0</v>
      </c>
      <c r="AY179" s="44">
        <f t="shared" si="53"/>
        <v>30</v>
      </c>
      <c r="AZ179" s="44">
        <f t="shared" si="53"/>
        <v>0</v>
      </c>
      <c r="BA179" s="44">
        <f t="shared" si="53"/>
        <v>0</v>
      </c>
      <c r="BB179" s="44">
        <f t="shared" si="53"/>
        <v>50</v>
      </c>
      <c r="BC179" s="44">
        <f t="shared" si="53"/>
        <v>0</v>
      </c>
      <c r="BD179" s="44">
        <f t="shared" si="53"/>
        <v>0</v>
      </c>
      <c r="BE179" s="44">
        <f t="shared" si="53"/>
        <v>0</v>
      </c>
      <c r="BF179" s="83">
        <f t="shared" si="52"/>
        <v>80</v>
      </c>
      <c r="BG179" s="9"/>
      <c r="BH179" s="9"/>
      <c r="BI179" s="90"/>
      <c r="BJ179" s="90"/>
      <c r="BK179" s="90"/>
      <c r="BL179" s="90"/>
      <c r="BM179" s="90"/>
      <c r="BN179" s="90"/>
      <c r="BO179" s="90"/>
      <c r="BP179" s="90"/>
      <c r="BQ179" s="90"/>
      <c r="BR179" s="90"/>
      <c r="BS179" s="90"/>
      <c r="BT179" s="90"/>
      <c r="BU179" s="90"/>
    </row>
    <row r="180" spans="1:73" s="91" customFormat="1" ht="67.5" x14ac:dyDescent="0.25">
      <c r="A180" s="707"/>
      <c r="B180" s="627"/>
      <c r="C180" s="627"/>
      <c r="D180" s="603" t="s">
        <v>347</v>
      </c>
      <c r="E180" s="603" t="s">
        <v>753</v>
      </c>
      <c r="F180" s="615">
        <v>0.153</v>
      </c>
      <c r="G180" s="615">
        <v>0.44400000000000001</v>
      </c>
      <c r="H180" s="603" t="s">
        <v>794</v>
      </c>
      <c r="I180" s="603" t="s">
        <v>742</v>
      </c>
      <c r="J180" s="603" t="s">
        <v>744</v>
      </c>
      <c r="K180" s="355" t="s">
        <v>348</v>
      </c>
      <c r="L180" s="379" t="s">
        <v>857</v>
      </c>
      <c r="M180" s="44">
        <v>12385</v>
      </c>
      <c r="N180" s="49">
        <v>36000</v>
      </c>
      <c r="O180" s="44">
        <v>15000</v>
      </c>
      <c r="P180" s="44">
        <v>20000</v>
      </c>
      <c r="Q180" s="44">
        <v>28000</v>
      </c>
      <c r="R180" s="45">
        <v>36000</v>
      </c>
      <c r="S180" s="185"/>
      <c r="T180" s="44"/>
      <c r="U180" s="44"/>
      <c r="V180" s="44"/>
      <c r="W180" s="44"/>
      <c r="X180" s="44"/>
      <c r="Y180" s="44">
        <v>5000</v>
      </c>
      <c r="Z180" s="44">
        <f t="shared" si="40"/>
        <v>5000</v>
      </c>
      <c r="AA180" s="44"/>
      <c r="AB180" s="44"/>
      <c r="AC180" s="44"/>
      <c r="AD180" s="44"/>
      <c r="AE180" s="44"/>
      <c r="AF180" s="44"/>
      <c r="AG180" s="44">
        <v>6667</v>
      </c>
      <c r="AH180" s="44">
        <f t="shared" si="41"/>
        <v>6667</v>
      </c>
      <c r="AI180" s="44"/>
      <c r="AJ180" s="44"/>
      <c r="AK180" s="44"/>
      <c r="AL180" s="44"/>
      <c r="AM180" s="44"/>
      <c r="AN180" s="44"/>
      <c r="AO180" s="44">
        <v>9333</v>
      </c>
      <c r="AP180" s="44">
        <f t="shared" si="42"/>
        <v>9333</v>
      </c>
      <c r="AQ180" s="44"/>
      <c r="AR180" s="44"/>
      <c r="AS180" s="44"/>
      <c r="AT180" s="44"/>
      <c r="AU180" s="44"/>
      <c r="AV180" s="44"/>
      <c r="AW180" s="44">
        <v>12000</v>
      </c>
      <c r="AX180" s="44">
        <f t="shared" si="43"/>
        <v>12000</v>
      </c>
      <c r="AY180" s="44">
        <f t="shared" si="44"/>
        <v>0</v>
      </c>
      <c r="AZ180" s="44">
        <f t="shared" si="45"/>
        <v>0</v>
      </c>
      <c r="BA180" s="44">
        <f t="shared" si="46"/>
        <v>0</v>
      </c>
      <c r="BB180" s="44">
        <f t="shared" si="47"/>
        <v>0</v>
      </c>
      <c r="BC180" s="44">
        <f t="shared" si="48"/>
        <v>0</v>
      </c>
      <c r="BD180" s="44">
        <f t="shared" si="49"/>
        <v>0</v>
      </c>
      <c r="BE180" s="44">
        <f t="shared" si="50"/>
        <v>33000</v>
      </c>
      <c r="BF180" s="83">
        <f t="shared" si="51"/>
        <v>33000</v>
      </c>
      <c r="BG180" s="47"/>
      <c r="BH180" s="47"/>
      <c r="BI180" s="90"/>
      <c r="BJ180" s="90"/>
      <c r="BK180" s="90"/>
      <c r="BL180" s="90"/>
      <c r="BM180" s="90"/>
      <c r="BN180" s="90"/>
      <c r="BO180" s="90"/>
      <c r="BP180" s="90"/>
      <c r="BQ180" s="90"/>
      <c r="BR180" s="90"/>
      <c r="BS180" s="90"/>
      <c r="BT180" s="90"/>
      <c r="BU180" s="90"/>
    </row>
    <row r="181" spans="1:73" s="91" customFormat="1" ht="27" x14ac:dyDescent="0.25">
      <c r="A181" s="707"/>
      <c r="B181" s="627"/>
      <c r="C181" s="627"/>
      <c r="D181" s="603"/>
      <c r="E181" s="603"/>
      <c r="F181" s="615"/>
      <c r="G181" s="615"/>
      <c r="H181" s="603"/>
      <c r="I181" s="603"/>
      <c r="J181" s="603"/>
      <c r="K181" s="355" t="s">
        <v>858</v>
      </c>
      <c r="L181" s="379" t="s">
        <v>859</v>
      </c>
      <c r="M181" s="44">
        <v>1</v>
      </c>
      <c r="N181" s="49">
        <v>5</v>
      </c>
      <c r="O181" s="46"/>
      <c r="P181" s="46">
        <v>2</v>
      </c>
      <c r="Q181" s="46">
        <v>3</v>
      </c>
      <c r="R181" s="198">
        <v>5</v>
      </c>
      <c r="S181" s="185"/>
      <c r="T181" s="44"/>
      <c r="U181" s="44"/>
      <c r="V181" s="44"/>
      <c r="W181" s="44"/>
      <c r="X181" s="44"/>
      <c r="Y181" s="44"/>
      <c r="Z181" s="44">
        <f t="shared" si="40"/>
        <v>0</v>
      </c>
      <c r="AA181" s="44"/>
      <c r="AB181" s="44"/>
      <c r="AC181" s="44"/>
      <c r="AD181" s="44"/>
      <c r="AE181" s="44"/>
      <c r="AF181" s="44">
        <v>1800</v>
      </c>
      <c r="AG181" s="44"/>
      <c r="AH181" s="44">
        <f t="shared" si="41"/>
        <v>1800</v>
      </c>
      <c r="AI181" s="44"/>
      <c r="AJ181" s="44"/>
      <c r="AK181" s="44"/>
      <c r="AL181" s="44"/>
      <c r="AM181" s="44"/>
      <c r="AN181" s="44">
        <v>1800</v>
      </c>
      <c r="AO181" s="44"/>
      <c r="AP181" s="44">
        <f t="shared" si="42"/>
        <v>1800</v>
      </c>
      <c r="AQ181" s="44"/>
      <c r="AR181" s="44"/>
      <c r="AS181" s="44"/>
      <c r="AT181" s="44"/>
      <c r="AU181" s="44"/>
      <c r="AV181" s="44">
        <v>3500</v>
      </c>
      <c r="AW181" s="44"/>
      <c r="AX181" s="44">
        <f t="shared" si="43"/>
        <v>3500</v>
      </c>
      <c r="AY181" s="44">
        <f t="shared" si="44"/>
        <v>0</v>
      </c>
      <c r="AZ181" s="44">
        <f t="shared" si="45"/>
        <v>0</v>
      </c>
      <c r="BA181" s="44">
        <f t="shared" si="46"/>
        <v>0</v>
      </c>
      <c r="BB181" s="44">
        <f t="shared" si="47"/>
        <v>0</v>
      </c>
      <c r="BC181" s="44">
        <f t="shared" si="48"/>
        <v>0</v>
      </c>
      <c r="BD181" s="44">
        <f t="shared" si="49"/>
        <v>7100</v>
      </c>
      <c r="BE181" s="44">
        <f t="shared" si="50"/>
        <v>0</v>
      </c>
      <c r="BF181" s="83">
        <f t="shared" si="51"/>
        <v>7100</v>
      </c>
      <c r="BG181" s="47"/>
      <c r="BH181" s="47"/>
      <c r="BI181" s="90"/>
      <c r="BJ181" s="90"/>
      <c r="BK181" s="90"/>
      <c r="BL181" s="90"/>
      <c r="BM181" s="90"/>
      <c r="BN181" s="90"/>
      <c r="BO181" s="90"/>
      <c r="BP181" s="90"/>
      <c r="BQ181" s="90"/>
      <c r="BR181" s="90"/>
      <c r="BS181" s="90"/>
      <c r="BT181" s="90"/>
      <c r="BU181" s="90"/>
    </row>
    <row r="182" spans="1:73" s="91" customFormat="1" ht="81" x14ac:dyDescent="0.25">
      <c r="A182" s="707"/>
      <c r="B182" s="627"/>
      <c r="C182" s="627"/>
      <c r="D182" s="355" t="s">
        <v>860</v>
      </c>
      <c r="E182" s="355" t="s">
        <v>861</v>
      </c>
      <c r="F182" s="413">
        <v>0.56000000000000005</v>
      </c>
      <c r="G182" s="410">
        <v>0.65</v>
      </c>
      <c r="H182" s="603"/>
      <c r="I182" s="603"/>
      <c r="J182" s="603"/>
      <c r="K182" s="355" t="s">
        <v>26</v>
      </c>
      <c r="L182" s="379" t="s">
        <v>27</v>
      </c>
      <c r="M182" s="44">
        <v>18288</v>
      </c>
      <c r="N182" s="44">
        <v>20717</v>
      </c>
      <c r="O182" s="44">
        <v>18500</v>
      </c>
      <c r="P182" s="44">
        <v>19200</v>
      </c>
      <c r="Q182" s="44">
        <v>19700</v>
      </c>
      <c r="R182" s="45">
        <v>20717</v>
      </c>
      <c r="S182" s="185"/>
      <c r="T182" s="44">
        <v>24050</v>
      </c>
      <c r="U182" s="44"/>
      <c r="V182" s="44"/>
      <c r="W182" s="44"/>
      <c r="X182" s="44"/>
      <c r="Y182" s="44"/>
      <c r="Z182" s="44">
        <f t="shared" si="40"/>
        <v>24050</v>
      </c>
      <c r="AA182" s="44"/>
      <c r="AB182" s="44">
        <v>24960</v>
      </c>
      <c r="AC182" s="44"/>
      <c r="AD182" s="44"/>
      <c r="AE182" s="44"/>
      <c r="AF182" s="44"/>
      <c r="AG182" s="44"/>
      <c r="AH182" s="44">
        <f t="shared" si="41"/>
        <v>24960</v>
      </c>
      <c r="AI182" s="44"/>
      <c r="AJ182" s="44">
        <v>25610</v>
      </c>
      <c r="AK182" s="44"/>
      <c r="AL182" s="44"/>
      <c r="AM182" s="44"/>
      <c r="AN182" s="44"/>
      <c r="AO182" s="44"/>
      <c r="AP182" s="44">
        <f t="shared" si="42"/>
        <v>25610</v>
      </c>
      <c r="AQ182" s="44"/>
      <c r="AR182" s="44">
        <v>26932</v>
      </c>
      <c r="AS182" s="44"/>
      <c r="AT182" s="44"/>
      <c r="AU182" s="44"/>
      <c r="AV182" s="44"/>
      <c r="AW182" s="44"/>
      <c r="AX182" s="44">
        <f t="shared" si="43"/>
        <v>26932</v>
      </c>
      <c r="AY182" s="44">
        <f t="shared" si="44"/>
        <v>0</v>
      </c>
      <c r="AZ182" s="44">
        <f t="shared" si="45"/>
        <v>101552</v>
      </c>
      <c r="BA182" s="44">
        <f t="shared" si="46"/>
        <v>0</v>
      </c>
      <c r="BB182" s="44">
        <f t="shared" si="47"/>
        <v>0</v>
      </c>
      <c r="BC182" s="44">
        <f t="shared" si="48"/>
        <v>0</v>
      </c>
      <c r="BD182" s="44">
        <f t="shared" si="49"/>
        <v>0</v>
      </c>
      <c r="BE182" s="44">
        <f t="shared" si="50"/>
        <v>0</v>
      </c>
      <c r="BF182" s="83">
        <f t="shared" si="51"/>
        <v>101552</v>
      </c>
      <c r="BG182" s="47"/>
      <c r="BH182" s="47"/>
      <c r="BI182" s="90"/>
      <c r="BJ182" s="90"/>
      <c r="BK182" s="90"/>
      <c r="BL182" s="90"/>
      <c r="BM182" s="90"/>
      <c r="BN182" s="90"/>
      <c r="BO182" s="90"/>
      <c r="BP182" s="90"/>
      <c r="BQ182" s="90"/>
      <c r="BR182" s="90"/>
      <c r="BS182" s="90"/>
      <c r="BT182" s="90"/>
      <c r="BU182" s="90"/>
    </row>
    <row r="183" spans="1:73" s="91" customFormat="1" ht="81" x14ac:dyDescent="0.25">
      <c r="A183" s="707"/>
      <c r="B183" s="627"/>
      <c r="C183" s="627"/>
      <c r="D183" s="355" t="s">
        <v>28</v>
      </c>
      <c r="E183" s="355" t="s">
        <v>29</v>
      </c>
      <c r="F183" s="410">
        <v>0.96</v>
      </c>
      <c r="G183" s="410">
        <v>1</v>
      </c>
      <c r="H183" s="603"/>
      <c r="I183" s="603"/>
      <c r="J183" s="603"/>
      <c r="K183" s="355" t="s">
        <v>30</v>
      </c>
      <c r="L183" s="379" t="s">
        <v>31</v>
      </c>
      <c r="M183" s="44">
        <v>77570</v>
      </c>
      <c r="N183" s="44">
        <v>78220</v>
      </c>
      <c r="O183" s="44">
        <f>+M183+163</f>
        <v>77733</v>
      </c>
      <c r="P183" s="44">
        <f>+O183+163</f>
        <v>77896</v>
      </c>
      <c r="Q183" s="44">
        <f>+P183+163</f>
        <v>78059</v>
      </c>
      <c r="R183" s="45">
        <v>78220</v>
      </c>
      <c r="S183" s="185"/>
      <c r="T183" s="44">
        <v>93280</v>
      </c>
      <c r="U183" s="44"/>
      <c r="V183" s="44"/>
      <c r="W183" s="44"/>
      <c r="X183" s="44"/>
      <c r="Y183" s="44"/>
      <c r="Z183" s="44">
        <f t="shared" si="40"/>
        <v>93280</v>
      </c>
      <c r="AA183" s="44"/>
      <c r="AB183" s="44">
        <v>93475</v>
      </c>
      <c r="AC183" s="44"/>
      <c r="AD183" s="44"/>
      <c r="AE183" s="44"/>
      <c r="AF183" s="44"/>
      <c r="AG183" s="44"/>
      <c r="AH183" s="44">
        <f t="shared" si="41"/>
        <v>93475</v>
      </c>
      <c r="AI183" s="44"/>
      <c r="AJ183" s="44">
        <v>93671</v>
      </c>
      <c r="AK183" s="44"/>
      <c r="AL183" s="44"/>
      <c r="AM183" s="44"/>
      <c r="AN183" s="44"/>
      <c r="AO183" s="44"/>
      <c r="AP183" s="44">
        <f t="shared" si="42"/>
        <v>93671</v>
      </c>
      <c r="AQ183" s="44"/>
      <c r="AR183" s="44">
        <v>93864</v>
      </c>
      <c r="AS183" s="44"/>
      <c r="AT183" s="44"/>
      <c r="AU183" s="44"/>
      <c r="AV183" s="44"/>
      <c r="AW183" s="44"/>
      <c r="AX183" s="44">
        <f t="shared" si="43"/>
        <v>93864</v>
      </c>
      <c r="AY183" s="44">
        <f t="shared" si="44"/>
        <v>0</v>
      </c>
      <c r="AZ183" s="44">
        <f t="shared" si="45"/>
        <v>374290</v>
      </c>
      <c r="BA183" s="44">
        <f t="shared" si="46"/>
        <v>0</v>
      </c>
      <c r="BB183" s="44">
        <f t="shared" si="47"/>
        <v>0</v>
      </c>
      <c r="BC183" s="44">
        <f t="shared" si="48"/>
        <v>0</v>
      </c>
      <c r="BD183" s="44">
        <f t="shared" si="49"/>
        <v>0</v>
      </c>
      <c r="BE183" s="44">
        <f t="shared" si="50"/>
        <v>0</v>
      </c>
      <c r="BF183" s="83">
        <f t="shared" si="51"/>
        <v>374290</v>
      </c>
      <c r="BG183" s="47"/>
      <c r="BH183" s="47"/>
      <c r="BI183" s="90"/>
      <c r="BJ183" s="90"/>
      <c r="BK183" s="90"/>
      <c r="BL183" s="90"/>
      <c r="BM183" s="90"/>
      <c r="BN183" s="90"/>
      <c r="BO183" s="90"/>
      <c r="BP183" s="90"/>
      <c r="BQ183" s="90"/>
      <c r="BR183" s="90"/>
      <c r="BS183" s="90"/>
      <c r="BT183" s="90"/>
      <c r="BU183" s="90"/>
    </row>
    <row r="184" spans="1:73" s="91" customFormat="1" ht="94.5" x14ac:dyDescent="0.25">
      <c r="A184" s="707"/>
      <c r="B184" s="627"/>
      <c r="C184" s="627"/>
      <c r="D184" s="355" t="s">
        <v>32</v>
      </c>
      <c r="E184" s="355" t="s">
        <v>33</v>
      </c>
      <c r="F184" s="410">
        <v>0.87</v>
      </c>
      <c r="G184" s="410">
        <v>0.95</v>
      </c>
      <c r="H184" s="603"/>
      <c r="I184" s="603"/>
      <c r="J184" s="603"/>
      <c r="K184" s="355" t="s">
        <v>36</v>
      </c>
      <c r="L184" s="379" t="s">
        <v>37</v>
      </c>
      <c r="M184" s="44">
        <v>54246</v>
      </c>
      <c r="N184" s="44">
        <v>57760</v>
      </c>
      <c r="O184" s="44">
        <v>54766</v>
      </c>
      <c r="P184" s="44">
        <v>55764</v>
      </c>
      <c r="Q184" s="44">
        <v>56762</v>
      </c>
      <c r="R184" s="45">
        <v>57760</v>
      </c>
      <c r="S184" s="185"/>
      <c r="T184" s="44">
        <v>71196</v>
      </c>
      <c r="U184" s="44"/>
      <c r="V184" s="44"/>
      <c r="W184" s="44"/>
      <c r="X184" s="44"/>
      <c r="Y184" s="44"/>
      <c r="Z184" s="44">
        <f t="shared" si="40"/>
        <v>71196</v>
      </c>
      <c r="AA184" s="44"/>
      <c r="AB184" s="44">
        <v>72493</v>
      </c>
      <c r="AC184" s="44"/>
      <c r="AD184" s="44"/>
      <c r="AE184" s="44"/>
      <c r="AF184" s="44"/>
      <c r="AG184" s="44"/>
      <c r="AH184" s="44">
        <f t="shared" si="41"/>
        <v>72493</v>
      </c>
      <c r="AI184" s="44"/>
      <c r="AJ184" s="44">
        <v>73791</v>
      </c>
      <c r="AK184" s="44"/>
      <c r="AL184" s="44"/>
      <c r="AM184" s="44"/>
      <c r="AN184" s="44"/>
      <c r="AO184" s="44"/>
      <c r="AP184" s="44">
        <f t="shared" si="42"/>
        <v>73791</v>
      </c>
      <c r="AQ184" s="44"/>
      <c r="AR184" s="44">
        <v>75088</v>
      </c>
      <c r="AS184" s="44"/>
      <c r="AT184" s="44"/>
      <c r="AU184" s="44"/>
      <c r="AV184" s="44"/>
      <c r="AW184" s="44"/>
      <c r="AX184" s="44">
        <f t="shared" si="43"/>
        <v>75088</v>
      </c>
      <c r="AY184" s="44">
        <f t="shared" si="44"/>
        <v>0</v>
      </c>
      <c r="AZ184" s="44">
        <f t="shared" si="45"/>
        <v>292568</v>
      </c>
      <c r="BA184" s="44">
        <f t="shared" si="46"/>
        <v>0</v>
      </c>
      <c r="BB184" s="44">
        <f t="shared" si="47"/>
        <v>0</v>
      </c>
      <c r="BC184" s="44">
        <f t="shared" si="48"/>
        <v>0</v>
      </c>
      <c r="BD184" s="44">
        <f t="shared" si="49"/>
        <v>0</v>
      </c>
      <c r="BE184" s="44">
        <f t="shared" si="50"/>
        <v>0</v>
      </c>
      <c r="BF184" s="83">
        <f t="shared" si="51"/>
        <v>292568</v>
      </c>
      <c r="BG184" s="47"/>
      <c r="BH184" s="47"/>
      <c r="BI184" s="90"/>
      <c r="BJ184" s="90"/>
      <c r="BK184" s="90"/>
      <c r="BL184" s="90"/>
      <c r="BM184" s="90"/>
      <c r="BN184" s="90"/>
      <c r="BO184" s="90"/>
      <c r="BP184" s="90"/>
      <c r="BQ184" s="90"/>
      <c r="BR184" s="90"/>
      <c r="BS184" s="90"/>
      <c r="BT184" s="90"/>
      <c r="BU184" s="90"/>
    </row>
    <row r="185" spans="1:73" s="91" customFormat="1" ht="27" x14ac:dyDescent="0.25">
      <c r="A185" s="707"/>
      <c r="B185" s="627"/>
      <c r="C185" s="627"/>
      <c r="D185" s="603" t="s">
        <v>34</v>
      </c>
      <c r="E185" s="603" t="s">
        <v>35</v>
      </c>
      <c r="F185" s="615">
        <v>0.377</v>
      </c>
      <c r="G185" s="614">
        <v>0.42</v>
      </c>
      <c r="H185" s="603"/>
      <c r="I185" s="603"/>
      <c r="J185" s="603"/>
      <c r="K185" s="355" t="s">
        <v>38</v>
      </c>
      <c r="L185" s="379" t="s">
        <v>39</v>
      </c>
      <c r="M185" s="44">
        <v>16197</v>
      </c>
      <c r="N185" s="44">
        <v>18309</v>
      </c>
      <c r="O185" s="44">
        <f>+M185+500</f>
        <v>16697</v>
      </c>
      <c r="P185" s="44">
        <f>+O185+500</f>
        <v>17197</v>
      </c>
      <c r="Q185" s="44">
        <f>+P185+500</f>
        <v>17697</v>
      </c>
      <c r="R185" s="45">
        <v>18309</v>
      </c>
      <c r="S185" s="185"/>
      <c r="T185" s="44">
        <f>+O185*1.3</f>
        <v>21706.100000000002</v>
      </c>
      <c r="U185" s="44"/>
      <c r="V185" s="44"/>
      <c r="W185" s="44"/>
      <c r="X185" s="44"/>
      <c r="Y185" s="44"/>
      <c r="Z185" s="44">
        <f t="shared" si="40"/>
        <v>21706.100000000002</v>
      </c>
      <c r="AA185" s="44"/>
      <c r="AB185" s="44">
        <f>+P185*1.3</f>
        <v>22356.100000000002</v>
      </c>
      <c r="AC185" s="44"/>
      <c r="AD185" s="44"/>
      <c r="AE185" s="44"/>
      <c r="AF185" s="44"/>
      <c r="AG185" s="44"/>
      <c r="AH185" s="44">
        <f t="shared" si="41"/>
        <v>22356.100000000002</v>
      </c>
      <c r="AI185" s="44"/>
      <c r="AJ185" s="44">
        <f>+Q185*1.3</f>
        <v>23006.100000000002</v>
      </c>
      <c r="AK185" s="44"/>
      <c r="AL185" s="44"/>
      <c r="AM185" s="44"/>
      <c r="AN185" s="44"/>
      <c r="AO185" s="44"/>
      <c r="AP185" s="44">
        <f t="shared" si="42"/>
        <v>23006.100000000002</v>
      </c>
      <c r="AQ185" s="44"/>
      <c r="AR185" s="44">
        <f>+R185*1.3</f>
        <v>23801.7</v>
      </c>
      <c r="AS185" s="44"/>
      <c r="AT185" s="44"/>
      <c r="AU185" s="44"/>
      <c r="AV185" s="44"/>
      <c r="AW185" s="44"/>
      <c r="AX185" s="44">
        <f t="shared" si="43"/>
        <v>23801.7</v>
      </c>
      <c r="AY185" s="44">
        <f t="shared" si="44"/>
        <v>0</v>
      </c>
      <c r="AZ185" s="44">
        <f t="shared" si="45"/>
        <v>90870</v>
      </c>
      <c r="BA185" s="44">
        <f t="shared" si="46"/>
        <v>0</v>
      </c>
      <c r="BB185" s="44">
        <f t="shared" si="47"/>
        <v>0</v>
      </c>
      <c r="BC185" s="44">
        <f t="shared" si="48"/>
        <v>0</v>
      </c>
      <c r="BD185" s="44">
        <f t="shared" si="49"/>
        <v>0</v>
      </c>
      <c r="BE185" s="44">
        <f t="shared" si="50"/>
        <v>0</v>
      </c>
      <c r="BF185" s="83">
        <f t="shared" si="51"/>
        <v>90870</v>
      </c>
      <c r="BG185" s="47"/>
      <c r="BH185" s="47"/>
      <c r="BI185" s="90"/>
      <c r="BJ185" s="90"/>
      <c r="BK185" s="90"/>
      <c r="BL185" s="90"/>
      <c r="BM185" s="90"/>
      <c r="BN185" s="90"/>
      <c r="BO185" s="90"/>
      <c r="BP185" s="90"/>
      <c r="BQ185" s="90"/>
      <c r="BR185" s="90"/>
      <c r="BS185" s="90"/>
      <c r="BT185" s="90"/>
      <c r="BU185" s="90"/>
    </row>
    <row r="186" spans="1:73" s="91" customFormat="1" ht="40.5" x14ac:dyDescent="0.25">
      <c r="A186" s="707"/>
      <c r="B186" s="627"/>
      <c r="C186" s="627"/>
      <c r="D186" s="603"/>
      <c r="E186" s="603"/>
      <c r="F186" s="615"/>
      <c r="G186" s="614"/>
      <c r="H186" s="603"/>
      <c r="I186" s="603"/>
      <c r="J186" s="603"/>
      <c r="K186" s="355" t="s">
        <v>78</v>
      </c>
      <c r="L186" s="379" t="s">
        <v>79</v>
      </c>
      <c r="M186" s="44">
        <v>524</v>
      </c>
      <c r="N186" s="44">
        <v>570</v>
      </c>
      <c r="O186" s="44">
        <f>+M186*1.02</f>
        <v>534.48</v>
      </c>
      <c r="P186" s="44">
        <f>+O186*1.02</f>
        <v>545.16960000000006</v>
      </c>
      <c r="Q186" s="44">
        <f>+P186*1.02</f>
        <v>556.07299200000011</v>
      </c>
      <c r="R186" s="45">
        <v>570</v>
      </c>
      <c r="S186" s="185"/>
      <c r="T186" s="44">
        <f>+O186*1.5</f>
        <v>801.72</v>
      </c>
      <c r="U186" s="44"/>
      <c r="V186" s="44"/>
      <c r="W186" s="44"/>
      <c r="X186" s="44"/>
      <c r="Y186" s="44"/>
      <c r="Z186" s="44">
        <f t="shared" si="40"/>
        <v>801.72</v>
      </c>
      <c r="AA186" s="44"/>
      <c r="AB186" s="44">
        <f>+P186*1.5</f>
        <v>817.75440000000003</v>
      </c>
      <c r="AC186" s="44"/>
      <c r="AD186" s="44"/>
      <c r="AE186" s="44"/>
      <c r="AF186" s="44"/>
      <c r="AG186" s="44"/>
      <c r="AH186" s="44">
        <f t="shared" si="41"/>
        <v>817.75440000000003</v>
      </c>
      <c r="AI186" s="44"/>
      <c r="AJ186" s="44">
        <f>+Q186*1.5</f>
        <v>834.10948800000017</v>
      </c>
      <c r="AK186" s="44"/>
      <c r="AL186" s="44"/>
      <c r="AM186" s="44"/>
      <c r="AN186" s="44"/>
      <c r="AO186" s="44"/>
      <c r="AP186" s="44">
        <f t="shared" si="42"/>
        <v>834.10948800000017</v>
      </c>
      <c r="AQ186" s="44"/>
      <c r="AR186" s="44">
        <f>+R186*1.5</f>
        <v>855</v>
      </c>
      <c r="AS186" s="44"/>
      <c r="AT186" s="44"/>
      <c r="AU186" s="44"/>
      <c r="AV186" s="44"/>
      <c r="AW186" s="44"/>
      <c r="AX186" s="44">
        <f t="shared" si="43"/>
        <v>855</v>
      </c>
      <c r="AY186" s="44">
        <f t="shared" si="44"/>
        <v>0</v>
      </c>
      <c r="AZ186" s="44">
        <f t="shared" si="45"/>
        <v>3308.5838880000001</v>
      </c>
      <c r="BA186" s="44">
        <f t="shared" si="46"/>
        <v>0</v>
      </c>
      <c r="BB186" s="44">
        <f t="shared" si="47"/>
        <v>0</v>
      </c>
      <c r="BC186" s="44">
        <f t="shared" si="48"/>
        <v>0</v>
      </c>
      <c r="BD186" s="44">
        <f t="shared" si="49"/>
        <v>0</v>
      </c>
      <c r="BE186" s="44">
        <f t="shared" si="50"/>
        <v>0</v>
      </c>
      <c r="BF186" s="83">
        <f t="shared" si="51"/>
        <v>3308.5838880000001</v>
      </c>
      <c r="BG186" s="47"/>
      <c r="BH186" s="47"/>
      <c r="BI186" s="90"/>
      <c r="BJ186" s="90"/>
      <c r="BK186" s="90"/>
      <c r="BL186" s="90"/>
      <c r="BM186" s="90"/>
      <c r="BN186" s="90"/>
      <c r="BO186" s="90"/>
      <c r="BP186" s="90"/>
      <c r="BQ186" s="90"/>
      <c r="BR186" s="90"/>
      <c r="BS186" s="90"/>
      <c r="BT186" s="90"/>
      <c r="BU186" s="90"/>
    </row>
    <row r="187" spans="1:73" s="91" customFormat="1" ht="40.5" x14ac:dyDescent="0.25">
      <c r="A187" s="707"/>
      <c r="B187" s="627"/>
      <c r="C187" s="627"/>
      <c r="D187" s="603"/>
      <c r="E187" s="603"/>
      <c r="F187" s="615"/>
      <c r="G187" s="614"/>
      <c r="H187" s="603"/>
      <c r="I187" s="603"/>
      <c r="J187" s="603"/>
      <c r="K187" s="355" t="s">
        <v>40</v>
      </c>
      <c r="L187" s="379" t="s">
        <v>41</v>
      </c>
      <c r="M187" s="44">
        <v>40</v>
      </c>
      <c r="N187" s="44">
        <v>60</v>
      </c>
      <c r="O187" s="44">
        <v>40</v>
      </c>
      <c r="P187" s="44">
        <v>50</v>
      </c>
      <c r="Q187" s="44">
        <v>60</v>
      </c>
      <c r="R187" s="45">
        <v>60</v>
      </c>
      <c r="S187" s="185"/>
      <c r="T187" s="44"/>
      <c r="U187" s="44"/>
      <c r="V187" s="44"/>
      <c r="W187" s="44"/>
      <c r="X187" s="44"/>
      <c r="Y187" s="44">
        <v>2000</v>
      </c>
      <c r="Z187" s="44">
        <f t="shared" si="40"/>
        <v>2000</v>
      </c>
      <c r="AA187" s="44"/>
      <c r="AB187" s="44">
        <f>2500*0.3</f>
        <v>750</v>
      </c>
      <c r="AC187" s="44"/>
      <c r="AD187" s="44"/>
      <c r="AE187" s="44"/>
      <c r="AF187" s="44"/>
      <c r="AG187" s="44">
        <v>1750</v>
      </c>
      <c r="AH187" s="44">
        <f t="shared" si="41"/>
        <v>2500</v>
      </c>
      <c r="AI187" s="44"/>
      <c r="AJ187" s="44">
        <f>3000*0.3</f>
        <v>900</v>
      </c>
      <c r="AK187" s="44"/>
      <c r="AL187" s="44"/>
      <c r="AM187" s="44"/>
      <c r="AN187" s="44"/>
      <c r="AO187" s="44">
        <v>2100</v>
      </c>
      <c r="AP187" s="44">
        <f t="shared" si="42"/>
        <v>3000</v>
      </c>
      <c r="AQ187" s="44"/>
      <c r="AR187" s="44">
        <v>900</v>
      </c>
      <c r="AS187" s="44"/>
      <c r="AT187" s="44"/>
      <c r="AU187" s="44"/>
      <c r="AV187" s="44"/>
      <c r="AW187" s="44">
        <v>2100</v>
      </c>
      <c r="AX187" s="44">
        <f t="shared" si="43"/>
        <v>3000</v>
      </c>
      <c r="AY187" s="44">
        <f t="shared" si="44"/>
        <v>0</v>
      </c>
      <c r="AZ187" s="44">
        <f t="shared" si="45"/>
        <v>2550</v>
      </c>
      <c r="BA187" s="44">
        <f t="shared" si="46"/>
        <v>0</v>
      </c>
      <c r="BB187" s="44">
        <f t="shared" si="47"/>
        <v>0</v>
      </c>
      <c r="BC187" s="44">
        <f t="shared" si="48"/>
        <v>0</v>
      </c>
      <c r="BD187" s="44">
        <f t="shared" si="49"/>
        <v>0</v>
      </c>
      <c r="BE187" s="44">
        <f t="shared" si="50"/>
        <v>7950</v>
      </c>
      <c r="BF187" s="83">
        <f t="shared" si="51"/>
        <v>10500</v>
      </c>
      <c r="BG187" s="47"/>
      <c r="BH187" s="47"/>
      <c r="BI187" s="90"/>
      <c r="BJ187" s="90"/>
      <c r="BK187" s="90"/>
      <c r="BL187" s="90"/>
      <c r="BM187" s="90"/>
      <c r="BN187" s="90"/>
      <c r="BO187" s="90"/>
      <c r="BP187" s="90"/>
      <c r="BQ187" s="90"/>
      <c r="BR187" s="90"/>
      <c r="BS187" s="90"/>
      <c r="BT187" s="90"/>
      <c r="BU187" s="90"/>
    </row>
    <row r="188" spans="1:73" s="91" customFormat="1" ht="81" x14ac:dyDescent="0.25">
      <c r="A188" s="707"/>
      <c r="B188" s="627"/>
      <c r="C188" s="627"/>
      <c r="D188" s="603"/>
      <c r="E188" s="603"/>
      <c r="F188" s="615"/>
      <c r="G188" s="614"/>
      <c r="H188" s="603"/>
      <c r="I188" s="603"/>
      <c r="J188" s="603"/>
      <c r="K188" s="355" t="s">
        <v>42</v>
      </c>
      <c r="L188" s="379" t="s">
        <v>43</v>
      </c>
      <c r="M188" s="44">
        <v>10</v>
      </c>
      <c r="N188" s="44">
        <v>151</v>
      </c>
      <c r="O188" s="44">
        <v>37.75</v>
      </c>
      <c r="P188" s="44">
        <f>+O188+38</f>
        <v>75.75</v>
      </c>
      <c r="Q188" s="44">
        <f>+P188+38</f>
        <v>113.75</v>
      </c>
      <c r="R188" s="45">
        <v>151</v>
      </c>
      <c r="S188" s="185"/>
      <c r="T188" s="44">
        <v>100</v>
      </c>
      <c r="U188" s="44"/>
      <c r="V188" s="44"/>
      <c r="W188" s="44"/>
      <c r="X188" s="44"/>
      <c r="Y188" s="44"/>
      <c r="Z188" s="44">
        <f t="shared" si="40"/>
        <v>100</v>
      </c>
      <c r="AA188" s="44"/>
      <c r="AB188" s="44">
        <v>100</v>
      </c>
      <c r="AC188" s="44"/>
      <c r="AD188" s="44"/>
      <c r="AE188" s="44"/>
      <c r="AF188" s="44"/>
      <c r="AG188" s="44"/>
      <c r="AH188" s="44">
        <f t="shared" si="41"/>
        <v>100</v>
      </c>
      <c r="AI188" s="44"/>
      <c r="AJ188" s="44">
        <v>100</v>
      </c>
      <c r="AK188" s="44"/>
      <c r="AL188" s="44"/>
      <c r="AM188" s="44"/>
      <c r="AN188" s="44"/>
      <c r="AO188" s="44"/>
      <c r="AP188" s="44">
        <f t="shared" si="42"/>
        <v>100</v>
      </c>
      <c r="AQ188" s="44"/>
      <c r="AR188" s="44">
        <v>100</v>
      </c>
      <c r="AS188" s="44"/>
      <c r="AT188" s="44"/>
      <c r="AU188" s="44"/>
      <c r="AV188" s="44"/>
      <c r="AW188" s="44"/>
      <c r="AX188" s="44">
        <f t="shared" si="43"/>
        <v>100</v>
      </c>
      <c r="AY188" s="44">
        <f t="shared" si="44"/>
        <v>0</v>
      </c>
      <c r="AZ188" s="44">
        <f t="shared" si="45"/>
        <v>400</v>
      </c>
      <c r="BA188" s="44">
        <f t="shared" si="46"/>
        <v>0</v>
      </c>
      <c r="BB188" s="44">
        <f t="shared" si="47"/>
        <v>0</v>
      </c>
      <c r="BC188" s="44">
        <f t="shared" si="48"/>
        <v>0</v>
      </c>
      <c r="BD188" s="44">
        <f t="shared" si="49"/>
        <v>0</v>
      </c>
      <c r="BE188" s="44">
        <f t="shared" si="50"/>
        <v>0</v>
      </c>
      <c r="BF188" s="83">
        <f t="shared" si="51"/>
        <v>400</v>
      </c>
      <c r="BG188" s="47"/>
      <c r="BH188" s="47"/>
      <c r="BI188" s="90"/>
      <c r="BJ188" s="90"/>
      <c r="BK188" s="90"/>
      <c r="BL188" s="90"/>
      <c r="BM188" s="90"/>
      <c r="BN188" s="90"/>
      <c r="BO188" s="90"/>
      <c r="BP188" s="90"/>
      <c r="BQ188" s="90"/>
      <c r="BR188" s="90"/>
      <c r="BS188" s="90"/>
      <c r="BT188" s="90"/>
      <c r="BU188" s="90"/>
    </row>
    <row r="189" spans="1:73" s="91" customFormat="1" ht="27" x14ac:dyDescent="0.25">
      <c r="A189" s="707"/>
      <c r="B189" s="627"/>
      <c r="C189" s="627"/>
      <c r="D189" s="603"/>
      <c r="E189" s="603"/>
      <c r="F189" s="615"/>
      <c r="G189" s="614"/>
      <c r="H189" s="603"/>
      <c r="I189" s="603"/>
      <c r="J189" s="603"/>
      <c r="K189" s="355" t="s">
        <v>44</v>
      </c>
      <c r="L189" s="379" t="s">
        <v>45</v>
      </c>
      <c r="M189" s="44">
        <v>22</v>
      </c>
      <c r="N189" s="44">
        <v>60</v>
      </c>
      <c r="O189" s="44">
        <v>25</v>
      </c>
      <c r="P189" s="44">
        <v>30</v>
      </c>
      <c r="Q189" s="44">
        <v>45</v>
      </c>
      <c r="R189" s="45">
        <v>60</v>
      </c>
      <c r="S189" s="185"/>
      <c r="T189" s="44">
        <v>300</v>
      </c>
      <c r="U189" s="44"/>
      <c r="V189" s="44"/>
      <c r="W189" s="44"/>
      <c r="X189" s="44"/>
      <c r="Y189" s="44"/>
      <c r="Z189" s="44">
        <f t="shared" si="40"/>
        <v>300</v>
      </c>
      <c r="AA189" s="44"/>
      <c r="AB189" s="44">
        <v>500</v>
      </c>
      <c r="AC189" s="44"/>
      <c r="AD189" s="44"/>
      <c r="AE189" s="44"/>
      <c r="AF189" s="44"/>
      <c r="AG189" s="44"/>
      <c r="AH189" s="44">
        <f t="shared" si="41"/>
        <v>500</v>
      </c>
      <c r="AI189" s="44"/>
      <c r="AJ189" s="44">
        <v>1200</v>
      </c>
      <c r="AK189" s="44"/>
      <c r="AL189" s="44"/>
      <c r="AM189" s="44"/>
      <c r="AN189" s="44"/>
      <c r="AO189" s="44"/>
      <c r="AP189" s="44">
        <f t="shared" si="42"/>
        <v>1200</v>
      </c>
      <c r="AQ189" s="44"/>
      <c r="AR189" s="44">
        <v>1500</v>
      </c>
      <c r="AS189" s="44"/>
      <c r="AT189" s="44"/>
      <c r="AU189" s="44"/>
      <c r="AV189" s="44"/>
      <c r="AW189" s="44"/>
      <c r="AX189" s="44">
        <f t="shared" si="43"/>
        <v>1500</v>
      </c>
      <c r="AY189" s="44">
        <f t="shared" si="44"/>
        <v>0</v>
      </c>
      <c r="AZ189" s="44">
        <f t="shared" si="45"/>
        <v>3500</v>
      </c>
      <c r="BA189" s="44">
        <f t="shared" si="46"/>
        <v>0</v>
      </c>
      <c r="BB189" s="44">
        <f t="shared" si="47"/>
        <v>0</v>
      </c>
      <c r="BC189" s="44">
        <f t="shared" si="48"/>
        <v>0</v>
      </c>
      <c r="BD189" s="44">
        <f t="shared" si="49"/>
        <v>0</v>
      </c>
      <c r="BE189" s="44">
        <f t="shared" si="50"/>
        <v>0</v>
      </c>
      <c r="BF189" s="83">
        <f t="shared" si="51"/>
        <v>3500</v>
      </c>
      <c r="BG189" s="47"/>
      <c r="BH189" s="47"/>
      <c r="BI189" s="90"/>
      <c r="BJ189" s="90"/>
      <c r="BK189" s="90"/>
      <c r="BL189" s="90"/>
      <c r="BM189" s="90"/>
      <c r="BN189" s="90"/>
      <c r="BO189" s="90"/>
      <c r="BP189" s="90"/>
      <c r="BQ189" s="90"/>
      <c r="BR189" s="90"/>
      <c r="BS189" s="90"/>
      <c r="BT189" s="90"/>
      <c r="BU189" s="90"/>
    </row>
    <row r="190" spans="1:73" s="91" customFormat="1" ht="40.5" x14ac:dyDescent="0.25">
      <c r="A190" s="707"/>
      <c r="B190" s="627"/>
      <c r="C190" s="627"/>
      <c r="D190" s="603" t="s">
        <v>63</v>
      </c>
      <c r="E190" s="603" t="s">
        <v>64</v>
      </c>
      <c r="F190" s="615">
        <v>0.05</v>
      </c>
      <c r="G190" s="614">
        <v>0.25</v>
      </c>
      <c r="H190" s="603"/>
      <c r="I190" s="603"/>
      <c r="J190" s="603"/>
      <c r="K190" s="355" t="s">
        <v>65</v>
      </c>
      <c r="L190" s="379" t="s">
        <v>66</v>
      </c>
      <c r="M190" s="44">
        <v>25</v>
      </c>
      <c r="N190" s="44">
        <v>50</v>
      </c>
      <c r="O190" s="44">
        <v>30</v>
      </c>
      <c r="P190" s="44">
        <v>35</v>
      </c>
      <c r="Q190" s="44">
        <v>45</v>
      </c>
      <c r="R190" s="45">
        <v>50</v>
      </c>
      <c r="S190" s="185"/>
      <c r="T190" s="44"/>
      <c r="U190" s="44"/>
      <c r="V190" s="44"/>
      <c r="W190" s="44"/>
      <c r="X190" s="44"/>
      <c r="Y190" s="44"/>
      <c r="Z190" s="44">
        <f t="shared" si="40"/>
        <v>0</v>
      </c>
      <c r="AA190" s="44"/>
      <c r="AB190" s="44"/>
      <c r="AC190" s="44"/>
      <c r="AD190" s="44"/>
      <c r="AE190" s="44"/>
      <c r="AF190" s="44"/>
      <c r="AG190" s="44"/>
      <c r="AH190" s="44">
        <f t="shared" si="41"/>
        <v>0</v>
      </c>
      <c r="AI190" s="44"/>
      <c r="AJ190" s="44"/>
      <c r="AK190" s="44"/>
      <c r="AL190" s="44"/>
      <c r="AM190" s="44"/>
      <c r="AN190" s="44"/>
      <c r="AO190" s="44"/>
      <c r="AP190" s="44">
        <f t="shared" si="42"/>
        <v>0</v>
      </c>
      <c r="AQ190" s="44"/>
      <c r="AR190" s="44"/>
      <c r="AS190" s="44"/>
      <c r="AT190" s="44"/>
      <c r="AU190" s="44"/>
      <c r="AV190" s="44"/>
      <c r="AW190" s="44"/>
      <c r="AX190" s="44">
        <f t="shared" si="43"/>
        <v>0</v>
      </c>
      <c r="AY190" s="44">
        <f t="shared" si="44"/>
        <v>0</v>
      </c>
      <c r="AZ190" s="44">
        <f t="shared" si="45"/>
        <v>0</v>
      </c>
      <c r="BA190" s="44">
        <f t="shared" si="46"/>
        <v>0</v>
      </c>
      <c r="BB190" s="44">
        <f t="shared" si="47"/>
        <v>0</v>
      </c>
      <c r="BC190" s="44">
        <f t="shared" si="48"/>
        <v>0</v>
      </c>
      <c r="BD190" s="44">
        <f t="shared" si="49"/>
        <v>0</v>
      </c>
      <c r="BE190" s="44">
        <f t="shared" si="50"/>
        <v>0</v>
      </c>
      <c r="BF190" s="83">
        <f t="shared" si="51"/>
        <v>0</v>
      </c>
      <c r="BG190" s="47"/>
      <c r="BH190" s="47"/>
      <c r="BI190" s="90"/>
      <c r="BJ190" s="90"/>
      <c r="BK190" s="90"/>
      <c r="BL190" s="90"/>
      <c r="BM190" s="90"/>
      <c r="BN190" s="90"/>
      <c r="BO190" s="90"/>
      <c r="BP190" s="90"/>
      <c r="BQ190" s="90"/>
      <c r="BR190" s="90"/>
      <c r="BS190" s="90"/>
      <c r="BT190" s="90"/>
      <c r="BU190" s="90"/>
    </row>
    <row r="191" spans="1:73" s="91" customFormat="1" ht="40.5" x14ac:dyDescent="0.25">
      <c r="A191" s="707"/>
      <c r="B191" s="627"/>
      <c r="C191" s="627"/>
      <c r="D191" s="603"/>
      <c r="E191" s="603"/>
      <c r="F191" s="615"/>
      <c r="G191" s="614"/>
      <c r="H191" s="603"/>
      <c r="I191" s="603"/>
      <c r="J191" s="603"/>
      <c r="K191" s="355" t="s">
        <v>67</v>
      </c>
      <c r="L191" s="379" t="s">
        <v>68</v>
      </c>
      <c r="M191" s="44">
        <v>5</v>
      </c>
      <c r="N191" s="44">
        <v>20</v>
      </c>
      <c r="O191" s="44">
        <v>8</v>
      </c>
      <c r="P191" s="44">
        <v>12</v>
      </c>
      <c r="Q191" s="44">
        <v>16</v>
      </c>
      <c r="R191" s="45">
        <v>20</v>
      </c>
      <c r="S191" s="185"/>
      <c r="T191" s="44"/>
      <c r="U191" s="44"/>
      <c r="V191" s="44"/>
      <c r="W191" s="44"/>
      <c r="X191" s="44"/>
      <c r="Y191" s="44"/>
      <c r="Z191" s="44">
        <f t="shared" si="40"/>
        <v>0</v>
      </c>
      <c r="AA191" s="44"/>
      <c r="AB191" s="44"/>
      <c r="AC191" s="44"/>
      <c r="AD191" s="44"/>
      <c r="AE191" s="44"/>
      <c r="AF191" s="44"/>
      <c r="AG191" s="44"/>
      <c r="AH191" s="44">
        <f t="shared" si="41"/>
        <v>0</v>
      </c>
      <c r="AI191" s="44"/>
      <c r="AJ191" s="44"/>
      <c r="AK191" s="44"/>
      <c r="AL191" s="44"/>
      <c r="AM191" s="44"/>
      <c r="AN191" s="44"/>
      <c r="AO191" s="44"/>
      <c r="AP191" s="44">
        <f t="shared" si="42"/>
        <v>0</v>
      </c>
      <c r="AQ191" s="44"/>
      <c r="AR191" s="44"/>
      <c r="AS191" s="44"/>
      <c r="AT191" s="44"/>
      <c r="AU191" s="44"/>
      <c r="AV191" s="44"/>
      <c r="AW191" s="44"/>
      <c r="AX191" s="44">
        <f t="shared" si="43"/>
        <v>0</v>
      </c>
      <c r="AY191" s="44">
        <f t="shared" si="44"/>
        <v>0</v>
      </c>
      <c r="AZ191" s="44">
        <f t="shared" si="45"/>
        <v>0</v>
      </c>
      <c r="BA191" s="44">
        <f t="shared" si="46"/>
        <v>0</v>
      </c>
      <c r="BB191" s="44">
        <f t="shared" si="47"/>
        <v>0</v>
      </c>
      <c r="BC191" s="44">
        <f t="shared" si="48"/>
        <v>0</v>
      </c>
      <c r="BD191" s="44">
        <f t="shared" si="49"/>
        <v>0</v>
      </c>
      <c r="BE191" s="44">
        <f t="shared" si="50"/>
        <v>0</v>
      </c>
      <c r="BF191" s="83">
        <f t="shared" si="51"/>
        <v>0</v>
      </c>
      <c r="BG191" s="47"/>
      <c r="BH191" s="47"/>
      <c r="BI191" s="90"/>
      <c r="BJ191" s="90"/>
      <c r="BK191" s="90"/>
      <c r="BL191" s="90"/>
      <c r="BM191" s="90"/>
      <c r="BN191" s="90"/>
      <c r="BO191" s="90"/>
      <c r="BP191" s="90"/>
      <c r="BQ191" s="90"/>
      <c r="BR191" s="90"/>
      <c r="BS191" s="90"/>
      <c r="BT191" s="90"/>
      <c r="BU191" s="90"/>
    </row>
    <row r="192" spans="1:73" s="91" customFormat="1" ht="40.5" x14ac:dyDescent="0.25">
      <c r="A192" s="707"/>
      <c r="B192" s="627"/>
      <c r="C192" s="627"/>
      <c r="D192" s="603" t="s">
        <v>46</v>
      </c>
      <c r="E192" s="603" t="s">
        <v>47</v>
      </c>
      <c r="F192" s="710">
        <v>0.1176</v>
      </c>
      <c r="G192" s="614">
        <v>0.06</v>
      </c>
      <c r="H192" s="603"/>
      <c r="I192" s="603"/>
      <c r="J192" s="603"/>
      <c r="K192" s="355" t="s">
        <v>48</v>
      </c>
      <c r="L192" s="379" t="s">
        <v>49</v>
      </c>
      <c r="M192" s="44">
        <v>3200</v>
      </c>
      <c r="N192" s="44">
        <v>7217</v>
      </c>
      <c r="O192" s="44">
        <f>700+M192</f>
        <v>3900</v>
      </c>
      <c r="P192" s="44">
        <f>+O192+1106</f>
        <v>5006</v>
      </c>
      <c r="Q192" s="44">
        <f>+P192+1106</f>
        <v>6112</v>
      </c>
      <c r="R192" s="45">
        <v>7217</v>
      </c>
      <c r="S192" s="185"/>
      <c r="T192" s="44">
        <v>350</v>
      </c>
      <c r="U192" s="44"/>
      <c r="V192" s="44"/>
      <c r="W192" s="44"/>
      <c r="X192" s="44"/>
      <c r="Y192" s="44"/>
      <c r="Z192" s="44">
        <f t="shared" si="40"/>
        <v>350</v>
      </c>
      <c r="AA192" s="44"/>
      <c r="AB192" s="44">
        <v>450</v>
      </c>
      <c r="AC192" s="44"/>
      <c r="AD192" s="44"/>
      <c r="AE192" s="44"/>
      <c r="AF192" s="44"/>
      <c r="AG192" s="44"/>
      <c r="AH192" s="44">
        <f t="shared" si="41"/>
        <v>450</v>
      </c>
      <c r="AI192" s="44"/>
      <c r="AJ192" s="44">
        <v>500</v>
      </c>
      <c r="AK192" s="44"/>
      <c r="AL192" s="44"/>
      <c r="AM192" s="44"/>
      <c r="AN192" s="44"/>
      <c r="AO192" s="44"/>
      <c r="AP192" s="44">
        <f t="shared" si="42"/>
        <v>500</v>
      </c>
      <c r="AQ192" s="44"/>
      <c r="AR192" s="44">
        <v>600</v>
      </c>
      <c r="AS192" s="44"/>
      <c r="AT192" s="44"/>
      <c r="AU192" s="44"/>
      <c r="AV192" s="44"/>
      <c r="AW192" s="44"/>
      <c r="AX192" s="44">
        <f t="shared" si="43"/>
        <v>600</v>
      </c>
      <c r="AY192" s="44">
        <f t="shared" si="44"/>
        <v>0</v>
      </c>
      <c r="AZ192" s="44">
        <f t="shared" si="45"/>
        <v>1900</v>
      </c>
      <c r="BA192" s="44">
        <f t="shared" si="46"/>
        <v>0</v>
      </c>
      <c r="BB192" s="44">
        <f t="shared" si="47"/>
        <v>0</v>
      </c>
      <c r="BC192" s="44">
        <f t="shared" si="48"/>
        <v>0</v>
      </c>
      <c r="BD192" s="44">
        <f t="shared" si="49"/>
        <v>0</v>
      </c>
      <c r="BE192" s="44">
        <f t="shared" si="50"/>
        <v>0</v>
      </c>
      <c r="BF192" s="83">
        <f t="shared" si="51"/>
        <v>1900</v>
      </c>
      <c r="BG192" s="47"/>
      <c r="BH192" s="47"/>
      <c r="BI192" s="90"/>
      <c r="BJ192" s="90"/>
      <c r="BK192" s="90"/>
      <c r="BL192" s="90"/>
      <c r="BM192" s="90"/>
      <c r="BN192" s="90"/>
      <c r="BO192" s="90"/>
      <c r="BP192" s="90"/>
      <c r="BQ192" s="90"/>
      <c r="BR192" s="90"/>
      <c r="BS192" s="90"/>
      <c r="BT192" s="90"/>
      <c r="BU192" s="90"/>
    </row>
    <row r="193" spans="1:73" s="91" customFormat="1" ht="40.5" x14ac:dyDescent="0.25">
      <c r="A193" s="707"/>
      <c r="B193" s="627"/>
      <c r="C193" s="627"/>
      <c r="D193" s="603"/>
      <c r="E193" s="603"/>
      <c r="F193" s="710"/>
      <c r="G193" s="614"/>
      <c r="H193" s="603"/>
      <c r="I193" s="603"/>
      <c r="J193" s="603"/>
      <c r="K193" s="355" t="s">
        <v>50</v>
      </c>
      <c r="L193" s="379" t="s">
        <v>51</v>
      </c>
      <c r="M193" s="44">
        <v>80</v>
      </c>
      <c r="N193" s="44">
        <v>800</v>
      </c>
      <c r="O193" s="44">
        <v>180</v>
      </c>
      <c r="P193" s="44">
        <f>207+O193</f>
        <v>387</v>
      </c>
      <c r="Q193" s="44">
        <f>207+P193</f>
        <v>594</v>
      </c>
      <c r="R193" s="45">
        <v>800</v>
      </c>
      <c r="S193" s="185"/>
      <c r="T193" s="44">
        <v>100</v>
      </c>
      <c r="U193" s="44"/>
      <c r="V193" s="44"/>
      <c r="W193" s="44"/>
      <c r="X193" s="44"/>
      <c r="Y193" s="44"/>
      <c r="Z193" s="44">
        <f t="shared" si="40"/>
        <v>100</v>
      </c>
      <c r="AA193" s="44"/>
      <c r="AB193" s="44">
        <v>150</v>
      </c>
      <c r="AC193" s="44"/>
      <c r="AD193" s="44"/>
      <c r="AE193" s="44"/>
      <c r="AF193" s="44"/>
      <c r="AG193" s="44"/>
      <c r="AH193" s="44">
        <f t="shared" si="41"/>
        <v>150</v>
      </c>
      <c r="AI193" s="44"/>
      <c r="AJ193" s="44">
        <v>200</v>
      </c>
      <c r="AK193" s="44"/>
      <c r="AL193" s="44"/>
      <c r="AM193" s="44"/>
      <c r="AN193" s="44"/>
      <c r="AO193" s="44"/>
      <c r="AP193" s="44">
        <f t="shared" si="42"/>
        <v>200</v>
      </c>
      <c r="AQ193" s="44"/>
      <c r="AR193" s="44">
        <v>250</v>
      </c>
      <c r="AS193" s="44"/>
      <c r="AT193" s="44"/>
      <c r="AU193" s="44"/>
      <c r="AV193" s="44"/>
      <c r="AW193" s="44"/>
      <c r="AX193" s="44">
        <f t="shared" si="43"/>
        <v>250</v>
      </c>
      <c r="AY193" s="44">
        <f t="shared" si="44"/>
        <v>0</v>
      </c>
      <c r="AZ193" s="44">
        <f t="shared" si="45"/>
        <v>700</v>
      </c>
      <c r="BA193" s="44">
        <f t="shared" si="46"/>
        <v>0</v>
      </c>
      <c r="BB193" s="44">
        <f t="shared" si="47"/>
        <v>0</v>
      </c>
      <c r="BC193" s="44">
        <f t="shared" si="48"/>
        <v>0</v>
      </c>
      <c r="BD193" s="44">
        <f t="shared" si="49"/>
        <v>0</v>
      </c>
      <c r="BE193" s="44">
        <f t="shared" si="50"/>
        <v>0</v>
      </c>
      <c r="BF193" s="83">
        <f t="shared" si="51"/>
        <v>700</v>
      </c>
      <c r="BG193" s="47"/>
      <c r="BH193" s="47"/>
      <c r="BI193" s="90"/>
      <c r="BJ193" s="90"/>
      <c r="BK193" s="90"/>
      <c r="BL193" s="90"/>
      <c r="BM193" s="90"/>
      <c r="BN193" s="90"/>
      <c r="BO193" s="90"/>
      <c r="BP193" s="90"/>
      <c r="BQ193" s="90"/>
      <c r="BR193" s="90"/>
      <c r="BS193" s="90"/>
      <c r="BT193" s="90"/>
      <c r="BU193" s="90"/>
    </row>
    <row r="194" spans="1:73" s="91" customFormat="1" ht="40.5" x14ac:dyDescent="0.25">
      <c r="A194" s="707"/>
      <c r="B194" s="627"/>
      <c r="C194" s="627"/>
      <c r="D194" s="603"/>
      <c r="E194" s="603"/>
      <c r="F194" s="710"/>
      <c r="G194" s="614"/>
      <c r="H194" s="603"/>
      <c r="I194" s="603"/>
      <c r="J194" s="603"/>
      <c r="K194" s="355" t="s">
        <v>1395</v>
      </c>
      <c r="L194" s="379" t="s">
        <v>52</v>
      </c>
      <c r="M194" s="44">
        <v>60</v>
      </c>
      <c r="N194" s="44">
        <v>200</v>
      </c>
      <c r="O194" s="44">
        <v>95</v>
      </c>
      <c r="P194" s="44">
        <f>+O194+35</f>
        <v>130</v>
      </c>
      <c r="Q194" s="44">
        <f>+P194+35</f>
        <v>165</v>
      </c>
      <c r="R194" s="45">
        <v>200</v>
      </c>
      <c r="S194" s="185"/>
      <c r="T194" s="44"/>
      <c r="U194" s="44"/>
      <c r="V194" s="44">
        <v>100</v>
      </c>
      <c r="W194" s="44"/>
      <c r="X194" s="44"/>
      <c r="Y194" s="44"/>
      <c r="Z194" s="44">
        <f t="shared" si="40"/>
        <v>100</v>
      </c>
      <c r="AA194" s="44"/>
      <c r="AB194" s="44"/>
      <c r="AC194" s="44"/>
      <c r="AD194" s="44">
        <v>100</v>
      </c>
      <c r="AE194" s="44"/>
      <c r="AF194" s="44"/>
      <c r="AG194" s="44"/>
      <c r="AH194" s="44">
        <f t="shared" si="41"/>
        <v>100</v>
      </c>
      <c r="AI194" s="44"/>
      <c r="AJ194" s="44"/>
      <c r="AK194" s="44"/>
      <c r="AL194" s="44">
        <v>100</v>
      </c>
      <c r="AM194" s="44"/>
      <c r="AN194" s="44"/>
      <c r="AO194" s="44"/>
      <c r="AP194" s="44">
        <f t="shared" si="42"/>
        <v>100</v>
      </c>
      <c r="AQ194" s="44"/>
      <c r="AR194" s="44"/>
      <c r="AS194" s="44"/>
      <c r="AT194" s="44">
        <v>100</v>
      </c>
      <c r="AU194" s="44"/>
      <c r="AV194" s="44"/>
      <c r="AW194" s="44"/>
      <c r="AX194" s="44">
        <f t="shared" si="43"/>
        <v>100</v>
      </c>
      <c r="AY194" s="44">
        <f t="shared" si="44"/>
        <v>0</v>
      </c>
      <c r="AZ194" s="44">
        <f t="shared" si="45"/>
        <v>0</v>
      </c>
      <c r="BA194" s="44">
        <f t="shared" si="46"/>
        <v>0</v>
      </c>
      <c r="BB194" s="44">
        <f t="shared" si="47"/>
        <v>400</v>
      </c>
      <c r="BC194" s="44">
        <f t="shared" si="48"/>
        <v>0</v>
      </c>
      <c r="BD194" s="44">
        <f t="shared" si="49"/>
        <v>0</v>
      </c>
      <c r="BE194" s="44">
        <f t="shared" si="50"/>
        <v>0</v>
      </c>
      <c r="BF194" s="83">
        <f t="shared" si="51"/>
        <v>400</v>
      </c>
      <c r="BG194" s="47"/>
      <c r="BH194" s="47"/>
      <c r="BI194" s="90"/>
      <c r="BJ194" s="90"/>
      <c r="BK194" s="90"/>
      <c r="BL194" s="90"/>
      <c r="BM194" s="90"/>
      <c r="BN194" s="90"/>
      <c r="BO194" s="90"/>
      <c r="BP194" s="90"/>
      <c r="BQ194" s="90"/>
      <c r="BR194" s="90"/>
      <c r="BS194" s="90"/>
      <c r="BT194" s="90"/>
      <c r="BU194" s="90"/>
    </row>
    <row r="195" spans="1:73" s="91" customFormat="1" ht="40.5" x14ac:dyDescent="0.25">
      <c r="A195" s="707"/>
      <c r="B195" s="627"/>
      <c r="C195" s="627"/>
      <c r="D195" s="603"/>
      <c r="E195" s="603"/>
      <c r="F195" s="710"/>
      <c r="G195" s="614"/>
      <c r="H195" s="603"/>
      <c r="I195" s="603"/>
      <c r="J195" s="603"/>
      <c r="K195" s="355" t="s">
        <v>1396</v>
      </c>
      <c r="L195" s="379" t="s">
        <v>45</v>
      </c>
      <c r="M195" s="44">
        <v>20</v>
      </c>
      <c r="N195" s="44">
        <v>80</v>
      </c>
      <c r="O195" s="44">
        <v>35</v>
      </c>
      <c r="P195" s="44">
        <v>50</v>
      </c>
      <c r="Q195" s="44">
        <v>65</v>
      </c>
      <c r="R195" s="45">
        <v>80</v>
      </c>
      <c r="S195" s="185"/>
      <c r="T195" s="44"/>
      <c r="U195" s="44"/>
      <c r="V195" s="44">
        <v>75</v>
      </c>
      <c r="W195" s="44"/>
      <c r="X195" s="44"/>
      <c r="Y195" s="44"/>
      <c r="Z195" s="44">
        <f t="shared" si="40"/>
        <v>75</v>
      </c>
      <c r="AA195" s="44"/>
      <c r="AB195" s="44"/>
      <c r="AC195" s="44"/>
      <c r="AD195" s="44">
        <v>75</v>
      </c>
      <c r="AE195" s="44"/>
      <c r="AF195" s="44"/>
      <c r="AG195" s="44"/>
      <c r="AH195" s="44">
        <f t="shared" si="41"/>
        <v>75</v>
      </c>
      <c r="AI195" s="44"/>
      <c r="AJ195" s="44"/>
      <c r="AK195" s="44"/>
      <c r="AL195" s="44">
        <v>75</v>
      </c>
      <c r="AM195" s="44"/>
      <c r="AN195" s="44"/>
      <c r="AO195" s="44"/>
      <c r="AP195" s="44">
        <f t="shared" si="42"/>
        <v>75</v>
      </c>
      <c r="AQ195" s="44"/>
      <c r="AR195" s="44"/>
      <c r="AS195" s="44"/>
      <c r="AT195" s="44">
        <v>75</v>
      </c>
      <c r="AU195" s="44"/>
      <c r="AV195" s="44"/>
      <c r="AW195" s="44"/>
      <c r="AX195" s="44">
        <f t="shared" si="43"/>
        <v>75</v>
      </c>
      <c r="AY195" s="44">
        <f t="shared" si="44"/>
        <v>0</v>
      </c>
      <c r="AZ195" s="44">
        <f t="shared" si="45"/>
        <v>0</v>
      </c>
      <c r="BA195" s="44">
        <f t="shared" si="46"/>
        <v>0</v>
      </c>
      <c r="BB195" s="44">
        <f t="shared" si="47"/>
        <v>300</v>
      </c>
      <c r="BC195" s="44">
        <f t="shared" si="48"/>
        <v>0</v>
      </c>
      <c r="BD195" s="44">
        <f t="shared" si="49"/>
        <v>0</v>
      </c>
      <c r="BE195" s="44">
        <f t="shared" si="50"/>
        <v>0</v>
      </c>
      <c r="BF195" s="83">
        <f t="shared" si="51"/>
        <v>300</v>
      </c>
      <c r="BG195" s="47"/>
      <c r="BH195" s="47"/>
      <c r="BI195" s="90"/>
      <c r="BJ195" s="90"/>
      <c r="BK195" s="90"/>
      <c r="BL195" s="90"/>
      <c r="BM195" s="90"/>
      <c r="BN195" s="90"/>
      <c r="BO195" s="90"/>
      <c r="BP195" s="90"/>
      <c r="BQ195" s="90"/>
      <c r="BR195" s="90"/>
      <c r="BS195" s="90"/>
      <c r="BT195" s="90"/>
      <c r="BU195" s="90"/>
    </row>
    <row r="196" spans="1:73" s="91" customFormat="1" ht="27" x14ac:dyDescent="0.25">
      <c r="A196" s="707"/>
      <c r="B196" s="627"/>
      <c r="C196" s="627"/>
      <c r="D196" s="603"/>
      <c r="E196" s="603"/>
      <c r="F196" s="710"/>
      <c r="G196" s="614"/>
      <c r="H196" s="603"/>
      <c r="I196" s="603"/>
      <c r="J196" s="603"/>
      <c r="K196" s="355" t="s">
        <v>53</v>
      </c>
      <c r="L196" s="379" t="s">
        <v>54</v>
      </c>
      <c r="M196" s="44">
        <v>60</v>
      </c>
      <c r="N196" s="44">
        <v>140</v>
      </c>
      <c r="O196" s="44">
        <v>80</v>
      </c>
      <c r="P196" s="44">
        <v>100</v>
      </c>
      <c r="Q196" s="44">
        <v>120</v>
      </c>
      <c r="R196" s="45">
        <v>140</v>
      </c>
      <c r="S196" s="185"/>
      <c r="T196" s="44">
        <v>30</v>
      </c>
      <c r="U196" s="44"/>
      <c r="V196" s="44"/>
      <c r="W196" s="44"/>
      <c r="X196" s="44"/>
      <c r="Y196" s="44"/>
      <c r="Z196" s="44">
        <f t="shared" si="40"/>
        <v>30</v>
      </c>
      <c r="AA196" s="44"/>
      <c r="AB196" s="44">
        <v>30</v>
      </c>
      <c r="AC196" s="44"/>
      <c r="AD196" s="44"/>
      <c r="AE196" s="44"/>
      <c r="AF196" s="44"/>
      <c r="AG196" s="44"/>
      <c r="AH196" s="44">
        <f t="shared" si="41"/>
        <v>30</v>
      </c>
      <c r="AI196" s="44"/>
      <c r="AJ196" s="44">
        <v>30</v>
      </c>
      <c r="AK196" s="44"/>
      <c r="AL196" s="44"/>
      <c r="AM196" s="44"/>
      <c r="AN196" s="44"/>
      <c r="AO196" s="44"/>
      <c r="AP196" s="44">
        <f t="shared" si="42"/>
        <v>30</v>
      </c>
      <c r="AQ196" s="44"/>
      <c r="AR196" s="44">
        <v>30</v>
      </c>
      <c r="AS196" s="44"/>
      <c r="AT196" s="44"/>
      <c r="AU196" s="44"/>
      <c r="AV196" s="44"/>
      <c r="AW196" s="44"/>
      <c r="AX196" s="44">
        <f t="shared" si="43"/>
        <v>30</v>
      </c>
      <c r="AY196" s="44">
        <f t="shared" si="44"/>
        <v>0</v>
      </c>
      <c r="AZ196" s="44">
        <f t="shared" si="45"/>
        <v>120</v>
      </c>
      <c r="BA196" s="44">
        <f t="shared" si="46"/>
        <v>0</v>
      </c>
      <c r="BB196" s="44">
        <f t="shared" si="47"/>
        <v>0</v>
      </c>
      <c r="BC196" s="44">
        <f t="shared" si="48"/>
        <v>0</v>
      </c>
      <c r="BD196" s="44">
        <f t="shared" si="49"/>
        <v>0</v>
      </c>
      <c r="BE196" s="44">
        <f t="shared" si="50"/>
        <v>0</v>
      </c>
      <c r="BF196" s="83">
        <f t="shared" si="51"/>
        <v>120</v>
      </c>
      <c r="BG196" s="47"/>
      <c r="BH196" s="47"/>
      <c r="BI196" s="90"/>
      <c r="BJ196" s="90"/>
      <c r="BK196" s="90"/>
      <c r="BL196" s="90"/>
      <c r="BM196" s="90"/>
      <c r="BN196" s="90"/>
      <c r="BO196" s="90"/>
      <c r="BP196" s="90"/>
      <c r="BQ196" s="90"/>
      <c r="BR196" s="90"/>
      <c r="BS196" s="90"/>
      <c r="BT196" s="90"/>
      <c r="BU196" s="90"/>
    </row>
    <row r="197" spans="1:73" s="91" customFormat="1" ht="27" x14ac:dyDescent="0.25">
      <c r="A197" s="707"/>
      <c r="B197" s="627"/>
      <c r="C197" s="627"/>
      <c r="D197" s="603"/>
      <c r="E197" s="603"/>
      <c r="F197" s="710"/>
      <c r="G197" s="614"/>
      <c r="H197" s="603"/>
      <c r="I197" s="603"/>
      <c r="J197" s="603"/>
      <c r="K197" s="355" t="s">
        <v>55</v>
      </c>
      <c r="L197" s="379" t="s">
        <v>56</v>
      </c>
      <c r="M197" s="44"/>
      <c r="N197" s="44">
        <v>1</v>
      </c>
      <c r="O197" s="44">
        <v>1</v>
      </c>
      <c r="P197" s="44">
        <v>1</v>
      </c>
      <c r="Q197" s="44">
        <v>1</v>
      </c>
      <c r="R197" s="45">
        <v>1</v>
      </c>
      <c r="S197" s="185"/>
      <c r="T197" s="44">
        <v>80</v>
      </c>
      <c r="U197" s="44"/>
      <c r="V197" s="44"/>
      <c r="W197" s="44"/>
      <c r="X197" s="44"/>
      <c r="Y197" s="44"/>
      <c r="Z197" s="44">
        <f t="shared" si="40"/>
        <v>80</v>
      </c>
      <c r="AA197" s="44"/>
      <c r="AB197" s="44">
        <v>80</v>
      </c>
      <c r="AC197" s="44"/>
      <c r="AD197" s="44"/>
      <c r="AE197" s="44"/>
      <c r="AF197" s="44"/>
      <c r="AG197" s="44"/>
      <c r="AH197" s="44">
        <f t="shared" si="41"/>
        <v>80</v>
      </c>
      <c r="AI197" s="44"/>
      <c r="AJ197" s="44">
        <v>80</v>
      </c>
      <c r="AK197" s="44"/>
      <c r="AL197" s="44"/>
      <c r="AM197" s="44"/>
      <c r="AN197" s="44"/>
      <c r="AO197" s="44"/>
      <c r="AP197" s="44">
        <f t="shared" si="42"/>
        <v>80</v>
      </c>
      <c r="AQ197" s="44"/>
      <c r="AR197" s="44">
        <v>80</v>
      </c>
      <c r="AS197" s="44"/>
      <c r="AT197" s="44"/>
      <c r="AU197" s="44"/>
      <c r="AV197" s="44"/>
      <c r="AW197" s="44"/>
      <c r="AX197" s="44">
        <f t="shared" si="43"/>
        <v>80</v>
      </c>
      <c r="AY197" s="44">
        <f t="shared" si="44"/>
        <v>0</v>
      </c>
      <c r="AZ197" s="44">
        <f t="shared" si="45"/>
        <v>320</v>
      </c>
      <c r="BA197" s="44">
        <f t="shared" si="46"/>
        <v>0</v>
      </c>
      <c r="BB197" s="44">
        <f t="shared" si="47"/>
        <v>0</v>
      </c>
      <c r="BC197" s="44">
        <f t="shared" si="48"/>
        <v>0</v>
      </c>
      <c r="BD197" s="44">
        <f t="shared" si="49"/>
        <v>0</v>
      </c>
      <c r="BE197" s="44">
        <f t="shared" si="50"/>
        <v>0</v>
      </c>
      <c r="BF197" s="83">
        <f t="shared" si="51"/>
        <v>320</v>
      </c>
      <c r="BG197" s="47"/>
      <c r="BH197" s="47"/>
      <c r="BI197" s="90"/>
      <c r="BJ197" s="90"/>
      <c r="BK197" s="90"/>
      <c r="BL197" s="90"/>
      <c r="BM197" s="90"/>
      <c r="BN197" s="90"/>
      <c r="BO197" s="90"/>
      <c r="BP197" s="90"/>
      <c r="BQ197" s="90"/>
      <c r="BR197" s="90"/>
      <c r="BS197" s="90"/>
      <c r="BT197" s="90"/>
      <c r="BU197" s="90"/>
    </row>
    <row r="198" spans="1:73" s="91" customFormat="1" ht="54" x14ac:dyDescent="0.25">
      <c r="A198" s="707"/>
      <c r="B198" s="627"/>
      <c r="C198" s="627"/>
      <c r="D198" s="603"/>
      <c r="E198" s="603"/>
      <c r="F198" s="710"/>
      <c r="G198" s="614"/>
      <c r="H198" s="603"/>
      <c r="I198" s="603"/>
      <c r="J198" s="603"/>
      <c r="K198" s="355" t="s">
        <v>57</v>
      </c>
      <c r="L198" s="379" t="s">
        <v>58</v>
      </c>
      <c r="M198" s="44">
        <v>30</v>
      </c>
      <c r="N198" s="44">
        <v>50</v>
      </c>
      <c r="O198" s="44">
        <v>35</v>
      </c>
      <c r="P198" s="44">
        <v>40</v>
      </c>
      <c r="Q198" s="44">
        <v>45</v>
      </c>
      <c r="R198" s="45">
        <v>50</v>
      </c>
      <c r="S198" s="185"/>
      <c r="T198" s="44">
        <v>100</v>
      </c>
      <c r="U198" s="44"/>
      <c r="V198" s="44">
        <v>100</v>
      </c>
      <c r="W198" s="44"/>
      <c r="X198" s="44"/>
      <c r="Y198" s="44"/>
      <c r="Z198" s="44">
        <f t="shared" si="40"/>
        <v>200</v>
      </c>
      <c r="AA198" s="44"/>
      <c r="AB198" s="44">
        <v>100</v>
      </c>
      <c r="AC198" s="44"/>
      <c r="AD198" s="44">
        <v>100</v>
      </c>
      <c r="AE198" s="44"/>
      <c r="AF198" s="44"/>
      <c r="AG198" s="44"/>
      <c r="AH198" s="44">
        <f t="shared" si="41"/>
        <v>200</v>
      </c>
      <c r="AI198" s="44"/>
      <c r="AJ198" s="44">
        <v>100</v>
      </c>
      <c r="AK198" s="44"/>
      <c r="AL198" s="44">
        <v>100</v>
      </c>
      <c r="AM198" s="44"/>
      <c r="AN198" s="44"/>
      <c r="AO198" s="44"/>
      <c r="AP198" s="44">
        <f t="shared" si="42"/>
        <v>200</v>
      </c>
      <c r="AQ198" s="44"/>
      <c r="AR198" s="44">
        <v>100</v>
      </c>
      <c r="AS198" s="44"/>
      <c r="AT198" s="44">
        <v>100</v>
      </c>
      <c r="AU198" s="44"/>
      <c r="AV198" s="44"/>
      <c r="AW198" s="44"/>
      <c r="AX198" s="44">
        <f t="shared" si="43"/>
        <v>200</v>
      </c>
      <c r="AY198" s="44">
        <f t="shared" si="44"/>
        <v>0</v>
      </c>
      <c r="AZ198" s="44">
        <f t="shared" si="45"/>
        <v>400</v>
      </c>
      <c r="BA198" s="44">
        <f t="shared" si="46"/>
        <v>0</v>
      </c>
      <c r="BB198" s="44">
        <f t="shared" si="47"/>
        <v>400</v>
      </c>
      <c r="BC198" s="44">
        <f t="shared" si="48"/>
        <v>0</v>
      </c>
      <c r="BD198" s="44">
        <f t="shared" si="49"/>
        <v>0</v>
      </c>
      <c r="BE198" s="44">
        <f t="shared" si="50"/>
        <v>0</v>
      </c>
      <c r="BF198" s="83">
        <f t="shared" si="51"/>
        <v>800</v>
      </c>
      <c r="BG198" s="47"/>
      <c r="BH198" s="47"/>
      <c r="BI198" s="90"/>
      <c r="BJ198" s="90"/>
      <c r="BK198" s="90"/>
      <c r="BL198" s="90"/>
      <c r="BM198" s="90"/>
      <c r="BN198" s="90"/>
      <c r="BO198" s="90"/>
      <c r="BP198" s="90"/>
      <c r="BQ198" s="90"/>
      <c r="BR198" s="90"/>
      <c r="BS198" s="90"/>
      <c r="BT198" s="90"/>
      <c r="BU198" s="90"/>
    </row>
    <row r="199" spans="1:73" s="91" customFormat="1" ht="40.5" x14ac:dyDescent="0.25">
      <c r="A199" s="707"/>
      <c r="B199" s="627"/>
      <c r="C199" s="627"/>
      <c r="D199" s="603"/>
      <c r="E199" s="603"/>
      <c r="F199" s="710"/>
      <c r="G199" s="614"/>
      <c r="H199" s="603"/>
      <c r="I199" s="603"/>
      <c r="J199" s="603"/>
      <c r="K199" s="355" t="s">
        <v>59</v>
      </c>
      <c r="L199" s="379" t="s">
        <v>60</v>
      </c>
      <c r="M199" s="44">
        <v>0</v>
      </c>
      <c r="N199" s="44">
        <v>100</v>
      </c>
      <c r="O199" s="44">
        <v>25</v>
      </c>
      <c r="P199" s="44">
        <v>50</v>
      </c>
      <c r="Q199" s="44">
        <v>75</v>
      </c>
      <c r="R199" s="45">
        <v>100</v>
      </c>
      <c r="S199" s="185"/>
      <c r="T199" s="44">
        <v>60</v>
      </c>
      <c r="U199" s="44"/>
      <c r="V199" s="44"/>
      <c r="W199" s="44"/>
      <c r="X199" s="44"/>
      <c r="Y199" s="44"/>
      <c r="Z199" s="44">
        <f t="shared" si="40"/>
        <v>60</v>
      </c>
      <c r="AA199" s="44"/>
      <c r="AB199" s="44">
        <v>60</v>
      </c>
      <c r="AC199" s="44"/>
      <c r="AD199" s="44"/>
      <c r="AE199" s="44"/>
      <c r="AF199" s="44"/>
      <c r="AG199" s="44"/>
      <c r="AH199" s="44">
        <f t="shared" si="41"/>
        <v>60</v>
      </c>
      <c r="AI199" s="44"/>
      <c r="AJ199" s="44">
        <v>60</v>
      </c>
      <c r="AK199" s="44"/>
      <c r="AL199" s="44"/>
      <c r="AM199" s="44"/>
      <c r="AN199" s="44"/>
      <c r="AO199" s="44"/>
      <c r="AP199" s="44">
        <f t="shared" si="42"/>
        <v>60</v>
      </c>
      <c r="AQ199" s="44"/>
      <c r="AR199" s="44">
        <v>60</v>
      </c>
      <c r="AS199" s="44"/>
      <c r="AT199" s="44"/>
      <c r="AU199" s="44"/>
      <c r="AV199" s="44"/>
      <c r="AW199" s="44"/>
      <c r="AX199" s="44">
        <f t="shared" si="43"/>
        <v>60</v>
      </c>
      <c r="AY199" s="44">
        <f t="shared" si="44"/>
        <v>0</v>
      </c>
      <c r="AZ199" s="44">
        <f t="shared" si="45"/>
        <v>240</v>
      </c>
      <c r="BA199" s="44">
        <f t="shared" si="46"/>
        <v>0</v>
      </c>
      <c r="BB199" s="44">
        <f t="shared" si="47"/>
        <v>0</v>
      </c>
      <c r="BC199" s="44">
        <f t="shared" si="48"/>
        <v>0</v>
      </c>
      <c r="BD199" s="44">
        <f t="shared" si="49"/>
        <v>0</v>
      </c>
      <c r="BE199" s="44">
        <f t="shared" si="50"/>
        <v>0</v>
      </c>
      <c r="BF199" s="83">
        <f t="shared" si="51"/>
        <v>240</v>
      </c>
      <c r="BG199" s="47"/>
      <c r="BH199" s="47"/>
      <c r="BI199" s="90"/>
      <c r="BJ199" s="90"/>
      <c r="BK199" s="90"/>
      <c r="BL199" s="90"/>
      <c r="BM199" s="90"/>
      <c r="BN199" s="90"/>
      <c r="BO199" s="90"/>
      <c r="BP199" s="90"/>
      <c r="BQ199" s="90"/>
      <c r="BR199" s="90"/>
      <c r="BS199" s="90"/>
      <c r="BT199" s="90"/>
      <c r="BU199" s="90"/>
    </row>
    <row r="200" spans="1:73" s="91" customFormat="1" ht="54" x14ac:dyDescent="0.25">
      <c r="A200" s="707"/>
      <c r="B200" s="627"/>
      <c r="C200" s="627"/>
      <c r="D200" s="603"/>
      <c r="E200" s="603"/>
      <c r="F200" s="710"/>
      <c r="G200" s="614"/>
      <c r="H200" s="603"/>
      <c r="I200" s="603"/>
      <c r="J200" s="603"/>
      <c r="K200" s="355" t="s">
        <v>61</v>
      </c>
      <c r="L200" s="379" t="s">
        <v>62</v>
      </c>
      <c r="M200" s="44">
        <v>1</v>
      </c>
      <c r="N200" s="44">
        <v>1</v>
      </c>
      <c r="O200" s="44">
        <v>1</v>
      </c>
      <c r="P200" s="44">
        <v>1</v>
      </c>
      <c r="Q200" s="44">
        <v>1</v>
      </c>
      <c r="R200" s="45">
        <v>1</v>
      </c>
      <c r="S200" s="185"/>
      <c r="T200" s="44"/>
      <c r="U200" s="44"/>
      <c r="V200" s="44"/>
      <c r="W200" s="44"/>
      <c r="X200" s="44"/>
      <c r="Y200" s="44"/>
      <c r="Z200" s="44">
        <f t="shared" si="40"/>
        <v>0</v>
      </c>
      <c r="AA200" s="44"/>
      <c r="AB200" s="44"/>
      <c r="AC200" s="44"/>
      <c r="AD200" s="44"/>
      <c r="AE200" s="44"/>
      <c r="AF200" s="44"/>
      <c r="AG200" s="44"/>
      <c r="AH200" s="44">
        <f t="shared" si="41"/>
        <v>0</v>
      </c>
      <c r="AI200" s="44"/>
      <c r="AJ200" s="44"/>
      <c r="AK200" s="44"/>
      <c r="AL200" s="44"/>
      <c r="AM200" s="44"/>
      <c r="AN200" s="44"/>
      <c r="AO200" s="44"/>
      <c r="AP200" s="44">
        <f t="shared" si="42"/>
        <v>0</v>
      </c>
      <c r="AQ200" s="44"/>
      <c r="AR200" s="44"/>
      <c r="AS200" s="44"/>
      <c r="AT200" s="44"/>
      <c r="AU200" s="44"/>
      <c r="AV200" s="44"/>
      <c r="AW200" s="44"/>
      <c r="AX200" s="44">
        <f t="shared" si="43"/>
        <v>0</v>
      </c>
      <c r="AY200" s="44">
        <f t="shared" si="44"/>
        <v>0</v>
      </c>
      <c r="AZ200" s="44">
        <f t="shared" si="45"/>
        <v>0</v>
      </c>
      <c r="BA200" s="44">
        <f t="shared" si="46"/>
        <v>0</v>
      </c>
      <c r="BB200" s="44">
        <f t="shared" si="47"/>
        <v>0</v>
      </c>
      <c r="BC200" s="44">
        <f t="shared" si="48"/>
        <v>0</v>
      </c>
      <c r="BD200" s="44">
        <f t="shared" si="49"/>
        <v>0</v>
      </c>
      <c r="BE200" s="44">
        <f t="shared" si="50"/>
        <v>0</v>
      </c>
      <c r="BF200" s="83">
        <f t="shared" si="51"/>
        <v>0</v>
      </c>
      <c r="BG200" s="47"/>
      <c r="BH200" s="47"/>
      <c r="BI200" s="90"/>
      <c r="BJ200" s="90"/>
      <c r="BK200" s="90"/>
      <c r="BL200" s="90"/>
      <c r="BM200" s="90"/>
      <c r="BN200" s="90"/>
      <c r="BO200" s="90"/>
      <c r="BP200" s="90"/>
      <c r="BQ200" s="90"/>
      <c r="BR200" s="90"/>
      <c r="BS200" s="90"/>
      <c r="BT200" s="90"/>
      <c r="BU200" s="90"/>
    </row>
    <row r="201" spans="1:73" s="91" customFormat="1" ht="54" x14ac:dyDescent="0.25">
      <c r="A201" s="707"/>
      <c r="B201" s="627"/>
      <c r="C201" s="627"/>
      <c r="D201" s="603"/>
      <c r="E201" s="603"/>
      <c r="F201" s="710"/>
      <c r="G201" s="614"/>
      <c r="H201" s="603"/>
      <c r="I201" s="603"/>
      <c r="J201" s="603"/>
      <c r="K201" s="355" t="s">
        <v>212</v>
      </c>
      <c r="L201" s="379" t="s">
        <v>69</v>
      </c>
      <c r="M201" s="44">
        <v>30</v>
      </c>
      <c r="N201" s="44">
        <v>151</v>
      </c>
      <c r="O201" s="44">
        <v>151</v>
      </c>
      <c r="P201" s="44">
        <v>151</v>
      </c>
      <c r="Q201" s="44">
        <v>151</v>
      </c>
      <c r="R201" s="45">
        <v>151</v>
      </c>
      <c r="S201" s="185"/>
      <c r="T201" s="44"/>
      <c r="U201" s="44"/>
      <c r="V201" s="44"/>
      <c r="W201" s="44"/>
      <c r="X201" s="44"/>
      <c r="Y201" s="44"/>
      <c r="Z201" s="44">
        <f t="shared" si="40"/>
        <v>0</v>
      </c>
      <c r="AA201" s="44"/>
      <c r="AB201" s="44"/>
      <c r="AC201" s="44"/>
      <c r="AD201" s="44"/>
      <c r="AE201" s="44"/>
      <c r="AF201" s="44"/>
      <c r="AG201" s="44"/>
      <c r="AH201" s="44">
        <f t="shared" si="41"/>
        <v>0</v>
      </c>
      <c r="AI201" s="44"/>
      <c r="AJ201" s="44"/>
      <c r="AK201" s="44"/>
      <c r="AL201" s="44"/>
      <c r="AM201" s="44"/>
      <c r="AN201" s="44"/>
      <c r="AO201" s="44"/>
      <c r="AP201" s="44">
        <f t="shared" si="42"/>
        <v>0</v>
      </c>
      <c r="AQ201" s="44"/>
      <c r="AR201" s="44"/>
      <c r="AS201" s="44"/>
      <c r="AT201" s="44"/>
      <c r="AU201" s="44"/>
      <c r="AV201" s="44"/>
      <c r="AW201" s="44"/>
      <c r="AX201" s="44">
        <f t="shared" si="43"/>
        <v>0</v>
      </c>
      <c r="AY201" s="44">
        <f t="shared" si="44"/>
        <v>0</v>
      </c>
      <c r="AZ201" s="44">
        <f t="shared" si="45"/>
        <v>0</v>
      </c>
      <c r="BA201" s="44">
        <f t="shared" si="46"/>
        <v>0</v>
      </c>
      <c r="BB201" s="44">
        <f t="shared" si="47"/>
        <v>0</v>
      </c>
      <c r="BC201" s="44">
        <f t="shared" si="48"/>
        <v>0</v>
      </c>
      <c r="BD201" s="44">
        <f t="shared" si="49"/>
        <v>0</v>
      </c>
      <c r="BE201" s="44">
        <f t="shared" si="50"/>
        <v>0</v>
      </c>
      <c r="BF201" s="83">
        <f t="shared" si="51"/>
        <v>0</v>
      </c>
      <c r="BG201" s="47"/>
      <c r="BH201" s="47"/>
      <c r="BI201" s="90"/>
      <c r="BJ201" s="90"/>
      <c r="BK201" s="90"/>
      <c r="BL201" s="90"/>
      <c r="BM201" s="90"/>
      <c r="BN201" s="90"/>
      <c r="BO201" s="90"/>
      <c r="BP201" s="90"/>
      <c r="BQ201" s="90"/>
      <c r="BR201" s="90"/>
      <c r="BS201" s="90"/>
      <c r="BT201" s="90"/>
      <c r="BU201" s="90"/>
    </row>
    <row r="202" spans="1:73" s="91" customFormat="1" ht="67.5" x14ac:dyDescent="0.25">
      <c r="A202" s="707"/>
      <c r="B202" s="627"/>
      <c r="C202" s="627"/>
      <c r="D202" s="603"/>
      <c r="E202" s="603"/>
      <c r="F202" s="710"/>
      <c r="G202" s="614"/>
      <c r="H202" s="603"/>
      <c r="I202" s="603"/>
      <c r="J202" s="603"/>
      <c r="K202" s="355" t="s">
        <v>70</v>
      </c>
      <c r="L202" s="379" t="s">
        <v>71</v>
      </c>
      <c r="M202" s="44">
        <v>2</v>
      </c>
      <c r="N202" s="44">
        <v>28</v>
      </c>
      <c r="O202" s="44">
        <v>14</v>
      </c>
      <c r="P202" s="44">
        <v>28</v>
      </c>
      <c r="Q202" s="44"/>
      <c r="R202" s="45"/>
      <c r="S202" s="185"/>
      <c r="T202" s="44"/>
      <c r="U202" s="44"/>
      <c r="V202" s="44"/>
      <c r="W202" s="44"/>
      <c r="X202" s="44"/>
      <c r="Y202" s="44"/>
      <c r="Z202" s="44">
        <f t="shared" si="40"/>
        <v>0</v>
      </c>
      <c r="AA202" s="44"/>
      <c r="AB202" s="44"/>
      <c r="AC202" s="44"/>
      <c r="AD202" s="44"/>
      <c r="AE202" s="44"/>
      <c r="AF202" s="44"/>
      <c r="AG202" s="44"/>
      <c r="AH202" s="44">
        <f t="shared" si="41"/>
        <v>0</v>
      </c>
      <c r="AI202" s="44"/>
      <c r="AJ202" s="44"/>
      <c r="AK202" s="44"/>
      <c r="AL202" s="44"/>
      <c r="AM202" s="44"/>
      <c r="AN202" s="44"/>
      <c r="AO202" s="44"/>
      <c r="AP202" s="44">
        <f t="shared" si="42"/>
        <v>0</v>
      </c>
      <c r="AQ202" s="44"/>
      <c r="AR202" s="44"/>
      <c r="AS202" s="44"/>
      <c r="AT202" s="44"/>
      <c r="AU202" s="44"/>
      <c r="AV202" s="44"/>
      <c r="AW202" s="44"/>
      <c r="AX202" s="44">
        <f t="shared" si="43"/>
        <v>0</v>
      </c>
      <c r="AY202" s="44">
        <f t="shared" si="44"/>
        <v>0</v>
      </c>
      <c r="AZ202" s="44">
        <f t="shared" si="45"/>
        <v>0</v>
      </c>
      <c r="BA202" s="44">
        <f t="shared" si="46"/>
        <v>0</v>
      </c>
      <c r="BB202" s="44">
        <f t="shared" si="47"/>
        <v>0</v>
      </c>
      <c r="BC202" s="44">
        <f t="shared" si="48"/>
        <v>0</v>
      </c>
      <c r="BD202" s="44">
        <f t="shared" si="49"/>
        <v>0</v>
      </c>
      <c r="BE202" s="44">
        <f t="shared" si="50"/>
        <v>0</v>
      </c>
      <c r="BF202" s="83">
        <f t="shared" si="51"/>
        <v>0</v>
      </c>
      <c r="BG202" s="47"/>
      <c r="BH202" s="47"/>
      <c r="BI202" s="90"/>
      <c r="BJ202" s="90"/>
      <c r="BK202" s="90"/>
      <c r="BL202" s="90"/>
      <c r="BM202" s="90"/>
      <c r="BN202" s="90"/>
      <c r="BO202" s="90"/>
      <c r="BP202" s="90"/>
      <c r="BQ202" s="90"/>
      <c r="BR202" s="90"/>
      <c r="BS202" s="90"/>
      <c r="BT202" s="90"/>
      <c r="BU202" s="90"/>
    </row>
    <row r="203" spans="1:73" s="91" customFormat="1" ht="27" x14ac:dyDescent="0.25">
      <c r="A203" s="707"/>
      <c r="B203" s="627"/>
      <c r="C203" s="627"/>
      <c r="D203" s="603"/>
      <c r="E203" s="603"/>
      <c r="F203" s="710"/>
      <c r="G203" s="614"/>
      <c r="H203" s="603"/>
      <c r="I203" s="603"/>
      <c r="J203" s="603"/>
      <c r="K203" s="355" t="s">
        <v>72</v>
      </c>
      <c r="L203" s="379" t="s">
        <v>73</v>
      </c>
      <c r="M203" s="44">
        <v>12</v>
      </c>
      <c r="N203" s="44">
        <v>36</v>
      </c>
      <c r="O203" s="44">
        <v>16</v>
      </c>
      <c r="P203" s="44">
        <v>22</v>
      </c>
      <c r="Q203" s="44">
        <v>30</v>
      </c>
      <c r="R203" s="45">
        <v>36</v>
      </c>
      <c r="S203" s="185"/>
      <c r="T203" s="44">
        <v>80</v>
      </c>
      <c r="U203" s="44"/>
      <c r="V203" s="44"/>
      <c r="W203" s="44"/>
      <c r="X203" s="44"/>
      <c r="Y203" s="44"/>
      <c r="Z203" s="44">
        <f t="shared" si="40"/>
        <v>80</v>
      </c>
      <c r="AA203" s="44"/>
      <c r="AB203" s="44">
        <v>100</v>
      </c>
      <c r="AC203" s="44"/>
      <c r="AD203" s="44"/>
      <c r="AE203" s="44"/>
      <c r="AF203" s="44"/>
      <c r="AG203" s="44"/>
      <c r="AH203" s="44">
        <f t="shared" si="41"/>
        <v>100</v>
      </c>
      <c r="AI203" s="44"/>
      <c r="AJ203" s="44">
        <v>120</v>
      </c>
      <c r="AK203" s="44"/>
      <c r="AL203" s="44"/>
      <c r="AM203" s="44"/>
      <c r="AN203" s="44"/>
      <c r="AO203" s="44"/>
      <c r="AP203" s="44">
        <f t="shared" si="42"/>
        <v>120</v>
      </c>
      <c r="AQ203" s="44"/>
      <c r="AR203" s="44">
        <v>150</v>
      </c>
      <c r="AS203" s="44"/>
      <c r="AT203" s="44"/>
      <c r="AU203" s="44"/>
      <c r="AV203" s="44"/>
      <c r="AW203" s="44"/>
      <c r="AX203" s="44">
        <f t="shared" si="43"/>
        <v>150</v>
      </c>
      <c r="AY203" s="44">
        <f t="shared" si="44"/>
        <v>0</v>
      </c>
      <c r="AZ203" s="44">
        <f t="shared" si="45"/>
        <v>450</v>
      </c>
      <c r="BA203" s="44">
        <f t="shared" si="46"/>
        <v>0</v>
      </c>
      <c r="BB203" s="44">
        <f t="shared" si="47"/>
        <v>0</v>
      </c>
      <c r="BC203" s="44">
        <f t="shared" si="48"/>
        <v>0</v>
      </c>
      <c r="BD203" s="44">
        <f t="shared" si="49"/>
        <v>0</v>
      </c>
      <c r="BE203" s="44">
        <f t="shared" si="50"/>
        <v>0</v>
      </c>
      <c r="BF203" s="83">
        <f t="shared" si="51"/>
        <v>450</v>
      </c>
      <c r="BG203" s="47"/>
      <c r="BH203" s="47"/>
      <c r="BI203" s="90"/>
      <c r="BJ203" s="90"/>
      <c r="BK203" s="90"/>
      <c r="BL203" s="90"/>
      <c r="BM203" s="90"/>
      <c r="BN203" s="90"/>
      <c r="BO203" s="90"/>
      <c r="BP203" s="90"/>
      <c r="BQ203" s="90"/>
      <c r="BR203" s="90"/>
      <c r="BS203" s="90"/>
      <c r="BT203" s="90"/>
      <c r="BU203" s="90"/>
    </row>
    <row r="204" spans="1:73" s="91" customFormat="1" ht="54" x14ac:dyDescent="0.25">
      <c r="A204" s="707"/>
      <c r="B204" s="627"/>
      <c r="C204" s="627"/>
      <c r="D204" s="603"/>
      <c r="E204" s="603"/>
      <c r="F204" s="710"/>
      <c r="G204" s="614"/>
      <c r="H204" s="603"/>
      <c r="I204" s="603"/>
      <c r="J204" s="603"/>
      <c r="K204" s="355" t="s">
        <v>1397</v>
      </c>
      <c r="L204" s="379" t="s">
        <v>73</v>
      </c>
      <c r="M204" s="44">
        <v>15</v>
      </c>
      <c r="N204" s="44">
        <v>45</v>
      </c>
      <c r="O204" s="44">
        <v>20</v>
      </c>
      <c r="P204" s="44">
        <v>30</v>
      </c>
      <c r="Q204" s="44">
        <v>40</v>
      </c>
      <c r="R204" s="45">
        <v>45</v>
      </c>
      <c r="S204" s="185"/>
      <c r="T204" s="44"/>
      <c r="U204" s="44"/>
      <c r="V204" s="44">
        <v>250</v>
      </c>
      <c r="W204" s="44"/>
      <c r="X204" s="44"/>
      <c r="Y204" s="44"/>
      <c r="Z204" s="44">
        <f t="shared" ref="Z204:Z268" si="54">SUM(S204:Y204)</f>
        <v>250</v>
      </c>
      <c r="AA204" s="44"/>
      <c r="AB204" s="44"/>
      <c r="AC204" s="44"/>
      <c r="AD204" s="44">
        <v>250</v>
      </c>
      <c r="AE204" s="44"/>
      <c r="AF204" s="44"/>
      <c r="AG204" s="44"/>
      <c r="AH204" s="44">
        <f t="shared" ref="AH204:AH220" si="55">SUM(AA204:AG204)</f>
        <v>250</v>
      </c>
      <c r="AI204" s="44"/>
      <c r="AJ204" s="44"/>
      <c r="AK204" s="44"/>
      <c r="AL204" s="44">
        <v>250</v>
      </c>
      <c r="AM204" s="44"/>
      <c r="AN204" s="44"/>
      <c r="AO204" s="44"/>
      <c r="AP204" s="44">
        <f t="shared" ref="AP204:AP220" si="56">SUM(AI204:AO204)</f>
        <v>250</v>
      </c>
      <c r="AQ204" s="44"/>
      <c r="AR204" s="44"/>
      <c r="AS204" s="44"/>
      <c r="AT204" s="44">
        <v>250</v>
      </c>
      <c r="AU204" s="44"/>
      <c r="AV204" s="44"/>
      <c r="AW204" s="44"/>
      <c r="AX204" s="44">
        <f t="shared" ref="AX204:AX220" si="57">SUM(AQ204:AW204)</f>
        <v>250</v>
      </c>
      <c r="AY204" s="44">
        <f t="shared" ref="AY204:AY221" si="58">+S204+AA204+AI204+AQ204</f>
        <v>0</v>
      </c>
      <c r="AZ204" s="44">
        <f t="shared" ref="AZ204:AZ220" si="59">+T204+AB204+AJ204+AR204</f>
        <v>0</v>
      </c>
      <c r="BA204" s="44">
        <f t="shared" ref="BA204:BA220" si="60">+U204+AC204+AK204+AS204</f>
        <v>0</v>
      </c>
      <c r="BB204" s="44">
        <f t="shared" ref="BB204:BB220" si="61">+V204+AD204+AL204+AT204</f>
        <v>1000</v>
      </c>
      <c r="BC204" s="44">
        <f t="shared" ref="BC204:BC220" si="62">+W204+AE204+AM204+AU204</f>
        <v>0</v>
      </c>
      <c r="BD204" s="44">
        <f t="shared" ref="BD204:BD217" si="63">+X204+AF204+AN204+AV204</f>
        <v>0</v>
      </c>
      <c r="BE204" s="44">
        <f t="shared" ref="BE204:BE217" si="64">+Y204+AG204+AO204+AW204</f>
        <v>0</v>
      </c>
      <c r="BF204" s="83">
        <f t="shared" ref="BF204:BF216" si="65">+AY204+AZ204+BA204+BB204+BC204+BD204+BE204:BE205</f>
        <v>1000</v>
      </c>
      <c r="BG204" s="47"/>
      <c r="BH204" s="47"/>
      <c r="BI204" s="90"/>
      <c r="BJ204" s="90"/>
      <c r="BK204" s="90"/>
      <c r="BL204" s="90"/>
      <c r="BM204" s="90"/>
      <c r="BN204" s="90"/>
      <c r="BO204" s="90"/>
      <c r="BP204" s="90"/>
      <c r="BQ204" s="90"/>
      <c r="BR204" s="90"/>
      <c r="BS204" s="90"/>
      <c r="BT204" s="90"/>
      <c r="BU204" s="90"/>
    </row>
    <row r="205" spans="1:73" s="91" customFormat="1" ht="135" x14ac:dyDescent="0.25">
      <c r="A205" s="707"/>
      <c r="B205" s="627"/>
      <c r="C205" s="627"/>
      <c r="D205" s="603"/>
      <c r="E205" s="603"/>
      <c r="F205" s="710"/>
      <c r="G205" s="614"/>
      <c r="H205" s="603"/>
      <c r="I205" s="603"/>
      <c r="J205" s="603"/>
      <c r="K205" s="355" t="s">
        <v>1486</v>
      </c>
      <c r="L205" s="379" t="s">
        <v>213</v>
      </c>
      <c r="M205" s="44"/>
      <c r="N205" s="44">
        <f>+M205+99</f>
        <v>99</v>
      </c>
      <c r="O205" s="44">
        <v>33</v>
      </c>
      <c r="P205" s="44">
        <v>66</v>
      </c>
      <c r="Q205" s="44">
        <v>99</v>
      </c>
      <c r="R205" s="45"/>
      <c r="S205" s="185"/>
      <c r="T205" s="44"/>
      <c r="U205" s="44"/>
      <c r="V205" s="44">
        <v>20996</v>
      </c>
      <c r="W205" s="44"/>
      <c r="X205" s="44"/>
      <c r="Y205" s="44"/>
      <c r="Z205" s="44">
        <f t="shared" si="54"/>
        <v>20996</v>
      </c>
      <c r="AA205" s="44"/>
      <c r="AB205" s="44"/>
      <c r="AC205" s="44"/>
      <c r="AD205" s="44">
        <v>20996</v>
      </c>
      <c r="AE205" s="44"/>
      <c r="AF205" s="44"/>
      <c r="AG205" s="44"/>
      <c r="AH205" s="44">
        <f t="shared" si="55"/>
        <v>20996</v>
      </c>
      <c r="AI205" s="44"/>
      <c r="AJ205" s="44"/>
      <c r="AK205" s="44"/>
      <c r="AL205" s="44">
        <v>20996</v>
      </c>
      <c r="AM205" s="44"/>
      <c r="AN205" s="44"/>
      <c r="AO205" s="44"/>
      <c r="AP205" s="44">
        <f t="shared" si="56"/>
        <v>20996</v>
      </c>
      <c r="AQ205" s="44"/>
      <c r="AR205" s="44"/>
      <c r="AS205" s="44"/>
      <c r="AT205" s="44"/>
      <c r="AU205" s="44"/>
      <c r="AV205" s="44"/>
      <c r="AW205" s="44"/>
      <c r="AX205" s="44">
        <f t="shared" si="57"/>
        <v>0</v>
      </c>
      <c r="AY205" s="44">
        <f t="shared" si="58"/>
        <v>0</v>
      </c>
      <c r="AZ205" s="44">
        <f t="shared" si="59"/>
        <v>0</v>
      </c>
      <c r="BA205" s="44">
        <f t="shared" si="60"/>
        <v>0</v>
      </c>
      <c r="BB205" s="44">
        <f t="shared" si="61"/>
        <v>62988</v>
      </c>
      <c r="BC205" s="44">
        <f t="shared" si="62"/>
        <v>0</v>
      </c>
      <c r="BD205" s="44">
        <f t="shared" si="63"/>
        <v>0</v>
      </c>
      <c r="BE205" s="44">
        <f t="shared" si="64"/>
        <v>0</v>
      </c>
      <c r="BF205" s="83">
        <f t="shared" si="65"/>
        <v>62988</v>
      </c>
      <c r="BG205" s="47"/>
      <c r="BH205" s="47"/>
      <c r="BI205" s="90"/>
      <c r="BJ205" s="90"/>
      <c r="BK205" s="90"/>
      <c r="BL205" s="90"/>
      <c r="BM205" s="90"/>
      <c r="BN205" s="90"/>
      <c r="BO205" s="90"/>
      <c r="BP205" s="90"/>
      <c r="BQ205" s="90"/>
      <c r="BR205" s="90"/>
      <c r="BS205" s="90"/>
      <c r="BT205" s="90"/>
      <c r="BU205" s="90"/>
    </row>
    <row r="206" spans="1:73" s="91" customFormat="1" ht="54" x14ac:dyDescent="0.25">
      <c r="A206" s="707"/>
      <c r="B206" s="627"/>
      <c r="C206" s="627"/>
      <c r="D206" s="603"/>
      <c r="E206" s="603"/>
      <c r="F206" s="710"/>
      <c r="G206" s="614"/>
      <c r="H206" s="603"/>
      <c r="I206" s="603"/>
      <c r="J206" s="603"/>
      <c r="K206" s="355" t="s">
        <v>1394</v>
      </c>
      <c r="L206" s="379" t="s">
        <v>74</v>
      </c>
      <c r="M206" s="44">
        <f>20*40</f>
        <v>800</v>
      </c>
      <c r="N206" s="44">
        <v>2100</v>
      </c>
      <c r="O206" s="44">
        <v>1360</v>
      </c>
      <c r="P206" s="44">
        <v>1500</v>
      </c>
      <c r="Q206" s="44">
        <v>1800</v>
      </c>
      <c r="R206" s="45">
        <v>2100</v>
      </c>
      <c r="S206" s="185"/>
      <c r="T206" s="44">
        <v>466</v>
      </c>
      <c r="U206" s="44"/>
      <c r="V206" s="44"/>
      <c r="W206" s="44"/>
      <c r="X206" s="44"/>
      <c r="Y206" s="44">
        <v>1500</v>
      </c>
      <c r="Z206" s="44">
        <f t="shared" si="54"/>
        <v>1966</v>
      </c>
      <c r="AA206" s="44"/>
      <c r="AB206" s="44">
        <v>600</v>
      </c>
      <c r="AC206" s="44"/>
      <c r="AD206" s="44"/>
      <c r="AE206" s="44"/>
      <c r="AF206" s="44"/>
      <c r="AG206" s="44">
        <v>3000</v>
      </c>
      <c r="AH206" s="44">
        <f t="shared" si="55"/>
        <v>3600</v>
      </c>
      <c r="AI206" s="44"/>
      <c r="AJ206" s="44">
        <v>700</v>
      </c>
      <c r="AK206" s="44"/>
      <c r="AL206" s="44"/>
      <c r="AM206" s="44"/>
      <c r="AN206" s="44"/>
      <c r="AO206" s="44">
        <v>3000</v>
      </c>
      <c r="AP206" s="44">
        <f t="shared" si="56"/>
        <v>3700</v>
      </c>
      <c r="AQ206" s="44"/>
      <c r="AR206" s="44">
        <v>800</v>
      </c>
      <c r="AS206" s="44"/>
      <c r="AT206" s="44"/>
      <c r="AU206" s="44"/>
      <c r="AV206" s="44"/>
      <c r="AW206" s="44">
        <v>3000</v>
      </c>
      <c r="AX206" s="44">
        <f t="shared" si="57"/>
        <v>3800</v>
      </c>
      <c r="AY206" s="44">
        <f t="shared" si="58"/>
        <v>0</v>
      </c>
      <c r="AZ206" s="44">
        <f t="shared" si="59"/>
        <v>2566</v>
      </c>
      <c r="BA206" s="44">
        <f t="shared" si="60"/>
        <v>0</v>
      </c>
      <c r="BB206" s="44">
        <f t="shared" si="61"/>
        <v>0</v>
      </c>
      <c r="BC206" s="44">
        <f t="shared" si="62"/>
        <v>0</v>
      </c>
      <c r="BD206" s="44">
        <f t="shared" si="63"/>
        <v>0</v>
      </c>
      <c r="BE206" s="44">
        <f t="shared" si="64"/>
        <v>10500</v>
      </c>
      <c r="BF206" s="83">
        <f t="shared" si="65"/>
        <v>13066</v>
      </c>
      <c r="BG206" s="47"/>
      <c r="BH206" s="47"/>
      <c r="BI206" s="90"/>
      <c r="BJ206" s="90"/>
      <c r="BK206" s="90"/>
      <c r="BL206" s="90"/>
      <c r="BM206" s="90"/>
      <c r="BN206" s="90"/>
      <c r="BO206" s="90"/>
      <c r="BP206" s="90"/>
      <c r="BQ206" s="90"/>
      <c r="BR206" s="90"/>
      <c r="BS206" s="90"/>
      <c r="BT206" s="90"/>
      <c r="BU206" s="90"/>
    </row>
    <row r="207" spans="1:73" s="91" customFormat="1" ht="40.5" x14ac:dyDescent="0.25">
      <c r="A207" s="707"/>
      <c r="B207" s="627"/>
      <c r="C207" s="627"/>
      <c r="D207" s="603"/>
      <c r="E207" s="603"/>
      <c r="F207" s="710"/>
      <c r="G207" s="614"/>
      <c r="H207" s="603"/>
      <c r="I207" s="603"/>
      <c r="J207" s="603"/>
      <c r="K207" s="355" t="s">
        <v>214</v>
      </c>
      <c r="L207" s="379" t="s">
        <v>75</v>
      </c>
      <c r="M207" s="44"/>
      <c r="N207" s="44">
        <v>50</v>
      </c>
      <c r="O207" s="44">
        <v>15</v>
      </c>
      <c r="P207" s="44">
        <v>30</v>
      </c>
      <c r="Q207" s="44">
        <v>40</v>
      </c>
      <c r="R207" s="45">
        <v>50</v>
      </c>
      <c r="S207" s="185"/>
      <c r="T207" s="44"/>
      <c r="U207" s="44"/>
      <c r="V207" s="44"/>
      <c r="W207" s="44"/>
      <c r="X207" s="44"/>
      <c r="Y207" s="44">
        <v>200</v>
      </c>
      <c r="Z207" s="44">
        <f t="shared" si="54"/>
        <v>200</v>
      </c>
      <c r="AA207" s="44"/>
      <c r="AB207" s="44"/>
      <c r="AC207" s="44"/>
      <c r="AD207" s="44"/>
      <c r="AE207" s="44"/>
      <c r="AF207" s="44"/>
      <c r="AG207" s="44">
        <v>200</v>
      </c>
      <c r="AH207" s="44">
        <f t="shared" si="55"/>
        <v>200</v>
      </c>
      <c r="AI207" s="44"/>
      <c r="AJ207" s="44"/>
      <c r="AK207" s="44"/>
      <c r="AL207" s="44"/>
      <c r="AM207" s="44"/>
      <c r="AN207" s="44"/>
      <c r="AO207" s="44">
        <v>200</v>
      </c>
      <c r="AP207" s="44">
        <f t="shared" si="56"/>
        <v>200</v>
      </c>
      <c r="AQ207" s="44"/>
      <c r="AR207" s="44"/>
      <c r="AS207" s="44"/>
      <c r="AT207" s="44"/>
      <c r="AU207" s="44"/>
      <c r="AV207" s="44"/>
      <c r="AW207" s="44">
        <v>200</v>
      </c>
      <c r="AX207" s="44">
        <f t="shared" si="57"/>
        <v>200</v>
      </c>
      <c r="AY207" s="44">
        <f t="shared" si="58"/>
        <v>0</v>
      </c>
      <c r="AZ207" s="44">
        <f t="shared" si="59"/>
        <v>0</v>
      </c>
      <c r="BA207" s="44">
        <f t="shared" si="60"/>
        <v>0</v>
      </c>
      <c r="BB207" s="44">
        <f t="shared" si="61"/>
        <v>0</v>
      </c>
      <c r="BC207" s="44">
        <f t="shared" si="62"/>
        <v>0</v>
      </c>
      <c r="BD207" s="44">
        <f t="shared" si="63"/>
        <v>0</v>
      </c>
      <c r="BE207" s="44">
        <f t="shared" si="64"/>
        <v>800</v>
      </c>
      <c r="BF207" s="83">
        <f>+AY207+AZ207+BA207+BB207+BC207+BD207+BE207:BE208</f>
        <v>800</v>
      </c>
      <c r="BG207" s="47"/>
      <c r="BH207" s="47"/>
      <c r="BI207" s="90"/>
      <c r="BJ207" s="90"/>
      <c r="BK207" s="90"/>
      <c r="BL207" s="90"/>
      <c r="BM207" s="90"/>
      <c r="BN207" s="90"/>
      <c r="BO207" s="90"/>
      <c r="BP207" s="90"/>
      <c r="BQ207" s="90"/>
      <c r="BR207" s="90"/>
      <c r="BS207" s="90"/>
      <c r="BT207" s="90"/>
      <c r="BU207" s="90"/>
    </row>
    <row r="208" spans="1:73" s="91" customFormat="1" ht="67.5" x14ac:dyDescent="0.25">
      <c r="A208" s="707"/>
      <c r="B208" s="627"/>
      <c r="C208" s="627"/>
      <c r="D208" s="603"/>
      <c r="E208" s="603"/>
      <c r="F208" s="710"/>
      <c r="G208" s="614"/>
      <c r="H208" s="603"/>
      <c r="I208" s="603"/>
      <c r="J208" s="603"/>
      <c r="K208" s="355" t="s">
        <v>1370</v>
      </c>
      <c r="L208" s="379" t="s">
        <v>1322</v>
      </c>
      <c r="M208" s="44"/>
      <c r="N208" s="44">
        <v>50</v>
      </c>
      <c r="O208" s="44">
        <v>50</v>
      </c>
      <c r="P208" s="44">
        <v>50</v>
      </c>
      <c r="Q208" s="44">
        <v>50</v>
      </c>
      <c r="R208" s="45">
        <v>50</v>
      </c>
      <c r="S208" s="185">
        <v>20</v>
      </c>
      <c r="T208" s="44"/>
      <c r="U208" s="44"/>
      <c r="V208" s="44">
        <v>150</v>
      </c>
      <c r="W208" s="44"/>
      <c r="X208" s="44"/>
      <c r="Y208" s="44"/>
      <c r="Z208" s="44">
        <f t="shared" si="54"/>
        <v>170</v>
      </c>
      <c r="AA208" s="44">
        <v>20</v>
      </c>
      <c r="AB208" s="44"/>
      <c r="AC208" s="44"/>
      <c r="AD208" s="44">
        <v>150</v>
      </c>
      <c r="AE208" s="44"/>
      <c r="AF208" s="44"/>
      <c r="AG208" s="44"/>
      <c r="AH208" s="44">
        <f t="shared" si="55"/>
        <v>170</v>
      </c>
      <c r="AI208" s="44">
        <v>50</v>
      </c>
      <c r="AJ208" s="44"/>
      <c r="AK208" s="44"/>
      <c r="AL208" s="44">
        <v>150</v>
      </c>
      <c r="AM208" s="44"/>
      <c r="AN208" s="44"/>
      <c r="AO208" s="44"/>
      <c r="AP208" s="44">
        <f t="shared" si="56"/>
        <v>200</v>
      </c>
      <c r="AQ208" s="44">
        <v>50</v>
      </c>
      <c r="AR208" s="44"/>
      <c r="AS208" s="44"/>
      <c r="AT208" s="44">
        <v>150</v>
      </c>
      <c r="AU208" s="44"/>
      <c r="AV208" s="44"/>
      <c r="AW208" s="44"/>
      <c r="AX208" s="44">
        <f t="shared" si="57"/>
        <v>200</v>
      </c>
      <c r="AY208" s="44">
        <f t="shared" ref="AY208:BE208" si="66">+S208+AA208+AI208+AQ208</f>
        <v>140</v>
      </c>
      <c r="AZ208" s="44">
        <f t="shared" si="66"/>
        <v>0</v>
      </c>
      <c r="BA208" s="44">
        <f t="shared" si="66"/>
        <v>0</v>
      </c>
      <c r="BB208" s="44">
        <f t="shared" si="66"/>
        <v>600</v>
      </c>
      <c r="BC208" s="44">
        <f t="shared" si="66"/>
        <v>0</v>
      </c>
      <c r="BD208" s="44">
        <f t="shared" si="66"/>
        <v>0</v>
      </c>
      <c r="BE208" s="44">
        <f t="shared" si="66"/>
        <v>0</v>
      </c>
      <c r="BF208" s="83">
        <f>+AY208+AZ208+BA208+BB208+BC208+BD208+BE208:BE209</f>
        <v>740</v>
      </c>
      <c r="BG208" s="47"/>
      <c r="BH208" s="47"/>
      <c r="BI208" s="90"/>
      <c r="BJ208" s="90"/>
      <c r="BK208" s="90"/>
      <c r="BL208" s="90"/>
      <c r="BM208" s="90"/>
      <c r="BN208" s="90"/>
      <c r="BO208" s="90"/>
      <c r="BP208" s="90"/>
      <c r="BQ208" s="90"/>
      <c r="BR208" s="90"/>
      <c r="BS208" s="90"/>
      <c r="BT208" s="90"/>
      <c r="BU208" s="90"/>
    </row>
    <row r="209" spans="1:73" s="91" customFormat="1" ht="40.5" x14ac:dyDescent="0.25">
      <c r="A209" s="707"/>
      <c r="B209" s="627"/>
      <c r="C209" s="627"/>
      <c r="D209" s="603"/>
      <c r="E209" s="603"/>
      <c r="F209" s="612"/>
      <c r="G209" s="612"/>
      <c r="H209" s="603"/>
      <c r="I209" s="603"/>
      <c r="J209" s="603" t="s">
        <v>745</v>
      </c>
      <c r="K209" s="355" t="s">
        <v>1312</v>
      </c>
      <c r="L209" s="379" t="s">
        <v>215</v>
      </c>
      <c r="M209" s="44">
        <v>124</v>
      </c>
      <c r="N209" s="44">
        <v>160</v>
      </c>
      <c r="O209" s="44">
        <v>130</v>
      </c>
      <c r="P209" s="44">
        <v>140</v>
      </c>
      <c r="Q209" s="44">
        <v>150</v>
      </c>
      <c r="R209" s="45">
        <v>160</v>
      </c>
      <c r="S209" s="185"/>
      <c r="T209" s="44"/>
      <c r="U209" s="44"/>
      <c r="V209" s="44">
        <v>35</v>
      </c>
      <c r="W209" s="44"/>
      <c r="X209" s="44"/>
      <c r="Y209" s="44">
        <v>40</v>
      </c>
      <c r="Z209" s="44">
        <f t="shared" si="54"/>
        <v>75</v>
      </c>
      <c r="AA209" s="44"/>
      <c r="AB209" s="44"/>
      <c r="AC209" s="44"/>
      <c r="AD209" s="44">
        <v>36</v>
      </c>
      <c r="AE209" s="44"/>
      <c r="AF209" s="44"/>
      <c r="AG209" s="44">
        <v>41</v>
      </c>
      <c r="AH209" s="44">
        <f t="shared" si="55"/>
        <v>77</v>
      </c>
      <c r="AI209" s="44"/>
      <c r="AJ209" s="44"/>
      <c r="AK209" s="44"/>
      <c r="AL209" s="44">
        <v>35</v>
      </c>
      <c r="AM209" s="44"/>
      <c r="AN209" s="44"/>
      <c r="AO209" s="44">
        <v>40</v>
      </c>
      <c r="AP209" s="44">
        <f t="shared" si="56"/>
        <v>75</v>
      </c>
      <c r="AQ209" s="44"/>
      <c r="AR209" s="44"/>
      <c r="AS209" s="44"/>
      <c r="AT209" s="44">
        <v>44</v>
      </c>
      <c r="AU209" s="44"/>
      <c r="AV209" s="44"/>
      <c r="AW209" s="44"/>
      <c r="AX209" s="44">
        <f t="shared" si="57"/>
        <v>44</v>
      </c>
      <c r="AY209" s="44">
        <f t="shared" si="58"/>
        <v>0</v>
      </c>
      <c r="AZ209" s="44">
        <f t="shared" si="59"/>
        <v>0</v>
      </c>
      <c r="BA209" s="44">
        <f t="shared" si="60"/>
        <v>0</v>
      </c>
      <c r="BB209" s="44">
        <f t="shared" si="61"/>
        <v>150</v>
      </c>
      <c r="BC209" s="44">
        <f t="shared" si="62"/>
        <v>0</v>
      </c>
      <c r="BD209" s="44">
        <f t="shared" si="63"/>
        <v>0</v>
      </c>
      <c r="BE209" s="44">
        <f t="shared" si="64"/>
        <v>121</v>
      </c>
      <c r="BF209" s="83">
        <f t="shared" si="65"/>
        <v>271</v>
      </c>
      <c r="BG209" s="47"/>
      <c r="BH209" s="47"/>
      <c r="BI209" s="90"/>
      <c r="BJ209" s="90"/>
      <c r="BK209" s="90"/>
      <c r="BL209" s="90"/>
      <c r="BM209" s="90"/>
      <c r="BN209" s="90"/>
      <c r="BO209" s="90"/>
      <c r="BP209" s="90"/>
      <c r="BQ209" s="90"/>
      <c r="BR209" s="90"/>
      <c r="BS209" s="90"/>
      <c r="BT209" s="90"/>
      <c r="BU209" s="90"/>
    </row>
    <row r="210" spans="1:73" s="91" customFormat="1" ht="67.5" x14ac:dyDescent="0.25">
      <c r="A210" s="707"/>
      <c r="B210" s="627"/>
      <c r="C210" s="627"/>
      <c r="D210" s="603"/>
      <c r="E210" s="603"/>
      <c r="F210" s="612"/>
      <c r="G210" s="612"/>
      <c r="H210" s="603"/>
      <c r="I210" s="603"/>
      <c r="J210" s="603"/>
      <c r="K210" s="355" t="s">
        <v>1313</v>
      </c>
      <c r="L210" s="379" t="s">
        <v>216</v>
      </c>
      <c r="M210" s="44">
        <v>10</v>
      </c>
      <c r="N210" s="44">
        <v>15</v>
      </c>
      <c r="O210" s="44">
        <v>15</v>
      </c>
      <c r="P210" s="44">
        <v>15</v>
      </c>
      <c r="Q210" s="44">
        <v>15</v>
      </c>
      <c r="R210" s="45">
        <v>15</v>
      </c>
      <c r="S210" s="185"/>
      <c r="T210" s="44"/>
      <c r="U210" s="44"/>
      <c r="V210" s="44">
        <v>10</v>
      </c>
      <c r="W210" s="44"/>
      <c r="X210" s="44"/>
      <c r="Y210" s="44">
        <v>35</v>
      </c>
      <c r="Z210" s="44">
        <f t="shared" si="54"/>
        <v>45</v>
      </c>
      <c r="AA210" s="44"/>
      <c r="AB210" s="44"/>
      <c r="AC210" s="44"/>
      <c r="AD210" s="44">
        <v>10</v>
      </c>
      <c r="AE210" s="44"/>
      <c r="AF210" s="44"/>
      <c r="AG210" s="44">
        <v>36</v>
      </c>
      <c r="AH210" s="44">
        <f t="shared" si="55"/>
        <v>46</v>
      </c>
      <c r="AI210" s="44"/>
      <c r="AJ210" s="44"/>
      <c r="AK210" s="44"/>
      <c r="AL210" s="44">
        <v>10</v>
      </c>
      <c r="AM210" s="44"/>
      <c r="AN210" s="44"/>
      <c r="AO210" s="44">
        <v>35</v>
      </c>
      <c r="AP210" s="44">
        <f t="shared" si="56"/>
        <v>45</v>
      </c>
      <c r="AQ210" s="44"/>
      <c r="AR210" s="44"/>
      <c r="AS210" s="44"/>
      <c r="AT210" s="44">
        <v>11</v>
      </c>
      <c r="AU210" s="44"/>
      <c r="AV210" s="44"/>
      <c r="AW210" s="44">
        <v>38</v>
      </c>
      <c r="AX210" s="44">
        <f t="shared" si="57"/>
        <v>49</v>
      </c>
      <c r="AY210" s="44">
        <f t="shared" si="58"/>
        <v>0</v>
      </c>
      <c r="AZ210" s="44">
        <f t="shared" si="59"/>
        <v>0</v>
      </c>
      <c r="BA210" s="44">
        <f t="shared" si="60"/>
        <v>0</v>
      </c>
      <c r="BB210" s="44">
        <f t="shared" si="61"/>
        <v>41</v>
      </c>
      <c r="BC210" s="44">
        <f t="shared" si="62"/>
        <v>0</v>
      </c>
      <c r="BD210" s="44">
        <f t="shared" si="63"/>
        <v>0</v>
      </c>
      <c r="BE210" s="44">
        <f t="shared" si="64"/>
        <v>144</v>
      </c>
      <c r="BF210" s="83">
        <f>+AY210+AZ210+BA210+BB210+BC210+BD210+BE210:BE212</f>
        <v>185</v>
      </c>
      <c r="BG210" s="47"/>
      <c r="BH210" s="47"/>
      <c r="BI210" s="90"/>
      <c r="BJ210" s="90"/>
      <c r="BK210" s="90"/>
      <c r="BL210" s="90"/>
      <c r="BM210" s="90"/>
      <c r="BN210" s="90"/>
      <c r="BO210" s="90"/>
      <c r="BP210" s="90"/>
      <c r="BQ210" s="90"/>
      <c r="BR210" s="90"/>
      <c r="BS210" s="90"/>
      <c r="BT210" s="90"/>
      <c r="BU210" s="90"/>
    </row>
    <row r="211" spans="1:73" s="91" customFormat="1" ht="67.5" x14ac:dyDescent="0.25">
      <c r="A211" s="707"/>
      <c r="B211" s="627"/>
      <c r="C211" s="627"/>
      <c r="D211" s="603"/>
      <c r="E211" s="603"/>
      <c r="F211" s="612"/>
      <c r="G211" s="612"/>
      <c r="H211" s="603"/>
      <c r="I211" s="603"/>
      <c r="J211" s="603"/>
      <c r="K211" s="355" t="s">
        <v>1291</v>
      </c>
      <c r="L211" s="379" t="s">
        <v>1292</v>
      </c>
      <c r="M211" s="44"/>
      <c r="N211" s="44">
        <v>36</v>
      </c>
      <c r="O211" s="44">
        <v>36</v>
      </c>
      <c r="P211" s="44">
        <v>36</v>
      </c>
      <c r="Q211" s="44">
        <v>36</v>
      </c>
      <c r="R211" s="45">
        <v>36</v>
      </c>
      <c r="S211" s="185"/>
      <c r="T211" s="44"/>
      <c r="U211" s="44"/>
      <c r="V211" s="44"/>
      <c r="W211" s="44">
        <v>422</v>
      </c>
      <c r="X211" s="44"/>
      <c r="Y211" s="44"/>
      <c r="Z211" s="44">
        <f t="shared" si="54"/>
        <v>422</v>
      </c>
      <c r="AA211" s="44"/>
      <c r="AB211" s="44"/>
      <c r="AC211" s="44"/>
      <c r="AD211" s="44"/>
      <c r="AE211" s="44">
        <v>447</v>
      </c>
      <c r="AF211" s="44"/>
      <c r="AG211" s="44"/>
      <c r="AH211" s="44">
        <f t="shared" si="55"/>
        <v>447</v>
      </c>
      <c r="AI211" s="44"/>
      <c r="AJ211" s="44"/>
      <c r="AK211" s="44"/>
      <c r="AL211" s="44"/>
      <c r="AM211" s="44">
        <v>473</v>
      </c>
      <c r="AN211" s="44"/>
      <c r="AO211" s="44"/>
      <c r="AP211" s="44">
        <f t="shared" si="56"/>
        <v>473</v>
      </c>
      <c r="AQ211" s="44"/>
      <c r="AR211" s="44"/>
      <c r="AS211" s="44"/>
      <c r="AT211" s="44"/>
      <c r="AU211" s="44">
        <v>500</v>
      </c>
      <c r="AV211" s="44"/>
      <c r="AW211" s="44"/>
      <c r="AX211" s="44">
        <f t="shared" si="57"/>
        <v>500</v>
      </c>
      <c r="AY211" s="44"/>
      <c r="AZ211" s="44">
        <f t="shared" ref="AZ211:BE211" si="67">+T211+AB211+AJ211+AR211</f>
        <v>0</v>
      </c>
      <c r="BA211" s="44">
        <f t="shared" si="67"/>
        <v>0</v>
      </c>
      <c r="BB211" s="44">
        <f t="shared" si="67"/>
        <v>0</v>
      </c>
      <c r="BC211" s="44">
        <f t="shared" si="67"/>
        <v>1842</v>
      </c>
      <c r="BD211" s="44">
        <f t="shared" si="67"/>
        <v>0</v>
      </c>
      <c r="BE211" s="44">
        <f t="shared" si="67"/>
        <v>0</v>
      </c>
      <c r="BF211" s="83">
        <f>+AY211+AZ211+BA211+BB211+BC211+BD211+BE211:BE213</f>
        <v>1842</v>
      </c>
      <c r="BG211" s="47"/>
      <c r="BH211" s="47"/>
      <c r="BI211" s="90"/>
      <c r="BJ211" s="90"/>
      <c r="BK211" s="90"/>
      <c r="BL211" s="90"/>
      <c r="BM211" s="90"/>
      <c r="BN211" s="90"/>
      <c r="BO211" s="90"/>
      <c r="BP211" s="90"/>
      <c r="BQ211" s="90"/>
      <c r="BR211" s="90"/>
      <c r="BS211" s="90"/>
      <c r="BT211" s="90"/>
      <c r="BU211" s="90"/>
    </row>
    <row r="212" spans="1:73" s="91" customFormat="1" ht="27" x14ac:dyDescent="0.25">
      <c r="A212" s="707"/>
      <c r="B212" s="627"/>
      <c r="C212" s="627"/>
      <c r="D212" s="603"/>
      <c r="E212" s="603"/>
      <c r="F212" s="612"/>
      <c r="G212" s="612"/>
      <c r="H212" s="603"/>
      <c r="I212" s="603"/>
      <c r="J212" s="603"/>
      <c r="K212" s="355" t="s">
        <v>1314</v>
      </c>
      <c r="L212" s="379" t="s">
        <v>216</v>
      </c>
      <c r="M212" s="44">
        <v>1</v>
      </c>
      <c r="N212" s="44">
        <v>1</v>
      </c>
      <c r="O212" s="44">
        <v>1</v>
      </c>
      <c r="P212" s="44">
        <v>1</v>
      </c>
      <c r="Q212" s="44">
        <v>1</v>
      </c>
      <c r="R212" s="45">
        <v>1</v>
      </c>
      <c r="S212" s="185"/>
      <c r="T212" s="44"/>
      <c r="U212" s="44"/>
      <c r="V212" s="44">
        <v>25</v>
      </c>
      <c r="W212" s="44"/>
      <c r="X212" s="44"/>
      <c r="Y212" s="44"/>
      <c r="Z212" s="44">
        <f t="shared" si="54"/>
        <v>25</v>
      </c>
      <c r="AA212" s="44"/>
      <c r="AB212" s="44"/>
      <c r="AC212" s="44"/>
      <c r="AD212" s="44">
        <v>25</v>
      </c>
      <c r="AE212" s="44"/>
      <c r="AF212" s="44"/>
      <c r="AG212" s="44"/>
      <c r="AH212" s="44">
        <f t="shared" si="55"/>
        <v>25</v>
      </c>
      <c r="AI212" s="44"/>
      <c r="AJ212" s="44"/>
      <c r="AK212" s="44"/>
      <c r="AL212" s="44">
        <v>26</v>
      </c>
      <c r="AM212" s="44"/>
      <c r="AN212" s="44"/>
      <c r="AO212" s="44"/>
      <c r="AP212" s="44">
        <f t="shared" si="56"/>
        <v>26</v>
      </c>
      <c r="AQ212" s="44"/>
      <c r="AR212" s="44"/>
      <c r="AS212" s="44"/>
      <c r="AT212" s="44">
        <v>27</v>
      </c>
      <c r="AU212" s="44"/>
      <c r="AV212" s="44"/>
      <c r="AW212" s="44"/>
      <c r="AX212" s="44">
        <f t="shared" si="57"/>
        <v>27</v>
      </c>
      <c r="AY212" s="44">
        <f t="shared" si="58"/>
        <v>0</v>
      </c>
      <c r="AZ212" s="44">
        <f t="shared" si="59"/>
        <v>0</v>
      </c>
      <c r="BA212" s="44">
        <f t="shared" si="60"/>
        <v>0</v>
      </c>
      <c r="BB212" s="44">
        <f t="shared" si="61"/>
        <v>103</v>
      </c>
      <c r="BC212" s="44">
        <f t="shared" si="62"/>
        <v>0</v>
      </c>
      <c r="BD212" s="44">
        <f t="shared" si="63"/>
        <v>0</v>
      </c>
      <c r="BE212" s="44">
        <f t="shared" si="64"/>
        <v>0</v>
      </c>
      <c r="BF212" s="83">
        <f t="shared" si="65"/>
        <v>103</v>
      </c>
      <c r="BG212" s="47"/>
      <c r="BH212" s="47"/>
      <c r="BI212" s="90"/>
      <c r="BJ212" s="90"/>
      <c r="BK212" s="90"/>
      <c r="BL212" s="90"/>
      <c r="BM212" s="90"/>
      <c r="BN212" s="90"/>
      <c r="BO212" s="90"/>
      <c r="BP212" s="90"/>
      <c r="BQ212" s="90"/>
      <c r="BR212" s="90"/>
      <c r="BS212" s="90"/>
      <c r="BT212" s="90"/>
      <c r="BU212" s="90"/>
    </row>
    <row r="213" spans="1:73" s="91" customFormat="1" ht="94.5" x14ac:dyDescent="0.25">
      <c r="A213" s="707"/>
      <c r="B213" s="627"/>
      <c r="C213" s="627"/>
      <c r="D213" s="355"/>
      <c r="E213" s="355"/>
      <c r="F213" s="414"/>
      <c r="G213" s="414"/>
      <c r="H213" s="603"/>
      <c r="I213" s="603"/>
      <c r="J213" s="355" t="s">
        <v>746</v>
      </c>
      <c r="K213" s="355" t="s">
        <v>982</v>
      </c>
      <c r="L213" s="379" t="s">
        <v>983</v>
      </c>
      <c r="M213" s="46">
        <v>0</v>
      </c>
      <c r="N213" s="46">
        <v>2</v>
      </c>
      <c r="O213" s="46"/>
      <c r="P213" s="46">
        <v>2</v>
      </c>
      <c r="Q213" s="46"/>
      <c r="R213" s="198"/>
      <c r="S213" s="185"/>
      <c r="T213" s="44"/>
      <c r="U213" s="44"/>
      <c r="V213" s="44"/>
      <c r="W213" s="44"/>
      <c r="X213" s="44"/>
      <c r="Y213" s="44"/>
      <c r="Z213" s="44">
        <f t="shared" si="54"/>
        <v>0</v>
      </c>
      <c r="AA213" s="44">
        <v>10</v>
      </c>
      <c r="AB213" s="44"/>
      <c r="AC213" s="44"/>
      <c r="AD213" s="44"/>
      <c r="AE213" s="44"/>
      <c r="AF213" s="44"/>
      <c r="AG213" s="44"/>
      <c r="AH213" s="44">
        <f t="shared" si="55"/>
        <v>10</v>
      </c>
      <c r="AI213" s="44"/>
      <c r="AJ213" s="44"/>
      <c r="AK213" s="44"/>
      <c r="AL213" s="44"/>
      <c r="AM213" s="44"/>
      <c r="AN213" s="44"/>
      <c r="AO213" s="44"/>
      <c r="AP213" s="44">
        <f t="shared" si="56"/>
        <v>0</v>
      </c>
      <c r="AQ213" s="44"/>
      <c r="AR213" s="44"/>
      <c r="AS213" s="44"/>
      <c r="AT213" s="44"/>
      <c r="AU213" s="44"/>
      <c r="AV213" s="44"/>
      <c r="AW213" s="44"/>
      <c r="AX213" s="44">
        <f t="shared" si="57"/>
        <v>0</v>
      </c>
      <c r="AY213" s="44">
        <f t="shared" si="58"/>
        <v>10</v>
      </c>
      <c r="AZ213" s="44">
        <f t="shared" si="59"/>
        <v>0</v>
      </c>
      <c r="BA213" s="44">
        <f t="shared" si="60"/>
        <v>0</v>
      </c>
      <c r="BB213" s="44">
        <f t="shared" si="61"/>
        <v>0</v>
      </c>
      <c r="BC213" s="44">
        <f t="shared" si="62"/>
        <v>0</v>
      </c>
      <c r="BD213" s="44">
        <f t="shared" si="63"/>
        <v>0</v>
      </c>
      <c r="BE213" s="44">
        <f t="shared" si="64"/>
        <v>0</v>
      </c>
      <c r="BF213" s="83">
        <f t="shared" si="65"/>
        <v>10</v>
      </c>
      <c r="BG213" s="47"/>
      <c r="BH213" s="47"/>
      <c r="BI213" s="90"/>
      <c r="BJ213" s="90"/>
      <c r="BK213" s="90"/>
      <c r="BL213" s="90"/>
      <c r="BM213" s="90"/>
      <c r="BN213" s="90"/>
      <c r="BO213" s="90"/>
      <c r="BP213" s="90"/>
      <c r="BQ213" s="90"/>
      <c r="BR213" s="90"/>
      <c r="BS213" s="90"/>
      <c r="BT213" s="90"/>
      <c r="BU213" s="90"/>
    </row>
    <row r="214" spans="1:73" s="91" customFormat="1" ht="54" x14ac:dyDescent="0.25">
      <c r="A214" s="707"/>
      <c r="B214" s="627"/>
      <c r="C214" s="627"/>
      <c r="D214" s="603"/>
      <c r="E214" s="603"/>
      <c r="F214" s="612"/>
      <c r="G214" s="612"/>
      <c r="H214" s="603" t="s">
        <v>795</v>
      </c>
      <c r="I214" s="603" t="s">
        <v>747</v>
      </c>
      <c r="J214" s="355" t="s">
        <v>748</v>
      </c>
      <c r="K214" s="355" t="s">
        <v>713</v>
      </c>
      <c r="L214" s="379" t="s">
        <v>714</v>
      </c>
      <c r="M214" s="46"/>
      <c r="N214" s="44">
        <v>16000</v>
      </c>
      <c r="O214" s="46">
        <v>4000</v>
      </c>
      <c r="P214" s="46">
        <v>4000</v>
      </c>
      <c r="Q214" s="46">
        <v>4000</v>
      </c>
      <c r="R214" s="198">
        <v>4000</v>
      </c>
      <c r="S214" s="185"/>
      <c r="T214" s="44">
        <v>20</v>
      </c>
      <c r="U214" s="44"/>
      <c r="V214" s="44"/>
      <c r="W214" s="44"/>
      <c r="X214" s="44"/>
      <c r="Y214" s="44"/>
      <c r="Z214" s="44">
        <f t="shared" si="54"/>
        <v>20</v>
      </c>
      <c r="AA214" s="44"/>
      <c r="AB214" s="44">
        <v>20</v>
      </c>
      <c r="AC214" s="44"/>
      <c r="AD214" s="44"/>
      <c r="AE214" s="44"/>
      <c r="AF214" s="44"/>
      <c r="AG214" s="44"/>
      <c r="AH214" s="44">
        <f t="shared" si="55"/>
        <v>20</v>
      </c>
      <c r="AI214" s="44">
        <v>50</v>
      </c>
      <c r="AJ214" s="44">
        <v>20</v>
      </c>
      <c r="AK214" s="44"/>
      <c r="AL214" s="44"/>
      <c r="AM214" s="44"/>
      <c r="AN214" s="44"/>
      <c r="AO214" s="44"/>
      <c r="AP214" s="44">
        <f t="shared" si="56"/>
        <v>70</v>
      </c>
      <c r="AQ214" s="44">
        <v>50</v>
      </c>
      <c r="AR214" s="44">
        <v>20</v>
      </c>
      <c r="AS214" s="44"/>
      <c r="AT214" s="44"/>
      <c r="AU214" s="44"/>
      <c r="AV214" s="44"/>
      <c r="AW214" s="44"/>
      <c r="AX214" s="44">
        <f t="shared" si="57"/>
        <v>70</v>
      </c>
      <c r="AY214" s="44">
        <f t="shared" si="58"/>
        <v>100</v>
      </c>
      <c r="AZ214" s="44">
        <f t="shared" si="59"/>
        <v>80</v>
      </c>
      <c r="BA214" s="44">
        <f t="shared" si="60"/>
        <v>0</v>
      </c>
      <c r="BB214" s="44">
        <f t="shared" si="61"/>
        <v>0</v>
      </c>
      <c r="BC214" s="44">
        <f t="shared" si="62"/>
        <v>0</v>
      </c>
      <c r="BD214" s="44">
        <f t="shared" si="63"/>
        <v>0</v>
      </c>
      <c r="BE214" s="44">
        <f t="shared" si="64"/>
        <v>0</v>
      </c>
      <c r="BF214" s="83">
        <f t="shared" si="65"/>
        <v>180</v>
      </c>
      <c r="BG214" s="47"/>
      <c r="BH214" s="47"/>
      <c r="BI214" s="90"/>
      <c r="BJ214" s="90"/>
      <c r="BK214" s="90"/>
      <c r="BL214" s="90"/>
      <c r="BM214" s="90"/>
      <c r="BN214" s="90"/>
      <c r="BO214" s="90"/>
      <c r="BP214" s="90"/>
      <c r="BQ214" s="90"/>
      <c r="BR214" s="90"/>
      <c r="BS214" s="90"/>
      <c r="BT214" s="90"/>
      <c r="BU214" s="90"/>
    </row>
    <row r="215" spans="1:73" s="91" customFormat="1" ht="54" x14ac:dyDescent="0.25">
      <c r="A215" s="707"/>
      <c r="B215" s="627"/>
      <c r="C215" s="627"/>
      <c r="D215" s="603"/>
      <c r="E215" s="603"/>
      <c r="F215" s="612"/>
      <c r="G215" s="612"/>
      <c r="H215" s="603"/>
      <c r="I215" s="603"/>
      <c r="J215" s="355" t="s">
        <v>749</v>
      </c>
      <c r="K215" s="355" t="s">
        <v>984</v>
      </c>
      <c r="L215" s="379" t="s">
        <v>985</v>
      </c>
      <c r="M215" s="46"/>
      <c r="N215" s="46"/>
      <c r="O215" s="46"/>
      <c r="P215" s="46"/>
      <c r="Q215" s="46"/>
      <c r="R215" s="198"/>
      <c r="S215" s="185"/>
      <c r="T215" s="44"/>
      <c r="U215" s="44"/>
      <c r="V215" s="44"/>
      <c r="W215" s="44"/>
      <c r="X215" s="44"/>
      <c r="Y215" s="44"/>
      <c r="Z215" s="44">
        <f t="shared" si="54"/>
        <v>0</v>
      </c>
      <c r="AA215" s="44"/>
      <c r="AB215" s="44"/>
      <c r="AC215" s="44"/>
      <c r="AD215" s="44"/>
      <c r="AE215" s="44"/>
      <c r="AF215" s="44"/>
      <c r="AG215" s="44"/>
      <c r="AH215" s="44">
        <f t="shared" si="55"/>
        <v>0</v>
      </c>
      <c r="AI215" s="44"/>
      <c r="AJ215" s="44"/>
      <c r="AK215" s="44"/>
      <c r="AL215" s="44"/>
      <c r="AM215" s="44"/>
      <c r="AN215" s="44"/>
      <c r="AO215" s="44"/>
      <c r="AP215" s="44">
        <f t="shared" si="56"/>
        <v>0</v>
      </c>
      <c r="AQ215" s="44"/>
      <c r="AR215" s="44"/>
      <c r="AS215" s="44"/>
      <c r="AT215" s="44"/>
      <c r="AU215" s="44"/>
      <c r="AV215" s="44"/>
      <c r="AW215" s="44"/>
      <c r="AX215" s="44">
        <f t="shared" si="57"/>
        <v>0</v>
      </c>
      <c r="AY215" s="44">
        <f t="shared" si="58"/>
        <v>0</v>
      </c>
      <c r="AZ215" s="44">
        <f t="shared" si="59"/>
        <v>0</v>
      </c>
      <c r="BA215" s="44">
        <f t="shared" si="60"/>
        <v>0</v>
      </c>
      <c r="BB215" s="44">
        <f t="shared" si="61"/>
        <v>0</v>
      </c>
      <c r="BC215" s="44">
        <f t="shared" si="62"/>
        <v>0</v>
      </c>
      <c r="BD215" s="44">
        <f t="shared" si="63"/>
        <v>0</v>
      </c>
      <c r="BE215" s="44">
        <f t="shared" si="64"/>
        <v>0</v>
      </c>
      <c r="BF215" s="83">
        <f t="shared" si="65"/>
        <v>0</v>
      </c>
      <c r="BG215" s="47"/>
      <c r="BH215" s="47"/>
      <c r="BI215" s="90"/>
      <c r="BJ215" s="90"/>
      <c r="BK215" s="90"/>
      <c r="BL215" s="90"/>
      <c r="BM215" s="90"/>
      <c r="BN215" s="90"/>
      <c r="BO215" s="90"/>
      <c r="BP215" s="90"/>
      <c r="BQ215" s="90"/>
      <c r="BR215" s="90"/>
      <c r="BS215" s="90"/>
      <c r="BT215" s="90"/>
      <c r="BU215" s="90"/>
    </row>
    <row r="216" spans="1:73" s="91" customFormat="1" ht="54" x14ac:dyDescent="0.25">
      <c r="A216" s="707"/>
      <c r="B216" s="627"/>
      <c r="C216" s="627"/>
      <c r="D216" s="611"/>
      <c r="E216" s="611"/>
      <c r="F216" s="612"/>
      <c r="G216" s="612"/>
      <c r="H216" s="603" t="s">
        <v>796</v>
      </c>
      <c r="I216" s="603" t="s">
        <v>750</v>
      </c>
      <c r="J216" s="611" t="s">
        <v>751</v>
      </c>
      <c r="K216" s="355" t="s">
        <v>854</v>
      </c>
      <c r="L216" s="379" t="s">
        <v>852</v>
      </c>
      <c r="M216" s="79">
        <v>29</v>
      </c>
      <c r="N216" s="79">
        <f>29*4</f>
        <v>116</v>
      </c>
      <c r="O216" s="46">
        <v>29</v>
      </c>
      <c r="P216" s="46">
        <v>29</v>
      </c>
      <c r="Q216" s="46">
        <v>29</v>
      </c>
      <c r="R216" s="198">
        <v>29</v>
      </c>
      <c r="S216" s="185"/>
      <c r="T216" s="44">
        <v>150</v>
      </c>
      <c r="U216" s="44"/>
      <c r="V216" s="44"/>
      <c r="W216" s="44"/>
      <c r="X216" s="44"/>
      <c r="Y216" s="44"/>
      <c r="Z216" s="44">
        <f t="shared" si="54"/>
        <v>150</v>
      </c>
      <c r="AA216" s="44"/>
      <c r="AB216" s="44">
        <v>150</v>
      </c>
      <c r="AC216" s="44"/>
      <c r="AD216" s="44"/>
      <c r="AE216" s="44"/>
      <c r="AF216" s="44"/>
      <c r="AG216" s="44"/>
      <c r="AH216" s="44">
        <f t="shared" si="55"/>
        <v>150</v>
      </c>
      <c r="AI216" s="44"/>
      <c r="AJ216" s="44">
        <v>150</v>
      </c>
      <c r="AK216" s="44"/>
      <c r="AL216" s="44"/>
      <c r="AM216" s="44"/>
      <c r="AN216" s="44"/>
      <c r="AO216" s="44"/>
      <c r="AP216" s="44">
        <f t="shared" si="56"/>
        <v>150</v>
      </c>
      <c r="AQ216" s="44"/>
      <c r="AR216" s="44">
        <v>150</v>
      </c>
      <c r="AS216" s="44"/>
      <c r="AT216" s="44"/>
      <c r="AU216" s="44"/>
      <c r="AV216" s="44"/>
      <c r="AW216" s="44"/>
      <c r="AX216" s="44">
        <f t="shared" si="57"/>
        <v>150</v>
      </c>
      <c r="AY216" s="44">
        <f t="shared" si="58"/>
        <v>0</v>
      </c>
      <c r="AZ216" s="44">
        <f t="shared" si="59"/>
        <v>600</v>
      </c>
      <c r="BA216" s="44">
        <f t="shared" si="60"/>
        <v>0</v>
      </c>
      <c r="BB216" s="44">
        <f t="shared" si="61"/>
        <v>0</v>
      </c>
      <c r="BC216" s="44">
        <f t="shared" si="62"/>
        <v>0</v>
      </c>
      <c r="BD216" s="44">
        <f t="shared" si="63"/>
        <v>0</v>
      </c>
      <c r="BE216" s="44">
        <f t="shared" si="64"/>
        <v>0</v>
      </c>
      <c r="BF216" s="83">
        <f t="shared" si="65"/>
        <v>600</v>
      </c>
      <c r="BG216" s="47"/>
      <c r="BH216" s="47"/>
      <c r="BI216" s="90"/>
      <c r="BJ216" s="90"/>
      <c r="BK216" s="90"/>
      <c r="BL216" s="90"/>
      <c r="BM216" s="90"/>
      <c r="BN216" s="90"/>
      <c r="BO216" s="90"/>
      <c r="BP216" s="90"/>
      <c r="BQ216" s="90"/>
      <c r="BR216" s="90"/>
      <c r="BS216" s="90"/>
      <c r="BT216" s="90"/>
      <c r="BU216" s="90"/>
    </row>
    <row r="217" spans="1:73" s="91" customFormat="1" ht="40.5" x14ac:dyDescent="0.25">
      <c r="A217" s="707"/>
      <c r="B217" s="627"/>
      <c r="C217" s="627"/>
      <c r="D217" s="611"/>
      <c r="E217" s="611"/>
      <c r="F217" s="612"/>
      <c r="G217" s="612"/>
      <c r="H217" s="603"/>
      <c r="I217" s="603"/>
      <c r="J217" s="611"/>
      <c r="K217" s="355" t="s">
        <v>855</v>
      </c>
      <c r="L217" s="379" t="s">
        <v>856</v>
      </c>
      <c r="M217" s="50"/>
      <c r="N217" s="87">
        <f>60*4</f>
        <v>240</v>
      </c>
      <c r="O217" s="46">
        <v>60</v>
      </c>
      <c r="P217" s="46">
        <v>60</v>
      </c>
      <c r="Q217" s="46">
        <v>60</v>
      </c>
      <c r="R217" s="198">
        <v>60</v>
      </c>
      <c r="S217" s="185"/>
      <c r="T217" s="44">
        <v>20</v>
      </c>
      <c r="U217" s="44"/>
      <c r="V217" s="44"/>
      <c r="W217" s="44"/>
      <c r="X217" s="44"/>
      <c r="Y217" s="44"/>
      <c r="Z217" s="44">
        <f t="shared" si="54"/>
        <v>20</v>
      </c>
      <c r="AA217" s="44"/>
      <c r="AB217" s="44">
        <v>22</v>
      </c>
      <c r="AC217" s="44"/>
      <c r="AD217" s="44"/>
      <c r="AE217" s="44"/>
      <c r="AF217" s="44"/>
      <c r="AG217" s="44"/>
      <c r="AH217" s="44">
        <f t="shared" si="55"/>
        <v>22</v>
      </c>
      <c r="AI217" s="44"/>
      <c r="AJ217" s="44">
        <v>24</v>
      </c>
      <c r="AK217" s="44"/>
      <c r="AL217" s="44"/>
      <c r="AM217" s="44"/>
      <c r="AN217" s="44"/>
      <c r="AO217" s="44"/>
      <c r="AP217" s="44">
        <f t="shared" si="56"/>
        <v>24</v>
      </c>
      <c r="AQ217" s="44"/>
      <c r="AR217" s="44">
        <v>26</v>
      </c>
      <c r="AS217" s="44"/>
      <c r="AT217" s="44"/>
      <c r="AU217" s="44"/>
      <c r="AV217" s="44"/>
      <c r="AW217" s="44"/>
      <c r="AX217" s="44">
        <f t="shared" si="57"/>
        <v>26</v>
      </c>
      <c r="AY217" s="44">
        <f t="shared" si="58"/>
        <v>0</v>
      </c>
      <c r="AZ217" s="44">
        <f t="shared" si="59"/>
        <v>92</v>
      </c>
      <c r="BA217" s="44">
        <f t="shared" si="60"/>
        <v>0</v>
      </c>
      <c r="BB217" s="44">
        <f t="shared" si="61"/>
        <v>0</v>
      </c>
      <c r="BC217" s="44">
        <f t="shared" si="62"/>
        <v>0</v>
      </c>
      <c r="BD217" s="44">
        <f t="shared" si="63"/>
        <v>0</v>
      </c>
      <c r="BE217" s="44">
        <f t="shared" si="64"/>
        <v>0</v>
      </c>
      <c r="BF217" s="83">
        <f>+AY217+AZ217+BA217+BB217+BC217+BD217+BE217:BE221</f>
        <v>92</v>
      </c>
      <c r="BG217" s="47"/>
      <c r="BH217" s="47"/>
      <c r="BI217" s="90"/>
      <c r="BJ217" s="90"/>
      <c r="BK217" s="90"/>
      <c r="BL217" s="90"/>
      <c r="BM217" s="90"/>
      <c r="BN217" s="90"/>
      <c r="BO217" s="90"/>
      <c r="BP217" s="90"/>
      <c r="BQ217" s="90"/>
      <c r="BR217" s="90"/>
      <c r="BS217" s="90"/>
      <c r="BT217" s="90"/>
      <c r="BU217" s="90"/>
    </row>
    <row r="218" spans="1:73" s="91" customFormat="1" ht="108" x14ac:dyDescent="0.25">
      <c r="A218" s="707"/>
      <c r="B218" s="627"/>
      <c r="C218" s="627"/>
      <c r="D218" s="611"/>
      <c r="E218" s="611"/>
      <c r="F218" s="612"/>
      <c r="G218" s="612"/>
      <c r="H218" s="603"/>
      <c r="I218" s="603"/>
      <c r="J218" s="611"/>
      <c r="K218" s="355" t="s">
        <v>1013</v>
      </c>
      <c r="L218" s="379" t="s">
        <v>1011</v>
      </c>
      <c r="M218" s="50"/>
      <c r="N218" s="87">
        <v>3</v>
      </c>
      <c r="O218" s="46">
        <v>1</v>
      </c>
      <c r="P218" s="46">
        <v>3</v>
      </c>
      <c r="Q218" s="46"/>
      <c r="R218" s="198"/>
      <c r="S218" s="185"/>
      <c r="T218" s="44"/>
      <c r="U218" s="44"/>
      <c r="V218" s="44"/>
      <c r="W218" s="44"/>
      <c r="X218" s="44"/>
      <c r="Y218" s="44"/>
      <c r="Z218" s="44">
        <f t="shared" si="54"/>
        <v>0</v>
      </c>
      <c r="AA218" s="44">
        <v>30</v>
      </c>
      <c r="AB218" s="44"/>
      <c r="AC218" s="44"/>
      <c r="AD218" s="44"/>
      <c r="AE218" s="44"/>
      <c r="AF218" s="44"/>
      <c r="AG218" s="44"/>
      <c r="AH218" s="44">
        <f t="shared" si="55"/>
        <v>30</v>
      </c>
      <c r="AI218" s="44"/>
      <c r="AJ218" s="44"/>
      <c r="AK218" s="44"/>
      <c r="AL218" s="44"/>
      <c r="AM218" s="44"/>
      <c r="AN218" s="44"/>
      <c r="AO218" s="44"/>
      <c r="AP218" s="44">
        <f t="shared" si="56"/>
        <v>0</v>
      </c>
      <c r="AQ218" s="44"/>
      <c r="AR218" s="44"/>
      <c r="AS218" s="44"/>
      <c r="AT218" s="44"/>
      <c r="AU218" s="44"/>
      <c r="AV218" s="44"/>
      <c r="AW218" s="44"/>
      <c r="AX218" s="44">
        <f t="shared" si="57"/>
        <v>0</v>
      </c>
      <c r="AY218" s="44">
        <f t="shared" si="58"/>
        <v>30</v>
      </c>
      <c r="AZ218" s="44">
        <f t="shared" si="59"/>
        <v>0</v>
      </c>
      <c r="BA218" s="44">
        <f t="shared" si="60"/>
        <v>0</v>
      </c>
      <c r="BB218" s="44">
        <f t="shared" si="61"/>
        <v>0</v>
      </c>
      <c r="BC218" s="44">
        <f t="shared" si="62"/>
        <v>0</v>
      </c>
      <c r="BD218" s="44">
        <f t="shared" ref="BD218:BE220" si="68">+X218+AF218+AN218+AV218</f>
        <v>0</v>
      </c>
      <c r="BE218" s="44">
        <f t="shared" si="68"/>
        <v>0</v>
      </c>
      <c r="BF218" s="83">
        <f>+AY218+AZ218+BA218+BB218+BC218+BD218+BE218:BE222</f>
        <v>30</v>
      </c>
      <c r="BG218" s="47"/>
      <c r="BH218" s="47"/>
      <c r="BI218" s="90"/>
      <c r="BJ218" s="90"/>
      <c r="BK218" s="90"/>
      <c r="BL218" s="90"/>
      <c r="BM218" s="90"/>
      <c r="BN218" s="90"/>
      <c r="BO218" s="90"/>
      <c r="BP218" s="90"/>
      <c r="BQ218" s="90"/>
      <c r="BR218" s="90"/>
      <c r="BS218" s="90"/>
      <c r="BT218" s="90"/>
      <c r="BU218" s="90"/>
    </row>
    <row r="219" spans="1:73" s="91" customFormat="1" ht="81" x14ac:dyDescent="0.25">
      <c r="A219" s="707"/>
      <c r="B219" s="627"/>
      <c r="C219" s="627"/>
      <c r="D219" s="611"/>
      <c r="E219" s="611"/>
      <c r="F219" s="612"/>
      <c r="G219" s="612"/>
      <c r="H219" s="603"/>
      <c r="I219" s="603"/>
      <c r="J219" s="611"/>
      <c r="K219" s="355" t="s">
        <v>1014</v>
      </c>
      <c r="L219" s="379" t="s">
        <v>1012</v>
      </c>
      <c r="M219" s="50"/>
      <c r="N219" s="87">
        <v>16</v>
      </c>
      <c r="O219" s="46">
        <v>4</v>
      </c>
      <c r="P219" s="46">
        <v>8</v>
      </c>
      <c r="Q219" s="46">
        <v>12</v>
      </c>
      <c r="R219" s="198">
        <v>16</v>
      </c>
      <c r="S219" s="185"/>
      <c r="T219" s="44"/>
      <c r="U219" s="44"/>
      <c r="V219" s="44"/>
      <c r="W219" s="44"/>
      <c r="X219" s="44"/>
      <c r="Y219" s="44"/>
      <c r="Z219" s="44">
        <f t="shared" si="54"/>
        <v>0</v>
      </c>
      <c r="AA219" s="44"/>
      <c r="AB219" s="44"/>
      <c r="AC219" s="44"/>
      <c r="AD219" s="44"/>
      <c r="AE219" s="44"/>
      <c r="AF219" s="44"/>
      <c r="AG219" s="44"/>
      <c r="AH219" s="44">
        <f t="shared" si="55"/>
        <v>0</v>
      </c>
      <c r="AI219" s="44"/>
      <c r="AJ219" s="44"/>
      <c r="AK219" s="44"/>
      <c r="AL219" s="44"/>
      <c r="AM219" s="44"/>
      <c r="AN219" s="44"/>
      <c r="AO219" s="44"/>
      <c r="AP219" s="44">
        <f t="shared" si="56"/>
        <v>0</v>
      </c>
      <c r="AQ219" s="44"/>
      <c r="AR219" s="44"/>
      <c r="AS219" s="44"/>
      <c r="AT219" s="44"/>
      <c r="AU219" s="44"/>
      <c r="AV219" s="44"/>
      <c r="AW219" s="44"/>
      <c r="AX219" s="44">
        <f t="shared" si="57"/>
        <v>0</v>
      </c>
      <c r="AY219" s="44">
        <f t="shared" si="58"/>
        <v>0</v>
      </c>
      <c r="AZ219" s="44">
        <f t="shared" si="59"/>
        <v>0</v>
      </c>
      <c r="BA219" s="44">
        <f t="shared" si="60"/>
        <v>0</v>
      </c>
      <c r="BB219" s="44">
        <f t="shared" si="61"/>
        <v>0</v>
      </c>
      <c r="BC219" s="44">
        <f t="shared" si="62"/>
        <v>0</v>
      </c>
      <c r="BD219" s="44">
        <f t="shared" si="68"/>
        <v>0</v>
      </c>
      <c r="BE219" s="44">
        <f t="shared" si="68"/>
        <v>0</v>
      </c>
      <c r="BF219" s="83">
        <f>+AY219+AZ219+BA219+BB219+BC219+BD219+BE219:BE223</f>
        <v>0</v>
      </c>
      <c r="BG219" s="47"/>
      <c r="BH219" s="47"/>
      <c r="BI219" s="90"/>
      <c r="BJ219" s="90"/>
      <c r="BK219" s="90"/>
      <c r="BL219" s="90"/>
      <c r="BM219" s="90"/>
      <c r="BN219" s="90"/>
      <c r="BO219" s="90"/>
      <c r="BP219" s="90"/>
      <c r="BQ219" s="90"/>
      <c r="BR219" s="90"/>
      <c r="BS219" s="90"/>
      <c r="BT219" s="90"/>
      <c r="BU219" s="90"/>
    </row>
    <row r="220" spans="1:73" s="91" customFormat="1" ht="67.5" x14ac:dyDescent="0.25">
      <c r="A220" s="707"/>
      <c r="B220" s="627"/>
      <c r="C220" s="627"/>
      <c r="D220" s="611"/>
      <c r="E220" s="611"/>
      <c r="F220" s="612"/>
      <c r="G220" s="612"/>
      <c r="H220" s="603"/>
      <c r="I220" s="603"/>
      <c r="J220" s="611"/>
      <c r="K220" s="355" t="s">
        <v>1015</v>
      </c>
      <c r="L220" s="379" t="s">
        <v>1016</v>
      </c>
      <c r="M220" s="50"/>
      <c r="N220" s="87">
        <v>1</v>
      </c>
      <c r="O220" s="46">
        <v>1</v>
      </c>
      <c r="P220" s="46">
        <v>1</v>
      </c>
      <c r="Q220" s="46">
        <v>1</v>
      </c>
      <c r="R220" s="198">
        <v>1</v>
      </c>
      <c r="S220" s="185"/>
      <c r="T220" s="44"/>
      <c r="U220" s="44"/>
      <c r="V220" s="44"/>
      <c r="W220" s="44"/>
      <c r="X220" s="44"/>
      <c r="Y220" s="44"/>
      <c r="Z220" s="44">
        <f t="shared" si="54"/>
        <v>0</v>
      </c>
      <c r="AA220" s="44"/>
      <c r="AB220" s="44"/>
      <c r="AC220" s="44"/>
      <c r="AD220" s="44"/>
      <c r="AE220" s="44"/>
      <c r="AF220" s="44"/>
      <c r="AG220" s="44"/>
      <c r="AH220" s="44">
        <f t="shared" si="55"/>
        <v>0</v>
      </c>
      <c r="AI220" s="44"/>
      <c r="AJ220" s="44"/>
      <c r="AK220" s="44"/>
      <c r="AL220" s="44"/>
      <c r="AM220" s="44"/>
      <c r="AN220" s="44"/>
      <c r="AO220" s="44"/>
      <c r="AP220" s="44">
        <f t="shared" si="56"/>
        <v>0</v>
      </c>
      <c r="AQ220" s="44"/>
      <c r="AR220" s="44"/>
      <c r="AS220" s="44"/>
      <c r="AT220" s="44"/>
      <c r="AU220" s="44"/>
      <c r="AV220" s="44"/>
      <c r="AW220" s="44"/>
      <c r="AX220" s="44">
        <f t="shared" si="57"/>
        <v>0</v>
      </c>
      <c r="AY220" s="44">
        <f t="shared" si="58"/>
        <v>0</v>
      </c>
      <c r="AZ220" s="44">
        <f t="shared" si="59"/>
        <v>0</v>
      </c>
      <c r="BA220" s="44">
        <f t="shared" si="60"/>
        <v>0</v>
      </c>
      <c r="BB220" s="44">
        <f t="shared" si="61"/>
        <v>0</v>
      </c>
      <c r="BC220" s="44">
        <f t="shared" si="62"/>
        <v>0</v>
      </c>
      <c r="BD220" s="44">
        <f t="shared" si="68"/>
        <v>0</v>
      </c>
      <c r="BE220" s="44">
        <f t="shared" si="68"/>
        <v>0</v>
      </c>
      <c r="BF220" s="83">
        <f>+AY220+AZ220+BA220+BB220+BC220+BD220+BE220:BE224</f>
        <v>0</v>
      </c>
      <c r="BG220" s="47"/>
      <c r="BH220" s="47"/>
      <c r="BI220" s="90"/>
      <c r="BJ220" s="90"/>
      <c r="BK220" s="90"/>
      <c r="BL220" s="90"/>
      <c r="BM220" s="90"/>
      <c r="BN220" s="90"/>
      <c r="BO220" s="90"/>
      <c r="BP220" s="90"/>
      <c r="BQ220" s="90"/>
      <c r="BR220" s="90"/>
      <c r="BS220" s="90"/>
      <c r="BT220" s="90"/>
      <c r="BU220" s="90"/>
    </row>
    <row r="221" spans="1:73" s="91" customFormat="1" ht="121.5" x14ac:dyDescent="0.25">
      <c r="A221" s="707"/>
      <c r="B221" s="627"/>
      <c r="C221" s="627"/>
      <c r="D221" s="611" t="s">
        <v>1020</v>
      </c>
      <c r="E221" s="611" t="s">
        <v>754</v>
      </c>
      <c r="F221" s="623">
        <f>49+361+4+304+382</f>
        <v>1100</v>
      </c>
      <c r="G221" s="623">
        <v>800</v>
      </c>
      <c r="H221" s="603"/>
      <c r="I221" s="603"/>
      <c r="J221" s="611" t="s">
        <v>1018</v>
      </c>
      <c r="K221" s="173" t="s">
        <v>1017</v>
      </c>
      <c r="L221" s="379" t="s">
        <v>1019</v>
      </c>
      <c r="M221" s="46">
        <v>0</v>
      </c>
      <c r="N221" s="46">
        <v>1</v>
      </c>
      <c r="O221" s="46"/>
      <c r="P221" s="46">
        <v>1</v>
      </c>
      <c r="Q221" s="46"/>
      <c r="R221" s="198"/>
      <c r="S221" s="185"/>
      <c r="T221" s="44"/>
      <c r="U221" s="44"/>
      <c r="V221" s="44"/>
      <c r="W221" s="44"/>
      <c r="X221" s="44"/>
      <c r="Y221" s="44"/>
      <c r="Z221" s="44">
        <f t="shared" si="54"/>
        <v>0</v>
      </c>
      <c r="AA221" s="44"/>
      <c r="AB221" s="44"/>
      <c r="AC221" s="44"/>
      <c r="AD221" s="44"/>
      <c r="AE221" s="44"/>
      <c r="AF221" s="44"/>
      <c r="AG221" s="44"/>
      <c r="AH221" s="44">
        <f t="shared" ref="AH221:AH234" si="69">SUM(AA221:AG221)</f>
        <v>0</v>
      </c>
      <c r="AI221" s="44"/>
      <c r="AJ221" s="44"/>
      <c r="AK221" s="44"/>
      <c r="AL221" s="44"/>
      <c r="AM221" s="44"/>
      <c r="AN221" s="44"/>
      <c r="AO221" s="44"/>
      <c r="AP221" s="44">
        <f t="shared" ref="AP221:AP234" si="70">SUM(AI221:AO221)</f>
        <v>0</v>
      </c>
      <c r="AQ221" s="44"/>
      <c r="AR221" s="44"/>
      <c r="AS221" s="44"/>
      <c r="AT221" s="44"/>
      <c r="AU221" s="44"/>
      <c r="AV221" s="44"/>
      <c r="AW221" s="44"/>
      <c r="AX221" s="44">
        <f t="shared" ref="AX221:AX234" si="71">SUM(AQ221:AW221)</f>
        <v>0</v>
      </c>
      <c r="AY221" s="44">
        <f t="shared" si="58"/>
        <v>0</v>
      </c>
      <c r="AZ221" s="44">
        <f t="shared" ref="AY221:BE229" si="72">+T221+AB221+AJ221+AR221</f>
        <v>0</v>
      </c>
      <c r="BA221" s="44">
        <f t="shared" si="72"/>
        <v>0</v>
      </c>
      <c r="BB221" s="44">
        <f t="shared" si="72"/>
        <v>0</v>
      </c>
      <c r="BC221" s="44">
        <f t="shared" si="72"/>
        <v>0</v>
      </c>
      <c r="BD221" s="44">
        <f t="shared" si="72"/>
        <v>0</v>
      </c>
      <c r="BE221" s="44">
        <f t="shared" si="72"/>
        <v>0</v>
      </c>
      <c r="BF221" s="83">
        <f>+AY221+AZ221+BA221+BB221+BC221+BD221+BE221:BE224</f>
        <v>0</v>
      </c>
      <c r="BG221" s="47"/>
      <c r="BH221" s="47"/>
      <c r="BI221" s="90"/>
      <c r="BJ221" s="90"/>
      <c r="BK221" s="90"/>
      <c r="BL221" s="90"/>
      <c r="BM221" s="90"/>
      <c r="BN221" s="90"/>
      <c r="BO221" s="90"/>
      <c r="BP221" s="90"/>
      <c r="BQ221" s="90"/>
      <c r="BR221" s="90"/>
      <c r="BS221" s="90"/>
      <c r="BT221" s="90"/>
      <c r="BU221" s="90"/>
    </row>
    <row r="222" spans="1:73" s="91" customFormat="1" ht="54" x14ac:dyDescent="0.25">
      <c r="A222" s="707"/>
      <c r="B222" s="627"/>
      <c r="C222" s="627"/>
      <c r="D222" s="611"/>
      <c r="E222" s="611"/>
      <c r="F222" s="623"/>
      <c r="G222" s="623"/>
      <c r="H222" s="603"/>
      <c r="I222" s="603"/>
      <c r="J222" s="611"/>
      <c r="K222" s="173" t="s">
        <v>1021</v>
      </c>
      <c r="L222" s="379" t="s">
        <v>1022</v>
      </c>
      <c r="M222" s="46">
        <v>0</v>
      </c>
      <c r="N222" s="46">
        <v>1</v>
      </c>
      <c r="O222" s="46"/>
      <c r="P222" s="46">
        <v>1</v>
      </c>
      <c r="Q222" s="46"/>
      <c r="R222" s="198"/>
      <c r="S222" s="185"/>
      <c r="T222" s="44"/>
      <c r="U222" s="44"/>
      <c r="V222" s="44"/>
      <c r="W222" s="44"/>
      <c r="X222" s="44"/>
      <c r="Y222" s="44"/>
      <c r="Z222" s="44">
        <f t="shared" si="54"/>
        <v>0</v>
      </c>
      <c r="AA222" s="44"/>
      <c r="AB222" s="44">
        <v>25</v>
      </c>
      <c r="AC222" s="44"/>
      <c r="AD222" s="44"/>
      <c r="AE222" s="44"/>
      <c r="AF222" s="44"/>
      <c r="AG222" s="44"/>
      <c r="AH222" s="44">
        <f t="shared" si="69"/>
        <v>25</v>
      </c>
      <c r="AI222" s="44"/>
      <c r="AJ222" s="44"/>
      <c r="AK222" s="44"/>
      <c r="AL222" s="44"/>
      <c r="AM222" s="44"/>
      <c r="AN222" s="44"/>
      <c r="AO222" s="44"/>
      <c r="AP222" s="44">
        <f t="shared" si="70"/>
        <v>0</v>
      </c>
      <c r="AQ222" s="44"/>
      <c r="AR222" s="44"/>
      <c r="AS222" s="44"/>
      <c r="AT222" s="44"/>
      <c r="AU222" s="44"/>
      <c r="AV222" s="44"/>
      <c r="AW222" s="44"/>
      <c r="AX222" s="44">
        <f t="shared" si="71"/>
        <v>0</v>
      </c>
      <c r="AY222" s="44">
        <f t="shared" ref="AY222:BF224" si="73">+S222+AA222+AI222+AQ222</f>
        <v>0</v>
      </c>
      <c r="AZ222" s="44">
        <f t="shared" si="73"/>
        <v>25</v>
      </c>
      <c r="BA222" s="44">
        <f t="shared" si="73"/>
        <v>0</v>
      </c>
      <c r="BB222" s="44">
        <f t="shared" si="73"/>
        <v>0</v>
      </c>
      <c r="BC222" s="44">
        <f t="shared" si="73"/>
        <v>0</v>
      </c>
      <c r="BD222" s="44">
        <f t="shared" si="73"/>
        <v>0</v>
      </c>
      <c r="BE222" s="44">
        <f t="shared" si="73"/>
        <v>0</v>
      </c>
      <c r="BF222" s="83">
        <f>+AY222+AZ222+BA222+BB222+BC222+BD222+BE222:BE225</f>
        <v>25</v>
      </c>
      <c r="BG222" s="47"/>
      <c r="BH222" s="47"/>
      <c r="BI222" s="90"/>
      <c r="BJ222" s="90"/>
      <c r="BK222" s="90"/>
      <c r="BL222" s="90"/>
      <c r="BM222" s="90"/>
      <c r="BN222" s="90"/>
      <c r="BO222" s="90"/>
      <c r="BP222" s="90"/>
      <c r="BQ222" s="90"/>
      <c r="BR222" s="90"/>
      <c r="BS222" s="90"/>
      <c r="BT222" s="90"/>
      <c r="BU222" s="90"/>
    </row>
    <row r="223" spans="1:73" s="91" customFormat="1" ht="68.25" thickBot="1" x14ac:dyDescent="0.3">
      <c r="A223" s="707"/>
      <c r="B223" s="627"/>
      <c r="C223" s="627"/>
      <c r="D223" s="611"/>
      <c r="E223" s="611"/>
      <c r="F223" s="623"/>
      <c r="G223" s="623"/>
      <c r="H223" s="603"/>
      <c r="I223" s="603"/>
      <c r="J223" s="611"/>
      <c r="K223" s="173" t="s">
        <v>1023</v>
      </c>
      <c r="L223" s="379" t="s">
        <v>1024</v>
      </c>
      <c r="M223" s="46"/>
      <c r="N223" s="46">
        <v>29</v>
      </c>
      <c r="O223" s="46">
        <v>5</v>
      </c>
      <c r="P223" s="46">
        <v>10</v>
      </c>
      <c r="Q223" s="46">
        <v>20</v>
      </c>
      <c r="R223" s="198">
        <v>29</v>
      </c>
      <c r="S223" s="185">
        <v>2</v>
      </c>
      <c r="T223" s="44"/>
      <c r="U223" s="44"/>
      <c r="V223" s="44"/>
      <c r="W223" s="44"/>
      <c r="X223" s="44"/>
      <c r="Y223" s="44"/>
      <c r="Z223" s="44">
        <f t="shared" si="54"/>
        <v>2</v>
      </c>
      <c r="AA223" s="44">
        <v>5</v>
      </c>
      <c r="AB223" s="44"/>
      <c r="AC223" s="44"/>
      <c r="AD223" s="44"/>
      <c r="AE223" s="44"/>
      <c r="AF223" s="44"/>
      <c r="AG223" s="44"/>
      <c r="AH223" s="44">
        <f t="shared" si="69"/>
        <v>5</v>
      </c>
      <c r="AI223" s="44">
        <v>10</v>
      </c>
      <c r="AJ223" s="44"/>
      <c r="AK223" s="44"/>
      <c r="AL223" s="44"/>
      <c r="AM223" s="44"/>
      <c r="AN223" s="44"/>
      <c r="AO223" s="44"/>
      <c r="AP223" s="44">
        <f t="shared" si="70"/>
        <v>10</v>
      </c>
      <c r="AQ223" s="44">
        <v>10</v>
      </c>
      <c r="AR223" s="44"/>
      <c r="AS223" s="44"/>
      <c r="AT223" s="44"/>
      <c r="AU223" s="44"/>
      <c r="AV223" s="44"/>
      <c r="AW223" s="44"/>
      <c r="AX223" s="44">
        <f t="shared" si="71"/>
        <v>10</v>
      </c>
      <c r="AY223" s="44">
        <f t="shared" si="73"/>
        <v>27</v>
      </c>
      <c r="AZ223" s="44">
        <f t="shared" si="73"/>
        <v>0</v>
      </c>
      <c r="BA223" s="44">
        <f t="shared" si="73"/>
        <v>0</v>
      </c>
      <c r="BB223" s="44">
        <f t="shared" si="73"/>
        <v>0</v>
      </c>
      <c r="BC223" s="44">
        <f t="shared" si="73"/>
        <v>0</v>
      </c>
      <c r="BD223" s="44">
        <f t="shared" si="73"/>
        <v>0</v>
      </c>
      <c r="BE223" s="44">
        <f t="shared" si="73"/>
        <v>0</v>
      </c>
      <c r="BF223" s="83">
        <f>+AY223+AZ223+BA223+BB223+BC223+BD223+BE223:BE225</f>
        <v>27</v>
      </c>
      <c r="BG223" s="47"/>
      <c r="BH223" s="47"/>
      <c r="BI223" s="90"/>
      <c r="BJ223" s="90"/>
      <c r="BK223" s="90"/>
      <c r="BL223" s="90"/>
      <c r="BM223" s="90"/>
      <c r="BN223" s="90"/>
      <c r="BO223" s="90"/>
      <c r="BP223" s="90"/>
      <c r="BQ223" s="90"/>
      <c r="BR223" s="90"/>
      <c r="BS223" s="90"/>
      <c r="BT223" s="90"/>
      <c r="BU223" s="90"/>
    </row>
    <row r="224" spans="1:73" s="91" customFormat="1" ht="162.75" thickBot="1" x14ac:dyDescent="0.3">
      <c r="A224" s="707"/>
      <c r="B224" s="627"/>
      <c r="C224" s="627"/>
      <c r="D224" s="355" t="s">
        <v>1025</v>
      </c>
      <c r="E224" s="355" t="s">
        <v>755</v>
      </c>
      <c r="F224" s="260">
        <v>119</v>
      </c>
      <c r="G224" s="260">
        <v>90</v>
      </c>
      <c r="H224" s="603"/>
      <c r="I224" s="603"/>
      <c r="J224" s="603" t="s">
        <v>752</v>
      </c>
      <c r="K224" s="486" t="s">
        <v>1487</v>
      </c>
      <c r="L224" s="379" t="s">
        <v>1392</v>
      </c>
      <c r="M224" s="50">
        <v>0</v>
      </c>
      <c r="N224" s="50">
        <v>1</v>
      </c>
      <c r="O224" s="50"/>
      <c r="P224" s="50">
        <v>1</v>
      </c>
      <c r="Q224" s="50"/>
      <c r="R224" s="50"/>
      <c r="S224" s="44"/>
      <c r="T224" s="44"/>
      <c r="U224" s="44"/>
      <c r="V224" s="44"/>
      <c r="W224" s="44"/>
      <c r="X224" s="44"/>
      <c r="Y224" s="44"/>
      <c r="Z224" s="44">
        <f t="shared" ref="Z224" si="74">SUM(S224:Y224)</f>
        <v>0</v>
      </c>
      <c r="AA224" s="44">
        <v>200</v>
      </c>
      <c r="AB224" s="44"/>
      <c r="AC224" s="44"/>
      <c r="AD224" s="44"/>
      <c r="AE224" s="44"/>
      <c r="AF224" s="44"/>
      <c r="AG224" s="44">
        <v>1300</v>
      </c>
      <c r="AH224" s="44">
        <f t="shared" ref="AH224" si="75">SUM(AA224:AG224)</f>
        <v>1500</v>
      </c>
      <c r="AI224" s="44"/>
      <c r="AJ224" s="44"/>
      <c r="AK224" s="44"/>
      <c r="AL224" s="44"/>
      <c r="AM224" s="44"/>
      <c r="AN224" s="44"/>
      <c r="AO224" s="44"/>
      <c r="AP224" s="124">
        <f t="shared" ref="AP224" si="76">SUM(AI224:AO224)</f>
        <v>0</v>
      </c>
      <c r="AQ224" s="44"/>
      <c r="AR224" s="44"/>
      <c r="AS224" s="44"/>
      <c r="AT224" s="44"/>
      <c r="AU224" s="44"/>
      <c r="AV224" s="44"/>
      <c r="AW224" s="44"/>
      <c r="AX224" s="44">
        <f t="shared" ref="AX224" si="77">SUM(AQ224:AW224)</f>
        <v>0</v>
      </c>
      <c r="AY224" s="124">
        <f t="shared" si="73"/>
        <v>200</v>
      </c>
      <c r="AZ224" s="44">
        <f t="shared" si="73"/>
        <v>0</v>
      </c>
      <c r="BA224" s="44">
        <f t="shared" si="73"/>
        <v>0</v>
      </c>
      <c r="BB224" s="44">
        <f t="shared" si="73"/>
        <v>0</v>
      </c>
      <c r="BC224" s="44">
        <f t="shared" si="73"/>
        <v>0</v>
      </c>
      <c r="BD224" s="44">
        <f t="shared" si="73"/>
        <v>0</v>
      </c>
      <c r="BE224" s="44">
        <f t="shared" si="73"/>
        <v>1300</v>
      </c>
      <c r="BF224" s="45">
        <f t="shared" si="73"/>
        <v>1500</v>
      </c>
      <c r="BG224" s="47"/>
      <c r="BH224" s="47"/>
      <c r="BI224" s="90"/>
      <c r="BJ224" s="90"/>
      <c r="BK224" s="90"/>
      <c r="BL224" s="90"/>
      <c r="BM224" s="90"/>
      <c r="BN224" s="90"/>
      <c r="BO224" s="90"/>
      <c r="BP224" s="90"/>
      <c r="BQ224" s="90"/>
      <c r="BR224" s="90"/>
      <c r="BS224" s="90"/>
      <c r="BT224" s="90"/>
      <c r="BU224" s="90"/>
    </row>
    <row r="225" spans="1:73" s="91" customFormat="1" ht="81.75" thickBot="1" x14ac:dyDescent="0.3">
      <c r="A225" s="707"/>
      <c r="B225" s="628"/>
      <c r="C225" s="628"/>
      <c r="D225" s="356" t="s">
        <v>1027</v>
      </c>
      <c r="E225" s="356" t="s">
        <v>1026</v>
      </c>
      <c r="F225" s="415">
        <v>14</v>
      </c>
      <c r="G225" s="416">
        <v>10</v>
      </c>
      <c r="H225" s="604"/>
      <c r="I225" s="604"/>
      <c r="J225" s="604"/>
      <c r="K225" s="356" t="s">
        <v>1028</v>
      </c>
      <c r="L225" s="380" t="s">
        <v>1029</v>
      </c>
      <c r="M225" s="123">
        <v>0</v>
      </c>
      <c r="N225" s="123">
        <v>1</v>
      </c>
      <c r="O225" s="123"/>
      <c r="P225" s="123"/>
      <c r="Q225" s="123"/>
      <c r="R225" s="199">
        <v>1</v>
      </c>
      <c r="S225" s="186"/>
      <c r="T225" s="123"/>
      <c r="U225" s="123"/>
      <c r="V225" s="123"/>
      <c r="W225" s="123"/>
      <c r="X225" s="123"/>
      <c r="Y225" s="123"/>
      <c r="Z225" s="123">
        <f t="shared" si="54"/>
        <v>0</v>
      </c>
      <c r="AA225" s="123"/>
      <c r="AB225" s="123"/>
      <c r="AC225" s="123"/>
      <c r="AD225" s="123"/>
      <c r="AE225" s="123"/>
      <c r="AF225" s="123"/>
      <c r="AG225" s="123"/>
      <c r="AH225" s="123">
        <f t="shared" si="69"/>
        <v>0</v>
      </c>
      <c r="AI225" s="123"/>
      <c r="AJ225" s="123"/>
      <c r="AK225" s="123"/>
      <c r="AL225" s="123"/>
      <c r="AM225" s="123"/>
      <c r="AN225" s="123"/>
      <c r="AO225" s="123"/>
      <c r="AP225" s="123">
        <f t="shared" si="70"/>
        <v>0</v>
      </c>
      <c r="AQ225" s="123"/>
      <c r="AR225" s="123"/>
      <c r="AS225" s="123"/>
      <c r="AT225" s="123"/>
      <c r="AU225" s="123"/>
      <c r="AV225" s="123"/>
      <c r="AW225" s="123"/>
      <c r="AX225" s="123">
        <f t="shared" si="71"/>
        <v>0</v>
      </c>
      <c r="AY225" s="123">
        <f t="shared" si="72"/>
        <v>0</v>
      </c>
      <c r="AZ225" s="123">
        <f t="shared" si="72"/>
        <v>0</v>
      </c>
      <c r="BA225" s="123">
        <f t="shared" si="72"/>
        <v>0</v>
      </c>
      <c r="BB225" s="123">
        <f t="shared" si="72"/>
        <v>0</v>
      </c>
      <c r="BC225" s="123">
        <f t="shared" si="72"/>
        <v>0</v>
      </c>
      <c r="BD225" s="123">
        <f t="shared" si="72"/>
        <v>0</v>
      </c>
      <c r="BE225" s="123">
        <f t="shared" si="72"/>
        <v>0</v>
      </c>
      <c r="BF225" s="128">
        <f>+AY225+AZ225+BA225+BB225+BC225+BD225+BE225:BE225</f>
        <v>0</v>
      </c>
      <c r="BG225" s="47"/>
      <c r="BH225" s="47"/>
      <c r="BI225" s="90"/>
      <c r="BJ225" s="90"/>
      <c r="BK225" s="90"/>
      <c r="BL225" s="90"/>
      <c r="BM225" s="90"/>
      <c r="BN225" s="90"/>
      <c r="BO225" s="90"/>
      <c r="BP225" s="90"/>
      <c r="BQ225" s="90"/>
      <c r="BR225" s="90"/>
      <c r="BS225" s="90"/>
      <c r="BT225" s="90"/>
      <c r="BU225" s="90"/>
    </row>
    <row r="226" spans="1:73" s="91" customFormat="1" ht="40.5" customHeight="1" x14ac:dyDescent="0.25">
      <c r="A226" s="707"/>
      <c r="B226" s="712" t="s">
        <v>780</v>
      </c>
      <c r="C226" s="711" t="s">
        <v>157</v>
      </c>
      <c r="D226" s="617"/>
      <c r="E226" s="617"/>
      <c r="F226" s="599"/>
      <c r="G226" s="599"/>
      <c r="H226" s="307" t="s">
        <v>797</v>
      </c>
      <c r="I226" s="307" t="s">
        <v>756</v>
      </c>
      <c r="J226" s="307"/>
      <c r="K226" s="307" t="s">
        <v>218</v>
      </c>
      <c r="L226" s="377" t="s">
        <v>219</v>
      </c>
      <c r="M226" s="310">
        <v>831</v>
      </c>
      <c r="N226" s="310">
        <v>1000</v>
      </c>
      <c r="O226" s="310">
        <v>850</v>
      </c>
      <c r="P226" s="310">
        <v>900</v>
      </c>
      <c r="Q226" s="310">
        <v>950</v>
      </c>
      <c r="R226" s="417">
        <v>1000</v>
      </c>
      <c r="S226" s="418"/>
      <c r="T226" s="310"/>
      <c r="U226" s="310"/>
      <c r="V226" s="310"/>
      <c r="W226" s="310"/>
      <c r="X226" s="310"/>
      <c r="Y226" s="310">
        <v>750</v>
      </c>
      <c r="Z226" s="310">
        <f t="shared" si="54"/>
        <v>750</v>
      </c>
      <c r="AA226" s="310"/>
      <c r="AB226" s="310"/>
      <c r="AC226" s="310"/>
      <c r="AD226" s="310"/>
      <c r="AE226" s="310"/>
      <c r="AF226" s="310"/>
      <c r="AG226" s="310">
        <v>1050</v>
      </c>
      <c r="AH226" s="310">
        <f t="shared" si="69"/>
        <v>1050</v>
      </c>
      <c r="AI226" s="310"/>
      <c r="AJ226" s="310"/>
      <c r="AK226" s="310"/>
      <c r="AL226" s="310"/>
      <c r="AM226" s="310"/>
      <c r="AN226" s="310"/>
      <c r="AO226" s="310">
        <v>1350</v>
      </c>
      <c r="AP226" s="310">
        <f t="shared" si="70"/>
        <v>1350</v>
      </c>
      <c r="AQ226" s="310"/>
      <c r="AR226" s="310"/>
      <c r="AS226" s="310"/>
      <c r="AT226" s="310"/>
      <c r="AU226" s="310"/>
      <c r="AV226" s="310"/>
      <c r="AW226" s="310">
        <v>1500</v>
      </c>
      <c r="AX226" s="310">
        <f t="shared" si="71"/>
        <v>1500</v>
      </c>
      <c r="AY226" s="310">
        <f t="shared" si="72"/>
        <v>0</v>
      </c>
      <c r="AZ226" s="310">
        <f t="shared" si="72"/>
        <v>0</v>
      </c>
      <c r="BA226" s="310">
        <f t="shared" si="72"/>
        <v>0</v>
      </c>
      <c r="BB226" s="310">
        <f t="shared" si="72"/>
        <v>0</v>
      </c>
      <c r="BC226" s="310">
        <f t="shared" si="72"/>
        <v>0</v>
      </c>
      <c r="BD226" s="310">
        <f t="shared" si="72"/>
        <v>0</v>
      </c>
      <c r="BE226" s="310">
        <f t="shared" si="72"/>
        <v>4650</v>
      </c>
      <c r="BF226" s="419">
        <f>+AY226+AZ226+BA226+BB226+BC226+BD226+BE226:BE227</f>
        <v>4650</v>
      </c>
      <c r="BG226" s="47"/>
      <c r="BH226" s="47"/>
      <c r="BI226" s="90"/>
      <c r="BJ226" s="90"/>
      <c r="BK226" s="90"/>
      <c r="BL226" s="90"/>
      <c r="BM226" s="90"/>
      <c r="BN226" s="90"/>
      <c r="BO226" s="90"/>
      <c r="BP226" s="90"/>
      <c r="BQ226" s="90"/>
      <c r="BR226" s="90"/>
      <c r="BS226" s="90"/>
      <c r="BT226" s="90"/>
      <c r="BU226" s="90"/>
    </row>
    <row r="227" spans="1:73" s="91" customFormat="1" ht="40.5" x14ac:dyDescent="0.25">
      <c r="A227" s="707"/>
      <c r="B227" s="712"/>
      <c r="C227" s="712"/>
      <c r="D227" s="617"/>
      <c r="E227" s="617"/>
      <c r="F227" s="599"/>
      <c r="G227" s="599"/>
      <c r="H227" s="355" t="s">
        <v>798</v>
      </c>
      <c r="I227" s="355" t="s">
        <v>757</v>
      </c>
      <c r="J227" s="355"/>
      <c r="K227" s="355" t="s">
        <v>949</v>
      </c>
      <c r="L227" s="379" t="s">
        <v>950</v>
      </c>
      <c r="M227" s="46"/>
      <c r="N227" s="46">
        <v>4</v>
      </c>
      <c r="O227" s="46">
        <v>1</v>
      </c>
      <c r="P227" s="46">
        <v>2</v>
      </c>
      <c r="Q227" s="46">
        <v>4</v>
      </c>
      <c r="R227" s="198">
        <v>4</v>
      </c>
      <c r="S227" s="185"/>
      <c r="T227" s="44"/>
      <c r="U227" s="44"/>
      <c r="V227" s="44"/>
      <c r="W227" s="44"/>
      <c r="X227" s="44"/>
      <c r="Y227" s="44"/>
      <c r="Z227" s="44">
        <f t="shared" si="54"/>
        <v>0</v>
      </c>
      <c r="AA227" s="44"/>
      <c r="AB227" s="44"/>
      <c r="AC227" s="44"/>
      <c r="AD227" s="44"/>
      <c r="AE227" s="44"/>
      <c r="AF227" s="44"/>
      <c r="AG227" s="44"/>
      <c r="AH227" s="44">
        <f t="shared" si="69"/>
        <v>0</v>
      </c>
      <c r="AI227" s="44"/>
      <c r="AJ227" s="44"/>
      <c r="AK227" s="44"/>
      <c r="AL227" s="44"/>
      <c r="AM227" s="44"/>
      <c r="AN227" s="44"/>
      <c r="AO227" s="44"/>
      <c r="AP227" s="44">
        <f t="shared" si="70"/>
        <v>0</v>
      </c>
      <c r="AQ227" s="44"/>
      <c r="AR227" s="44"/>
      <c r="AS227" s="44"/>
      <c r="AT227" s="44"/>
      <c r="AU227" s="44"/>
      <c r="AV227" s="44"/>
      <c r="AW227" s="44"/>
      <c r="AX227" s="44">
        <f t="shared" si="71"/>
        <v>0</v>
      </c>
      <c r="AY227" s="44">
        <f t="shared" si="72"/>
        <v>0</v>
      </c>
      <c r="AZ227" s="44">
        <f t="shared" si="72"/>
        <v>0</v>
      </c>
      <c r="BA227" s="44">
        <f t="shared" si="72"/>
        <v>0</v>
      </c>
      <c r="BB227" s="44">
        <f t="shared" si="72"/>
        <v>0</v>
      </c>
      <c r="BC227" s="44">
        <f t="shared" si="72"/>
        <v>0</v>
      </c>
      <c r="BD227" s="44">
        <f t="shared" si="72"/>
        <v>0</v>
      </c>
      <c r="BE227" s="44">
        <f t="shared" si="72"/>
        <v>0</v>
      </c>
      <c r="BF227" s="83">
        <f>+AY227+AZ227+BA227+BB227+BC227+BD227+BE227:BE228</f>
        <v>0</v>
      </c>
      <c r="BG227" s="47"/>
      <c r="BH227" s="47"/>
      <c r="BI227" s="90"/>
      <c r="BJ227" s="90"/>
      <c r="BK227" s="90"/>
      <c r="BL227" s="90"/>
      <c r="BM227" s="90"/>
      <c r="BN227" s="90"/>
      <c r="BO227" s="90"/>
      <c r="BP227" s="90"/>
      <c r="BQ227" s="90"/>
      <c r="BR227" s="90"/>
      <c r="BS227" s="90"/>
      <c r="BT227" s="90"/>
      <c r="BU227" s="90"/>
    </row>
    <row r="228" spans="1:73" s="91" customFormat="1" ht="67.5" x14ac:dyDescent="0.25">
      <c r="A228" s="707"/>
      <c r="B228" s="712"/>
      <c r="C228" s="712"/>
      <c r="D228" s="617"/>
      <c r="E228" s="617"/>
      <c r="F228" s="599"/>
      <c r="G228" s="599"/>
      <c r="H228" s="603" t="s">
        <v>799</v>
      </c>
      <c r="I228" s="603" t="s">
        <v>758</v>
      </c>
      <c r="J228" s="603"/>
      <c r="K228" s="603" t="s">
        <v>953</v>
      </c>
      <c r="L228" s="420" t="s">
        <v>951</v>
      </c>
      <c r="M228" s="46">
        <v>0</v>
      </c>
      <c r="N228" s="46">
        <v>1</v>
      </c>
      <c r="O228" s="46"/>
      <c r="P228" s="46">
        <v>1</v>
      </c>
      <c r="Q228" s="46">
        <v>1</v>
      </c>
      <c r="R228" s="198">
        <v>1</v>
      </c>
      <c r="S228" s="185"/>
      <c r="T228" s="44"/>
      <c r="U228" s="44"/>
      <c r="V228" s="44"/>
      <c r="W228" s="44"/>
      <c r="X228" s="44"/>
      <c r="Y228" s="44"/>
      <c r="Z228" s="44">
        <f t="shared" si="54"/>
        <v>0</v>
      </c>
      <c r="AA228" s="44"/>
      <c r="AB228" s="44"/>
      <c r="AC228" s="44"/>
      <c r="AD228" s="44">
        <v>500</v>
      </c>
      <c r="AE228" s="44"/>
      <c r="AF228" s="44"/>
      <c r="AG228" s="44"/>
      <c r="AH228" s="44">
        <f t="shared" si="69"/>
        <v>500</v>
      </c>
      <c r="AI228" s="44">
        <v>50</v>
      </c>
      <c r="AJ228" s="44"/>
      <c r="AK228" s="44"/>
      <c r="AL228" s="44">
        <v>100</v>
      </c>
      <c r="AM228" s="44"/>
      <c r="AN228" s="44"/>
      <c r="AO228" s="44"/>
      <c r="AP228" s="44">
        <f t="shared" si="70"/>
        <v>150</v>
      </c>
      <c r="AQ228" s="44">
        <v>50</v>
      </c>
      <c r="AR228" s="44"/>
      <c r="AS228" s="44"/>
      <c r="AT228" s="44"/>
      <c r="AU228" s="44"/>
      <c r="AV228" s="44"/>
      <c r="AW228" s="44"/>
      <c r="AX228" s="44">
        <f t="shared" si="71"/>
        <v>50</v>
      </c>
      <c r="AY228" s="44">
        <f t="shared" si="72"/>
        <v>100</v>
      </c>
      <c r="AZ228" s="44">
        <f t="shared" si="72"/>
        <v>0</v>
      </c>
      <c r="BA228" s="44">
        <f t="shared" si="72"/>
        <v>0</v>
      </c>
      <c r="BB228" s="44">
        <f t="shared" si="72"/>
        <v>600</v>
      </c>
      <c r="BC228" s="44">
        <f t="shared" si="72"/>
        <v>0</v>
      </c>
      <c r="BD228" s="44">
        <f t="shared" si="72"/>
        <v>0</v>
      </c>
      <c r="BE228" s="44">
        <f t="shared" si="72"/>
        <v>0</v>
      </c>
      <c r="BF228" s="83">
        <f>+AY228+AZ228+BA228+BB228+BC228+BD228+BE228:BE229</f>
        <v>700</v>
      </c>
      <c r="BG228" s="47"/>
      <c r="BH228" s="47"/>
      <c r="BI228" s="90"/>
      <c r="BJ228" s="90"/>
      <c r="BK228" s="90"/>
      <c r="BL228" s="90"/>
      <c r="BM228" s="90"/>
      <c r="BN228" s="90"/>
      <c r="BO228" s="90"/>
      <c r="BP228" s="90"/>
      <c r="BQ228" s="90"/>
      <c r="BR228" s="90"/>
      <c r="BS228" s="90"/>
      <c r="BT228" s="90"/>
      <c r="BU228" s="90"/>
    </row>
    <row r="229" spans="1:73" s="91" customFormat="1" ht="54" x14ac:dyDescent="0.25">
      <c r="A229" s="707"/>
      <c r="B229" s="712"/>
      <c r="C229" s="712"/>
      <c r="D229" s="617"/>
      <c r="E229" s="617"/>
      <c r="F229" s="599"/>
      <c r="G229" s="599"/>
      <c r="H229" s="603"/>
      <c r="I229" s="603"/>
      <c r="J229" s="603"/>
      <c r="K229" s="603"/>
      <c r="L229" s="421" t="s">
        <v>952</v>
      </c>
      <c r="M229" s="46">
        <v>0</v>
      </c>
      <c r="N229" s="46">
        <v>7</v>
      </c>
      <c r="O229" s="46">
        <v>1</v>
      </c>
      <c r="P229" s="46">
        <v>2</v>
      </c>
      <c r="Q229" s="46">
        <v>2</v>
      </c>
      <c r="R229" s="198">
        <v>2</v>
      </c>
      <c r="S229" s="185"/>
      <c r="T229" s="44"/>
      <c r="U229" s="44"/>
      <c r="V229" s="44"/>
      <c r="W229" s="44"/>
      <c r="X229" s="44"/>
      <c r="Y229" s="44"/>
      <c r="Z229" s="44">
        <f t="shared" si="54"/>
        <v>0</v>
      </c>
      <c r="AA229" s="44"/>
      <c r="AB229" s="44"/>
      <c r="AC229" s="44"/>
      <c r="AD229" s="44"/>
      <c r="AE229" s="44"/>
      <c r="AF229" s="44"/>
      <c r="AG229" s="44"/>
      <c r="AH229" s="44">
        <f t="shared" si="69"/>
        <v>0</v>
      </c>
      <c r="AI229" s="44"/>
      <c r="AJ229" s="44"/>
      <c r="AK229" s="44"/>
      <c r="AL229" s="44"/>
      <c r="AM229" s="44"/>
      <c r="AN229" s="44"/>
      <c r="AO229" s="44"/>
      <c r="AP229" s="44">
        <f t="shared" si="70"/>
        <v>0</v>
      </c>
      <c r="AQ229" s="44"/>
      <c r="AR229" s="44"/>
      <c r="AS229" s="44"/>
      <c r="AT229" s="44"/>
      <c r="AU229" s="44"/>
      <c r="AV229" s="44"/>
      <c r="AW229" s="44"/>
      <c r="AX229" s="44">
        <f t="shared" si="71"/>
        <v>0</v>
      </c>
      <c r="AY229" s="44">
        <f t="shared" si="72"/>
        <v>0</v>
      </c>
      <c r="AZ229" s="44">
        <f t="shared" si="72"/>
        <v>0</v>
      </c>
      <c r="BA229" s="44">
        <f t="shared" si="72"/>
        <v>0</v>
      </c>
      <c r="BB229" s="44">
        <f t="shared" si="72"/>
        <v>0</v>
      </c>
      <c r="BC229" s="44">
        <f t="shared" si="72"/>
        <v>0</v>
      </c>
      <c r="BD229" s="44">
        <f t="shared" si="72"/>
        <v>0</v>
      </c>
      <c r="BE229" s="44">
        <f t="shared" si="72"/>
        <v>0</v>
      </c>
      <c r="BF229" s="83">
        <f>+AY229+AZ229+BA229+BB229+BC229+BD229+BE229:BE232</f>
        <v>0</v>
      </c>
      <c r="BG229" s="47"/>
      <c r="BH229" s="47"/>
      <c r="BI229" s="90"/>
      <c r="BJ229" s="90"/>
      <c r="BK229" s="90"/>
      <c r="BL229" s="90"/>
      <c r="BM229" s="90"/>
      <c r="BN229" s="90"/>
      <c r="BO229" s="90"/>
      <c r="BP229" s="90"/>
      <c r="BQ229" s="90"/>
      <c r="BR229" s="90"/>
      <c r="BS229" s="90"/>
      <c r="BT229" s="90"/>
      <c r="BU229" s="90"/>
    </row>
    <row r="230" spans="1:73" s="91" customFormat="1" ht="40.5" x14ac:dyDescent="0.25">
      <c r="A230" s="707"/>
      <c r="B230" s="712"/>
      <c r="C230" s="712"/>
      <c r="D230" s="617"/>
      <c r="E230" s="617"/>
      <c r="F230" s="599"/>
      <c r="G230" s="599"/>
      <c r="H230" s="603" t="s">
        <v>800</v>
      </c>
      <c r="I230" s="603" t="s">
        <v>759</v>
      </c>
      <c r="J230" s="652" t="s">
        <v>954</v>
      </c>
      <c r="K230" s="355" t="s">
        <v>222</v>
      </c>
      <c r="L230" s="379" t="s">
        <v>223</v>
      </c>
      <c r="M230" s="46">
        <v>1175</v>
      </c>
      <c r="N230" s="46">
        <v>1500</v>
      </c>
      <c r="O230" s="46">
        <v>1500</v>
      </c>
      <c r="P230" s="46">
        <v>1500</v>
      </c>
      <c r="Q230" s="46">
        <v>1500</v>
      </c>
      <c r="R230" s="198">
        <v>1500</v>
      </c>
      <c r="S230" s="185"/>
      <c r="T230" s="44"/>
      <c r="U230" s="44"/>
      <c r="V230" s="185">
        <v>70</v>
      </c>
      <c r="W230" s="44"/>
      <c r="X230" s="44"/>
      <c r="Y230" s="44"/>
      <c r="Z230" s="44">
        <f t="shared" si="54"/>
        <v>70</v>
      </c>
      <c r="AA230" s="44"/>
      <c r="AB230" s="44"/>
      <c r="AC230" s="44"/>
      <c r="AD230" s="44">
        <v>72</v>
      </c>
      <c r="AE230" s="44"/>
      <c r="AF230" s="44"/>
      <c r="AG230" s="44"/>
      <c r="AH230" s="44">
        <f t="shared" si="69"/>
        <v>72</v>
      </c>
      <c r="AI230" s="44"/>
      <c r="AJ230" s="44"/>
      <c r="AK230" s="44"/>
      <c r="AL230" s="44">
        <v>75</v>
      </c>
      <c r="AM230" s="44"/>
      <c r="AN230" s="44"/>
      <c r="AO230" s="44"/>
      <c r="AP230" s="44">
        <f t="shared" si="70"/>
        <v>75</v>
      </c>
      <c r="AQ230" s="44"/>
      <c r="AR230" s="44"/>
      <c r="AS230" s="44"/>
      <c r="AT230" s="44">
        <v>77</v>
      </c>
      <c r="AU230" s="44"/>
      <c r="AV230" s="44"/>
      <c r="AW230" s="44"/>
      <c r="AX230" s="44">
        <f t="shared" si="71"/>
        <v>77</v>
      </c>
      <c r="AY230" s="44">
        <f t="shared" ref="AY230:BE232" si="78">+S230+AA230+AI230+AQ230</f>
        <v>0</v>
      </c>
      <c r="AZ230" s="44">
        <f t="shared" si="78"/>
        <v>0</v>
      </c>
      <c r="BA230" s="44">
        <f t="shared" si="78"/>
        <v>0</v>
      </c>
      <c r="BB230" s="44">
        <f t="shared" si="78"/>
        <v>294</v>
      </c>
      <c r="BC230" s="44">
        <f t="shared" si="78"/>
        <v>0</v>
      </c>
      <c r="BD230" s="44">
        <f t="shared" si="78"/>
        <v>0</v>
      </c>
      <c r="BE230" s="44">
        <f t="shared" si="78"/>
        <v>0</v>
      </c>
      <c r="BF230" s="83">
        <f>+AY230+AZ230+BA230+BB230+BC230+BD230+BE230:BE233</f>
        <v>294</v>
      </c>
      <c r="BG230" s="47"/>
      <c r="BH230" s="47"/>
      <c r="BI230" s="90"/>
      <c r="BJ230" s="90"/>
      <c r="BK230" s="90"/>
      <c r="BL230" s="90"/>
      <c r="BM230" s="90"/>
      <c r="BN230" s="90"/>
      <c r="BO230" s="90"/>
      <c r="BP230" s="90"/>
      <c r="BQ230" s="90"/>
      <c r="BR230" s="90"/>
      <c r="BS230" s="90"/>
      <c r="BT230" s="90"/>
      <c r="BU230" s="90"/>
    </row>
    <row r="231" spans="1:73" s="91" customFormat="1" ht="27" x14ac:dyDescent="0.25">
      <c r="A231" s="707"/>
      <c r="B231" s="712"/>
      <c r="C231" s="712"/>
      <c r="D231" s="617"/>
      <c r="E231" s="617"/>
      <c r="F231" s="599"/>
      <c r="G231" s="599"/>
      <c r="H231" s="603"/>
      <c r="I231" s="603"/>
      <c r="J231" s="602"/>
      <c r="K231" s="355" t="s">
        <v>226</v>
      </c>
      <c r="L231" s="379" t="s">
        <v>227</v>
      </c>
      <c r="M231" s="46">
        <v>0</v>
      </c>
      <c r="N231" s="46">
        <v>1</v>
      </c>
      <c r="O231" s="46">
        <v>1</v>
      </c>
      <c r="P231" s="46"/>
      <c r="Q231" s="46"/>
      <c r="R231" s="198"/>
      <c r="S231" s="185"/>
      <c r="T231" s="44"/>
      <c r="U231" s="44"/>
      <c r="V231" s="185">
        <v>4</v>
      </c>
      <c r="W231" s="44"/>
      <c r="X231" s="44"/>
      <c r="Y231" s="44">
        <v>20</v>
      </c>
      <c r="Z231" s="44">
        <f t="shared" si="54"/>
        <v>24</v>
      </c>
      <c r="AA231" s="44"/>
      <c r="AB231" s="44"/>
      <c r="AC231" s="44"/>
      <c r="AD231" s="44"/>
      <c r="AE231" s="44"/>
      <c r="AF231" s="44"/>
      <c r="AG231" s="44"/>
      <c r="AH231" s="44">
        <f t="shared" si="69"/>
        <v>0</v>
      </c>
      <c r="AI231" s="44"/>
      <c r="AJ231" s="44"/>
      <c r="AK231" s="44"/>
      <c r="AL231" s="44"/>
      <c r="AM231" s="44"/>
      <c r="AN231" s="44"/>
      <c r="AO231" s="44"/>
      <c r="AP231" s="44">
        <f t="shared" si="70"/>
        <v>0</v>
      </c>
      <c r="AQ231" s="44"/>
      <c r="AR231" s="44"/>
      <c r="AS231" s="44"/>
      <c r="AT231" s="44"/>
      <c r="AU231" s="44"/>
      <c r="AV231" s="44"/>
      <c r="AW231" s="44"/>
      <c r="AX231" s="44">
        <f t="shared" si="71"/>
        <v>0</v>
      </c>
      <c r="AY231" s="44">
        <f t="shared" si="78"/>
        <v>0</v>
      </c>
      <c r="AZ231" s="44">
        <f t="shared" si="78"/>
        <v>0</v>
      </c>
      <c r="BA231" s="44">
        <f t="shared" si="78"/>
        <v>0</v>
      </c>
      <c r="BB231" s="44">
        <f t="shared" si="78"/>
        <v>4</v>
      </c>
      <c r="BC231" s="44">
        <f t="shared" si="78"/>
        <v>0</v>
      </c>
      <c r="BD231" s="44">
        <f t="shared" si="78"/>
        <v>0</v>
      </c>
      <c r="BE231" s="44">
        <f t="shared" si="78"/>
        <v>20</v>
      </c>
      <c r="BF231" s="83">
        <f>+AY231+AZ231+BA231+BB231+BC231+BD231+BE231:BE235</f>
        <v>24</v>
      </c>
      <c r="BG231" s="47"/>
      <c r="BH231" s="47"/>
      <c r="BI231" s="90"/>
      <c r="BJ231" s="90"/>
      <c r="BK231" s="90"/>
      <c r="BL231" s="90"/>
      <c r="BM231" s="90"/>
      <c r="BN231" s="90"/>
      <c r="BO231" s="90"/>
      <c r="BP231" s="90"/>
      <c r="BQ231" s="90"/>
      <c r="BR231" s="90"/>
      <c r="BS231" s="90"/>
      <c r="BT231" s="90"/>
      <c r="BU231" s="90"/>
    </row>
    <row r="232" spans="1:73" s="91" customFormat="1" ht="27" x14ac:dyDescent="0.25">
      <c r="A232" s="707"/>
      <c r="B232" s="712"/>
      <c r="C232" s="712"/>
      <c r="D232" s="617"/>
      <c r="E232" s="617"/>
      <c r="F232" s="599"/>
      <c r="G232" s="599"/>
      <c r="H232" s="603"/>
      <c r="I232" s="603"/>
      <c r="J232" s="652" t="s">
        <v>955</v>
      </c>
      <c r="K232" s="355" t="s">
        <v>220</v>
      </c>
      <c r="L232" s="379" t="s">
        <v>221</v>
      </c>
      <c r="M232" s="46">
        <v>3</v>
      </c>
      <c r="N232" s="46">
        <v>10</v>
      </c>
      <c r="O232" s="46">
        <v>5</v>
      </c>
      <c r="P232" s="46">
        <v>7</v>
      </c>
      <c r="Q232" s="46">
        <v>8</v>
      </c>
      <c r="R232" s="198">
        <v>10</v>
      </c>
      <c r="S232" s="185"/>
      <c r="T232" s="44"/>
      <c r="U232" s="44"/>
      <c r="V232" s="185">
        <v>45</v>
      </c>
      <c r="W232" s="44"/>
      <c r="X232" s="44"/>
      <c r="Y232" s="44"/>
      <c r="Z232" s="44">
        <f t="shared" si="54"/>
        <v>45</v>
      </c>
      <c r="AA232" s="44"/>
      <c r="AB232" s="44"/>
      <c r="AC232" s="44"/>
      <c r="AD232" s="44">
        <v>46</v>
      </c>
      <c r="AE232" s="44"/>
      <c r="AF232" s="44"/>
      <c r="AG232" s="44"/>
      <c r="AH232" s="44">
        <f t="shared" si="69"/>
        <v>46</v>
      </c>
      <c r="AI232" s="44"/>
      <c r="AJ232" s="44"/>
      <c r="AK232" s="44"/>
      <c r="AL232" s="44">
        <v>48</v>
      </c>
      <c r="AM232" s="44"/>
      <c r="AN232" s="44"/>
      <c r="AO232" s="44"/>
      <c r="AP232" s="44">
        <f t="shared" si="70"/>
        <v>48</v>
      </c>
      <c r="AQ232" s="44">
        <v>16</v>
      </c>
      <c r="AR232" s="44"/>
      <c r="AS232" s="44"/>
      <c r="AT232" s="44">
        <v>50</v>
      </c>
      <c r="AU232" s="44"/>
      <c r="AV232" s="44"/>
      <c r="AW232" s="44"/>
      <c r="AX232" s="44">
        <f t="shared" si="71"/>
        <v>66</v>
      </c>
      <c r="AY232" s="44">
        <f t="shared" si="78"/>
        <v>16</v>
      </c>
      <c r="AZ232" s="44">
        <f t="shared" si="78"/>
        <v>0</v>
      </c>
      <c r="BA232" s="44">
        <f t="shared" si="78"/>
        <v>0</v>
      </c>
      <c r="BB232" s="44">
        <f t="shared" si="78"/>
        <v>189</v>
      </c>
      <c r="BC232" s="44">
        <f t="shared" si="78"/>
        <v>0</v>
      </c>
      <c r="BD232" s="44">
        <f t="shared" si="78"/>
        <v>0</v>
      </c>
      <c r="BE232" s="44">
        <f t="shared" si="78"/>
        <v>0</v>
      </c>
      <c r="BF232" s="83">
        <f>+AY232+AZ232+BA232+BB232+BC232+BD232+BE231:BE232</f>
        <v>205</v>
      </c>
      <c r="BG232" s="47"/>
      <c r="BH232" s="47"/>
      <c r="BI232" s="90"/>
      <c r="BJ232" s="90"/>
      <c r="BK232" s="90"/>
      <c r="BL232" s="90"/>
      <c r="BM232" s="90"/>
      <c r="BN232" s="90"/>
      <c r="BO232" s="90"/>
      <c r="BP232" s="90"/>
      <c r="BQ232" s="90"/>
      <c r="BR232" s="90"/>
      <c r="BS232" s="90"/>
      <c r="BT232" s="90"/>
      <c r="BU232" s="90"/>
    </row>
    <row r="233" spans="1:73" s="91" customFormat="1" ht="40.5" x14ac:dyDescent="0.25">
      <c r="A233" s="707"/>
      <c r="B233" s="712"/>
      <c r="C233" s="712"/>
      <c r="D233" s="617"/>
      <c r="E233" s="617"/>
      <c r="F233" s="599"/>
      <c r="G233" s="599"/>
      <c r="H233" s="603"/>
      <c r="I233" s="603"/>
      <c r="J233" s="602"/>
      <c r="K233" s="261" t="s">
        <v>224</v>
      </c>
      <c r="L233" s="364" t="s">
        <v>225</v>
      </c>
      <c r="M233" s="262">
        <v>85</v>
      </c>
      <c r="N233" s="262">
        <v>170</v>
      </c>
      <c r="O233" s="262">
        <v>170</v>
      </c>
      <c r="P233" s="262">
        <v>170</v>
      </c>
      <c r="Q233" s="262">
        <v>170</v>
      </c>
      <c r="R233" s="263">
        <v>170</v>
      </c>
      <c r="S233" s="185"/>
      <c r="T233" s="44"/>
      <c r="U233" s="44"/>
      <c r="V233" s="185">
        <v>63</v>
      </c>
      <c r="W233" s="44">
        <v>200</v>
      </c>
      <c r="X233" s="44"/>
      <c r="Y233" s="44">
        <v>80</v>
      </c>
      <c r="Z233" s="44">
        <f t="shared" si="54"/>
        <v>343</v>
      </c>
      <c r="AA233" s="44"/>
      <c r="AB233" s="44"/>
      <c r="AC233" s="44"/>
      <c r="AD233" s="44">
        <v>65</v>
      </c>
      <c r="AE233" s="44">
        <v>200</v>
      </c>
      <c r="AF233" s="44"/>
      <c r="AG233" s="44">
        <v>84</v>
      </c>
      <c r="AH233" s="44">
        <f t="shared" si="69"/>
        <v>349</v>
      </c>
      <c r="AI233" s="44"/>
      <c r="AJ233" s="44"/>
      <c r="AK233" s="44"/>
      <c r="AL233" s="44">
        <v>68</v>
      </c>
      <c r="AM233" s="44">
        <v>200</v>
      </c>
      <c r="AN233" s="44"/>
      <c r="AO233" s="44">
        <v>87</v>
      </c>
      <c r="AP233" s="44">
        <f t="shared" si="70"/>
        <v>355</v>
      </c>
      <c r="AQ233" s="44"/>
      <c r="AR233" s="44"/>
      <c r="AS233" s="44"/>
      <c r="AT233" s="44">
        <v>70</v>
      </c>
      <c r="AU233" s="44">
        <v>200</v>
      </c>
      <c r="AV233" s="44"/>
      <c r="AW233" s="44">
        <v>90</v>
      </c>
      <c r="AX233" s="44">
        <f t="shared" si="71"/>
        <v>360</v>
      </c>
      <c r="AY233" s="44">
        <f t="shared" ref="AY233:BE234" si="79">+S233+AA233+AI233+AQ233</f>
        <v>0</v>
      </c>
      <c r="AZ233" s="44">
        <f t="shared" si="79"/>
        <v>0</v>
      </c>
      <c r="BA233" s="44">
        <f t="shared" si="79"/>
        <v>0</v>
      </c>
      <c r="BB233" s="44">
        <f t="shared" si="79"/>
        <v>266</v>
      </c>
      <c r="BC233" s="44">
        <f t="shared" si="79"/>
        <v>800</v>
      </c>
      <c r="BD233" s="44">
        <f t="shared" si="79"/>
        <v>0</v>
      </c>
      <c r="BE233" s="44">
        <f t="shared" si="79"/>
        <v>341</v>
      </c>
      <c r="BF233" s="83">
        <f>+AY233+AZ233+BA233+BB233+BC233+BD233+BE233:BE233</f>
        <v>1407</v>
      </c>
      <c r="BG233" s="47"/>
      <c r="BH233" s="47"/>
      <c r="BI233" s="90"/>
      <c r="BJ233" s="90"/>
      <c r="BK233" s="90"/>
      <c r="BL233" s="90"/>
      <c r="BM233" s="90"/>
      <c r="BN233" s="90"/>
      <c r="BO233" s="90"/>
      <c r="BP233" s="90"/>
      <c r="BQ233" s="90"/>
      <c r="BR233" s="90"/>
      <c r="BS233" s="90"/>
      <c r="BT233" s="90"/>
      <c r="BU233" s="90"/>
    </row>
    <row r="234" spans="1:73" s="91" customFormat="1" ht="27.75" thickBot="1" x14ac:dyDescent="0.3">
      <c r="A234" s="707"/>
      <c r="B234" s="712"/>
      <c r="C234" s="713"/>
      <c r="D234" s="617"/>
      <c r="E234" s="617"/>
      <c r="F234" s="599"/>
      <c r="G234" s="599"/>
      <c r="H234" s="261" t="s">
        <v>956</v>
      </c>
      <c r="I234" s="261" t="s">
        <v>957</v>
      </c>
      <c r="J234" s="422"/>
      <c r="K234" s="487" t="s">
        <v>958</v>
      </c>
      <c r="L234" s="406" t="s">
        <v>959</v>
      </c>
      <c r="M234" s="423">
        <v>0</v>
      </c>
      <c r="N234" s="423">
        <v>3</v>
      </c>
      <c r="O234" s="423">
        <v>3</v>
      </c>
      <c r="P234" s="423">
        <v>3</v>
      </c>
      <c r="Q234" s="423">
        <v>3</v>
      </c>
      <c r="R234" s="424">
        <v>3</v>
      </c>
      <c r="S234" s="267"/>
      <c r="T234" s="268"/>
      <c r="U234" s="268"/>
      <c r="V234" s="267">
        <v>10</v>
      </c>
      <c r="W234" s="268"/>
      <c r="X234" s="268"/>
      <c r="Y234" s="268"/>
      <c r="Z234" s="268">
        <f t="shared" si="54"/>
        <v>10</v>
      </c>
      <c r="AA234" s="268"/>
      <c r="AB234" s="268"/>
      <c r="AC234" s="268"/>
      <c r="AD234" s="268"/>
      <c r="AE234" s="268"/>
      <c r="AF234" s="268"/>
      <c r="AG234" s="268"/>
      <c r="AH234" s="268">
        <f t="shared" si="69"/>
        <v>0</v>
      </c>
      <c r="AI234" s="268"/>
      <c r="AJ234" s="268"/>
      <c r="AK234" s="268"/>
      <c r="AL234" s="268"/>
      <c r="AM234" s="268"/>
      <c r="AN234" s="268"/>
      <c r="AO234" s="268"/>
      <c r="AP234" s="268">
        <f t="shared" si="70"/>
        <v>0</v>
      </c>
      <c r="AQ234" s="268"/>
      <c r="AR234" s="268"/>
      <c r="AS234" s="268"/>
      <c r="AT234" s="268"/>
      <c r="AU234" s="268"/>
      <c r="AV234" s="268"/>
      <c r="AW234" s="268"/>
      <c r="AX234" s="268">
        <f t="shared" si="71"/>
        <v>0</v>
      </c>
      <c r="AY234" s="268">
        <f t="shared" si="79"/>
        <v>0</v>
      </c>
      <c r="AZ234" s="268">
        <f t="shared" si="79"/>
        <v>0</v>
      </c>
      <c r="BA234" s="268">
        <f t="shared" si="79"/>
        <v>0</v>
      </c>
      <c r="BB234" s="268">
        <f t="shared" si="79"/>
        <v>10</v>
      </c>
      <c r="BC234" s="268">
        <f>+W234+AE234+AM234+AU234</f>
        <v>0</v>
      </c>
      <c r="BD234" s="268">
        <f>+X234+AF234+AN234+AV234</f>
        <v>0</v>
      </c>
      <c r="BE234" s="268">
        <f>+Y234+AG234+AO234+AW234</f>
        <v>0</v>
      </c>
      <c r="BF234" s="425">
        <f>+AY234+AZ234+BA234+BB234+BC234+BD234+BE234:BE234</f>
        <v>10</v>
      </c>
      <c r="BG234" s="47"/>
      <c r="BH234" s="47"/>
      <c r="BI234" s="90"/>
      <c r="BJ234" s="90"/>
      <c r="BK234" s="90"/>
      <c r="BL234" s="90"/>
      <c r="BM234" s="90"/>
      <c r="BN234" s="90"/>
      <c r="BO234" s="90"/>
      <c r="BP234" s="90"/>
      <c r="BQ234" s="90"/>
      <c r="BR234" s="90"/>
      <c r="BS234" s="90"/>
      <c r="BT234" s="90"/>
      <c r="BU234" s="90"/>
    </row>
    <row r="235" spans="1:73" s="91" customFormat="1" ht="81" x14ac:dyDescent="0.25">
      <c r="A235" s="707"/>
      <c r="B235" s="626" t="s">
        <v>781</v>
      </c>
      <c r="C235" s="626" t="s">
        <v>947</v>
      </c>
      <c r="D235" s="606"/>
      <c r="E235" s="606"/>
      <c r="F235" s="624"/>
      <c r="G235" s="624"/>
      <c r="H235" s="657" t="s">
        <v>801</v>
      </c>
      <c r="I235" s="657" t="s">
        <v>862</v>
      </c>
      <c r="J235" s="360" t="s">
        <v>863</v>
      </c>
      <c r="K235" s="360" t="s">
        <v>864</v>
      </c>
      <c r="L235" s="378" t="s">
        <v>1408</v>
      </c>
      <c r="M235" s="118">
        <v>0</v>
      </c>
      <c r="N235" s="118">
        <v>1</v>
      </c>
      <c r="O235" s="118"/>
      <c r="P235" s="118"/>
      <c r="Q235" s="118">
        <v>1</v>
      </c>
      <c r="R235" s="200"/>
      <c r="S235" s="187"/>
      <c r="T235" s="124"/>
      <c r="U235" s="124"/>
      <c r="V235" s="124"/>
      <c r="W235" s="124"/>
      <c r="X235" s="124"/>
      <c r="Y235" s="124">
        <f>SUM(S235:X235)</f>
        <v>0</v>
      </c>
      <c r="Z235" s="124">
        <f t="shared" si="54"/>
        <v>0</v>
      </c>
      <c r="AA235" s="124"/>
      <c r="AB235" s="124"/>
      <c r="AC235" s="124"/>
      <c r="AD235" s="124"/>
      <c r="AE235" s="124"/>
      <c r="AF235" s="124"/>
      <c r="AG235" s="124"/>
      <c r="AH235" s="124">
        <f t="shared" ref="AH235:AH269" si="80">SUM(AA235:AG235)</f>
        <v>0</v>
      </c>
      <c r="AI235" s="124">
        <v>80</v>
      </c>
      <c r="AJ235" s="124"/>
      <c r="AK235" s="124"/>
      <c r="AL235" s="124">
        <v>200</v>
      </c>
      <c r="AM235" s="124"/>
      <c r="AN235" s="124"/>
      <c r="AO235" s="124"/>
      <c r="AP235" s="124">
        <f t="shared" ref="AP235:AP269" si="81">SUM(AI235:AO235)</f>
        <v>280</v>
      </c>
      <c r="AQ235" s="124"/>
      <c r="AR235" s="124"/>
      <c r="AS235" s="124"/>
      <c r="AT235" s="124"/>
      <c r="AU235" s="124">
        <f t="shared" ref="AU235:AW236" si="82">+S235+Z235+AG235+AN235</f>
        <v>0</v>
      </c>
      <c r="AV235" s="124">
        <f t="shared" si="82"/>
        <v>0</v>
      </c>
      <c r="AW235" s="124">
        <f t="shared" si="82"/>
        <v>360</v>
      </c>
      <c r="AX235" s="124">
        <f t="shared" ref="AX235:AX269" si="83">SUM(AQ235:AW235)</f>
        <v>360</v>
      </c>
      <c r="AY235" s="124">
        <f t="shared" ref="AY235:BE269" si="84">+S235+AA235+AI235+AQ235</f>
        <v>80</v>
      </c>
      <c r="AZ235" s="124">
        <f t="shared" si="84"/>
        <v>0</v>
      </c>
      <c r="BA235" s="124">
        <f t="shared" si="84"/>
        <v>0</v>
      </c>
      <c r="BB235" s="124">
        <f t="shared" si="84"/>
        <v>200</v>
      </c>
      <c r="BC235" s="124">
        <f t="shared" si="84"/>
        <v>0</v>
      </c>
      <c r="BD235" s="124">
        <f t="shared" si="84"/>
        <v>0</v>
      </c>
      <c r="BE235" s="124">
        <f t="shared" si="84"/>
        <v>360</v>
      </c>
      <c r="BF235" s="125">
        <f t="shared" ref="BF235:BF269" si="85">+AY235+AZ235+BA235+BB235+BC235+BD235+BE235:BE236</f>
        <v>640</v>
      </c>
      <c r="BG235" s="47"/>
      <c r="BH235" s="47"/>
      <c r="BI235" s="90"/>
      <c r="BJ235" s="90"/>
      <c r="BK235" s="90"/>
      <c r="BL235" s="90"/>
      <c r="BM235" s="90"/>
      <c r="BN235" s="90"/>
      <c r="BO235" s="90"/>
      <c r="BP235" s="90"/>
      <c r="BQ235" s="90"/>
      <c r="BR235" s="90"/>
      <c r="BS235" s="90"/>
      <c r="BT235" s="90"/>
      <c r="BU235" s="90"/>
    </row>
    <row r="236" spans="1:73" s="91" customFormat="1" ht="54" x14ac:dyDescent="0.25">
      <c r="A236" s="707"/>
      <c r="B236" s="627"/>
      <c r="C236" s="627"/>
      <c r="D236" s="603"/>
      <c r="E236" s="603"/>
      <c r="F236" s="612"/>
      <c r="G236" s="612"/>
      <c r="H236" s="641"/>
      <c r="I236" s="641"/>
      <c r="J236" s="355" t="s">
        <v>865</v>
      </c>
      <c r="K236" s="355" t="s">
        <v>521</v>
      </c>
      <c r="L236" s="379" t="s">
        <v>523</v>
      </c>
      <c r="M236" s="46">
        <v>0</v>
      </c>
      <c r="N236" s="46">
        <v>1</v>
      </c>
      <c r="O236" s="46"/>
      <c r="P236" s="46"/>
      <c r="Q236" s="46">
        <v>1</v>
      </c>
      <c r="R236" s="201"/>
      <c r="S236" s="185"/>
      <c r="T236" s="44"/>
      <c r="U236" s="44"/>
      <c r="V236" s="44"/>
      <c r="W236" s="44"/>
      <c r="X236" s="44"/>
      <c r="Y236" s="44">
        <f>SUM(S236:X236)</f>
        <v>0</v>
      </c>
      <c r="Z236" s="44">
        <f t="shared" si="54"/>
        <v>0</v>
      </c>
      <c r="AA236" s="44"/>
      <c r="AB236" s="44"/>
      <c r="AC236" s="44"/>
      <c r="AD236" s="44"/>
      <c r="AE236" s="44"/>
      <c r="AF236" s="44"/>
      <c r="AG236" s="44"/>
      <c r="AH236" s="44">
        <f t="shared" si="80"/>
        <v>0</v>
      </c>
      <c r="AI236" s="44"/>
      <c r="AJ236" s="44"/>
      <c r="AK236" s="44"/>
      <c r="AL236" s="44">
        <v>100</v>
      </c>
      <c r="AM236" s="44"/>
      <c r="AN236" s="44"/>
      <c r="AO236" s="44"/>
      <c r="AP236" s="44">
        <f t="shared" si="81"/>
        <v>100</v>
      </c>
      <c r="AQ236" s="44"/>
      <c r="AR236" s="44"/>
      <c r="AS236" s="44"/>
      <c r="AT236" s="44"/>
      <c r="AU236" s="44">
        <f t="shared" si="82"/>
        <v>0</v>
      </c>
      <c r="AV236" s="44">
        <f t="shared" si="82"/>
        <v>0</v>
      </c>
      <c r="AW236" s="44">
        <f t="shared" si="82"/>
        <v>100</v>
      </c>
      <c r="AX236" s="44">
        <f t="shared" si="83"/>
        <v>100</v>
      </c>
      <c r="AY236" s="44">
        <f t="shared" si="84"/>
        <v>0</v>
      </c>
      <c r="AZ236" s="44">
        <f t="shared" si="84"/>
        <v>0</v>
      </c>
      <c r="BA236" s="44">
        <f t="shared" si="84"/>
        <v>0</v>
      </c>
      <c r="BB236" s="44">
        <f t="shared" si="84"/>
        <v>100</v>
      </c>
      <c r="BC236" s="44">
        <f t="shared" si="84"/>
        <v>0</v>
      </c>
      <c r="BD236" s="44">
        <f t="shared" si="84"/>
        <v>0</v>
      </c>
      <c r="BE236" s="44">
        <f t="shared" si="84"/>
        <v>100</v>
      </c>
      <c r="BF236" s="83">
        <f t="shared" si="85"/>
        <v>200</v>
      </c>
      <c r="BG236" s="47"/>
      <c r="BH236" s="47"/>
      <c r="BI236" s="90"/>
      <c r="BJ236" s="90"/>
      <c r="BK236" s="90"/>
      <c r="BL236" s="90"/>
      <c r="BM236" s="90"/>
      <c r="BN236" s="90"/>
      <c r="BO236" s="90"/>
      <c r="BP236" s="90"/>
      <c r="BQ236" s="90"/>
      <c r="BR236" s="90"/>
      <c r="BS236" s="90"/>
      <c r="BT236" s="90"/>
      <c r="BU236" s="90"/>
    </row>
    <row r="237" spans="1:73" s="91" customFormat="1" ht="54" x14ac:dyDescent="0.25">
      <c r="A237" s="707"/>
      <c r="B237" s="627"/>
      <c r="C237" s="627"/>
      <c r="D237" s="603"/>
      <c r="E237" s="603"/>
      <c r="F237" s="612"/>
      <c r="G237" s="612"/>
      <c r="H237" s="656" t="s">
        <v>802</v>
      </c>
      <c r="I237" s="643" t="s">
        <v>866</v>
      </c>
      <c r="J237" s="640" t="s">
        <v>867</v>
      </c>
      <c r="K237" s="355" t="s">
        <v>868</v>
      </c>
      <c r="L237" s="379" t="s">
        <v>869</v>
      </c>
      <c r="M237" s="84">
        <v>0</v>
      </c>
      <c r="N237" s="84">
        <v>7</v>
      </c>
      <c r="O237" s="84">
        <v>7</v>
      </c>
      <c r="P237" s="84"/>
      <c r="Q237" s="84"/>
      <c r="R237" s="202"/>
      <c r="S237" s="188"/>
      <c r="T237" s="85"/>
      <c r="U237" s="85"/>
      <c r="V237" s="85"/>
      <c r="W237" s="85"/>
      <c r="X237" s="85"/>
      <c r="Y237" s="85">
        <v>29</v>
      </c>
      <c r="Z237" s="44">
        <f t="shared" si="54"/>
        <v>29</v>
      </c>
      <c r="AA237" s="85"/>
      <c r="AB237" s="85"/>
      <c r="AC237" s="85"/>
      <c r="AD237" s="85"/>
      <c r="AE237" s="85"/>
      <c r="AF237" s="85"/>
      <c r="AG237" s="85"/>
      <c r="AH237" s="44">
        <f t="shared" si="80"/>
        <v>0</v>
      </c>
      <c r="AI237" s="85"/>
      <c r="AJ237" s="85"/>
      <c r="AK237" s="85"/>
      <c r="AL237" s="85"/>
      <c r="AM237" s="85"/>
      <c r="AN237" s="85"/>
      <c r="AO237" s="85"/>
      <c r="AP237" s="44">
        <f t="shared" si="81"/>
        <v>0</v>
      </c>
      <c r="AQ237" s="85"/>
      <c r="AR237" s="85"/>
      <c r="AS237" s="85"/>
      <c r="AT237" s="85"/>
      <c r="AU237" s="85"/>
      <c r="AV237" s="85"/>
      <c r="AW237" s="85"/>
      <c r="AX237" s="44">
        <f t="shared" si="83"/>
        <v>0</v>
      </c>
      <c r="AY237" s="44">
        <f t="shared" si="84"/>
        <v>0</v>
      </c>
      <c r="AZ237" s="44">
        <f t="shared" si="84"/>
        <v>0</v>
      </c>
      <c r="BA237" s="44">
        <f t="shared" si="84"/>
        <v>0</v>
      </c>
      <c r="BB237" s="44">
        <f t="shared" si="84"/>
        <v>0</v>
      </c>
      <c r="BC237" s="44">
        <f t="shared" si="84"/>
        <v>0</v>
      </c>
      <c r="BD237" s="44">
        <f t="shared" si="84"/>
        <v>0</v>
      </c>
      <c r="BE237" s="44">
        <f t="shared" si="84"/>
        <v>29</v>
      </c>
      <c r="BF237" s="83">
        <f t="shared" si="85"/>
        <v>29</v>
      </c>
      <c r="BG237" s="47"/>
      <c r="BH237" s="47"/>
      <c r="BI237" s="90"/>
      <c r="BJ237" s="90"/>
      <c r="BK237" s="90"/>
      <c r="BL237" s="90"/>
      <c r="BM237" s="90"/>
      <c r="BN237" s="90"/>
      <c r="BO237" s="90"/>
      <c r="BP237" s="90"/>
      <c r="BQ237" s="90"/>
      <c r="BR237" s="90"/>
      <c r="BS237" s="90"/>
      <c r="BT237" s="90"/>
      <c r="BU237" s="90"/>
    </row>
    <row r="238" spans="1:73" s="91" customFormat="1" ht="54" x14ac:dyDescent="0.25">
      <c r="A238" s="707"/>
      <c r="B238" s="627"/>
      <c r="C238" s="627"/>
      <c r="D238" s="603"/>
      <c r="E238" s="603"/>
      <c r="F238" s="612"/>
      <c r="G238" s="612"/>
      <c r="H238" s="656"/>
      <c r="I238" s="643"/>
      <c r="J238" s="640"/>
      <c r="K238" s="355" t="s">
        <v>515</v>
      </c>
      <c r="L238" s="379" t="s">
        <v>525</v>
      </c>
      <c r="M238" s="44">
        <v>25</v>
      </c>
      <c r="N238" s="49">
        <v>9000</v>
      </c>
      <c r="O238" s="44"/>
      <c r="P238" s="44">
        <v>3000</v>
      </c>
      <c r="Q238" s="44">
        <v>6000</v>
      </c>
      <c r="R238" s="45">
        <v>9000</v>
      </c>
      <c r="S238" s="185"/>
      <c r="T238" s="44"/>
      <c r="U238" s="44"/>
      <c r="V238" s="44"/>
      <c r="W238" s="44"/>
      <c r="X238" s="44"/>
      <c r="Y238" s="44"/>
      <c r="Z238" s="44">
        <f t="shared" si="54"/>
        <v>0</v>
      </c>
      <c r="AA238" s="44"/>
      <c r="AB238" s="44"/>
      <c r="AC238" s="44"/>
      <c r="AD238" s="44"/>
      <c r="AE238" s="44"/>
      <c r="AF238" s="44"/>
      <c r="AG238" s="44">
        <v>9000</v>
      </c>
      <c r="AH238" s="44">
        <f t="shared" si="80"/>
        <v>9000</v>
      </c>
      <c r="AI238" s="44"/>
      <c r="AJ238" s="44"/>
      <c r="AK238" s="44"/>
      <c r="AL238" s="44"/>
      <c r="AM238" s="44"/>
      <c r="AN238" s="44"/>
      <c r="AO238" s="44">
        <v>9000</v>
      </c>
      <c r="AP238" s="44">
        <f t="shared" si="81"/>
        <v>9000</v>
      </c>
      <c r="AQ238" s="44"/>
      <c r="AR238" s="44"/>
      <c r="AS238" s="44"/>
      <c r="AT238" s="44"/>
      <c r="AU238" s="44"/>
      <c r="AV238" s="44"/>
      <c r="AW238" s="44">
        <f>+U238+AB238+AI238+AP238</f>
        <v>9000</v>
      </c>
      <c r="AX238" s="44">
        <f t="shared" si="83"/>
        <v>9000</v>
      </c>
      <c r="AY238" s="44">
        <f t="shared" si="84"/>
        <v>0</v>
      </c>
      <c r="AZ238" s="44">
        <f t="shared" si="84"/>
        <v>0</v>
      </c>
      <c r="BA238" s="44">
        <f t="shared" si="84"/>
        <v>0</v>
      </c>
      <c r="BB238" s="44">
        <f t="shared" si="84"/>
        <v>0</v>
      </c>
      <c r="BC238" s="44">
        <f t="shared" si="84"/>
        <v>0</v>
      </c>
      <c r="BD238" s="44">
        <f t="shared" si="84"/>
        <v>0</v>
      </c>
      <c r="BE238" s="44">
        <f t="shared" si="84"/>
        <v>27000</v>
      </c>
      <c r="BF238" s="83">
        <f t="shared" si="85"/>
        <v>27000</v>
      </c>
      <c r="BG238" s="47"/>
      <c r="BH238" s="47"/>
      <c r="BI238" s="90"/>
      <c r="BJ238" s="90"/>
      <c r="BK238" s="90"/>
      <c r="BL238" s="90"/>
      <c r="BM238" s="90"/>
      <c r="BN238" s="90"/>
      <c r="BO238" s="90"/>
      <c r="BP238" s="90"/>
      <c r="BQ238" s="90"/>
      <c r="BR238" s="90"/>
      <c r="BS238" s="90"/>
      <c r="BT238" s="90"/>
      <c r="BU238" s="90"/>
    </row>
    <row r="239" spans="1:73" s="91" customFormat="1" ht="67.5" x14ac:dyDescent="0.25">
      <c r="A239" s="707"/>
      <c r="B239" s="627"/>
      <c r="C239" s="627"/>
      <c r="D239" s="603"/>
      <c r="E239" s="603"/>
      <c r="F239" s="612"/>
      <c r="G239" s="612"/>
      <c r="H239" s="656"/>
      <c r="I239" s="643"/>
      <c r="J239" s="640"/>
      <c r="K239" s="355" t="s">
        <v>518</v>
      </c>
      <c r="L239" s="379" t="s">
        <v>526</v>
      </c>
      <c r="M239" s="44" t="s">
        <v>527</v>
      </c>
      <c r="N239" s="49">
        <v>1000</v>
      </c>
      <c r="O239" s="44">
        <v>1000</v>
      </c>
      <c r="P239" s="44">
        <v>1000</v>
      </c>
      <c r="Q239" s="44">
        <v>1000</v>
      </c>
      <c r="R239" s="45">
        <v>1000</v>
      </c>
      <c r="S239" s="185"/>
      <c r="T239" s="44"/>
      <c r="U239" s="44"/>
      <c r="V239" s="44"/>
      <c r="W239" s="44"/>
      <c r="X239" s="44"/>
      <c r="Y239" s="44">
        <v>500</v>
      </c>
      <c r="Z239" s="44">
        <f t="shared" si="54"/>
        <v>500</v>
      </c>
      <c r="AA239" s="44"/>
      <c r="AB239" s="44"/>
      <c r="AC239" s="44"/>
      <c r="AD239" s="44"/>
      <c r="AE239" s="44"/>
      <c r="AF239" s="44"/>
      <c r="AG239" s="44">
        <v>500</v>
      </c>
      <c r="AH239" s="44">
        <f t="shared" si="80"/>
        <v>500</v>
      </c>
      <c r="AI239" s="44"/>
      <c r="AJ239" s="44"/>
      <c r="AK239" s="44"/>
      <c r="AL239" s="44"/>
      <c r="AM239" s="44"/>
      <c r="AN239" s="44"/>
      <c r="AO239" s="44">
        <v>500</v>
      </c>
      <c r="AP239" s="44">
        <f t="shared" si="81"/>
        <v>500</v>
      </c>
      <c r="AQ239" s="44"/>
      <c r="AR239" s="44"/>
      <c r="AS239" s="44"/>
      <c r="AT239" s="44"/>
      <c r="AU239" s="44"/>
      <c r="AV239" s="44"/>
      <c r="AW239" s="44">
        <f>+U239+AB239+AI239+AP239</f>
        <v>500</v>
      </c>
      <c r="AX239" s="44">
        <f t="shared" si="83"/>
        <v>500</v>
      </c>
      <c r="AY239" s="44">
        <f t="shared" si="84"/>
        <v>0</v>
      </c>
      <c r="AZ239" s="44">
        <f t="shared" si="84"/>
        <v>0</v>
      </c>
      <c r="BA239" s="44">
        <f t="shared" si="84"/>
        <v>0</v>
      </c>
      <c r="BB239" s="44">
        <f t="shared" si="84"/>
        <v>0</v>
      </c>
      <c r="BC239" s="44">
        <f t="shared" si="84"/>
        <v>0</v>
      </c>
      <c r="BD239" s="44">
        <f t="shared" si="84"/>
        <v>0</v>
      </c>
      <c r="BE239" s="44">
        <f t="shared" si="84"/>
        <v>2000</v>
      </c>
      <c r="BF239" s="83">
        <f t="shared" si="85"/>
        <v>2000</v>
      </c>
      <c r="BG239" s="47"/>
      <c r="BH239" s="47"/>
      <c r="BI239" s="90"/>
      <c r="BJ239" s="90"/>
      <c r="BK239" s="90"/>
      <c r="BL239" s="90"/>
      <c r="BM239" s="90"/>
      <c r="BN239" s="90"/>
      <c r="BO239" s="90"/>
      <c r="BP239" s="90"/>
      <c r="BQ239" s="90"/>
      <c r="BR239" s="90"/>
      <c r="BS239" s="90"/>
      <c r="BT239" s="90"/>
      <c r="BU239" s="90"/>
    </row>
    <row r="240" spans="1:73" s="91" customFormat="1" ht="27" x14ac:dyDescent="0.25">
      <c r="A240" s="707"/>
      <c r="B240" s="627"/>
      <c r="C240" s="627"/>
      <c r="D240" s="603"/>
      <c r="E240" s="603"/>
      <c r="F240" s="612"/>
      <c r="G240" s="612"/>
      <c r="H240" s="656"/>
      <c r="I240" s="643"/>
      <c r="J240" s="640"/>
      <c r="K240" s="355" t="s">
        <v>76</v>
      </c>
      <c r="L240" s="379" t="s">
        <v>1323</v>
      </c>
      <c r="M240" s="44">
        <v>3917</v>
      </c>
      <c r="N240" s="44">
        <v>5000</v>
      </c>
      <c r="O240" s="44">
        <f>+M240+270</f>
        <v>4187</v>
      </c>
      <c r="P240" s="44">
        <f>+O240+270</f>
        <v>4457</v>
      </c>
      <c r="Q240" s="44">
        <f>+P240+270</f>
        <v>4727</v>
      </c>
      <c r="R240" s="45">
        <v>5000</v>
      </c>
      <c r="S240" s="185"/>
      <c r="T240" s="44">
        <v>5024</v>
      </c>
      <c r="U240" s="44"/>
      <c r="V240" s="44"/>
      <c r="W240" s="44"/>
      <c r="X240" s="44"/>
      <c r="Y240" s="44"/>
      <c r="Z240" s="44">
        <f t="shared" si="54"/>
        <v>5024</v>
      </c>
      <c r="AA240" s="44"/>
      <c r="AB240" s="44">
        <v>5348</v>
      </c>
      <c r="AC240" s="44"/>
      <c r="AD240" s="44"/>
      <c r="AE240" s="44"/>
      <c r="AF240" s="44"/>
      <c r="AG240" s="44"/>
      <c r="AH240" s="44">
        <f t="shared" si="80"/>
        <v>5348</v>
      </c>
      <c r="AI240" s="44"/>
      <c r="AJ240" s="44">
        <v>5672</v>
      </c>
      <c r="AK240" s="44"/>
      <c r="AL240" s="44"/>
      <c r="AM240" s="44"/>
      <c r="AN240" s="44"/>
      <c r="AO240" s="44"/>
      <c r="AP240" s="44">
        <f t="shared" si="81"/>
        <v>5672</v>
      </c>
      <c r="AQ240" s="44"/>
      <c r="AR240" s="44">
        <v>6000</v>
      </c>
      <c r="AS240" s="44"/>
      <c r="AT240" s="44"/>
      <c r="AU240" s="44"/>
      <c r="AV240" s="44"/>
      <c r="AW240" s="44"/>
      <c r="AX240" s="44">
        <f t="shared" si="83"/>
        <v>6000</v>
      </c>
      <c r="AY240" s="44">
        <f t="shared" si="84"/>
        <v>0</v>
      </c>
      <c r="AZ240" s="44">
        <f t="shared" si="84"/>
        <v>22044</v>
      </c>
      <c r="BA240" s="44">
        <f t="shared" si="84"/>
        <v>0</v>
      </c>
      <c r="BB240" s="44">
        <f t="shared" si="84"/>
        <v>0</v>
      </c>
      <c r="BC240" s="44">
        <f t="shared" si="84"/>
        <v>0</v>
      </c>
      <c r="BD240" s="44">
        <f t="shared" si="84"/>
        <v>0</v>
      </c>
      <c r="BE240" s="44">
        <f t="shared" si="84"/>
        <v>0</v>
      </c>
      <c r="BF240" s="83">
        <f t="shared" si="85"/>
        <v>22044</v>
      </c>
      <c r="BG240" s="47"/>
      <c r="BH240" s="47"/>
      <c r="BI240" s="90"/>
      <c r="BJ240" s="90"/>
      <c r="BK240" s="90"/>
      <c r="BL240" s="90"/>
      <c r="BM240" s="90"/>
      <c r="BN240" s="90"/>
      <c r="BO240" s="90"/>
      <c r="BP240" s="90"/>
      <c r="BQ240" s="90"/>
      <c r="BR240" s="90"/>
      <c r="BS240" s="90"/>
      <c r="BT240" s="90"/>
      <c r="BU240" s="90"/>
    </row>
    <row r="241" spans="1:73" s="91" customFormat="1" ht="54" x14ac:dyDescent="0.25">
      <c r="A241" s="707"/>
      <c r="B241" s="627"/>
      <c r="C241" s="627"/>
      <c r="D241" s="603"/>
      <c r="E241" s="603"/>
      <c r="F241" s="612"/>
      <c r="G241" s="612"/>
      <c r="H241" s="656"/>
      <c r="I241" s="643"/>
      <c r="J241" s="640"/>
      <c r="K241" s="355" t="s">
        <v>870</v>
      </c>
      <c r="L241" s="379" t="s">
        <v>528</v>
      </c>
      <c r="M241" s="44"/>
      <c r="N241" s="49">
        <v>29</v>
      </c>
      <c r="O241" s="44">
        <v>29</v>
      </c>
      <c r="P241" s="44">
        <v>29</v>
      </c>
      <c r="Q241" s="44">
        <v>29</v>
      </c>
      <c r="R241" s="45">
        <v>29</v>
      </c>
      <c r="S241" s="185">
        <v>10</v>
      </c>
      <c r="T241" s="44"/>
      <c r="U241" s="44"/>
      <c r="V241" s="44"/>
      <c r="W241" s="44"/>
      <c r="X241" s="44"/>
      <c r="Y241" s="44"/>
      <c r="Z241" s="44">
        <f t="shared" si="54"/>
        <v>10</v>
      </c>
      <c r="AA241" s="44">
        <v>10</v>
      </c>
      <c r="AB241" s="44"/>
      <c r="AC241" s="44"/>
      <c r="AD241" s="44"/>
      <c r="AE241" s="44"/>
      <c r="AF241" s="44"/>
      <c r="AG241" s="44"/>
      <c r="AH241" s="44">
        <f t="shared" si="80"/>
        <v>10</v>
      </c>
      <c r="AI241" s="44">
        <v>10</v>
      </c>
      <c r="AJ241" s="44"/>
      <c r="AK241" s="44"/>
      <c r="AL241" s="44"/>
      <c r="AM241" s="44"/>
      <c r="AN241" s="44"/>
      <c r="AO241" s="44"/>
      <c r="AP241" s="44">
        <f t="shared" si="81"/>
        <v>10</v>
      </c>
      <c r="AQ241" s="44">
        <v>10</v>
      </c>
      <c r="AR241" s="44"/>
      <c r="AS241" s="44"/>
      <c r="AT241" s="44"/>
      <c r="AU241" s="44"/>
      <c r="AV241" s="44"/>
      <c r="AW241" s="44"/>
      <c r="AX241" s="44">
        <f t="shared" si="83"/>
        <v>10</v>
      </c>
      <c r="AY241" s="44">
        <f t="shared" si="84"/>
        <v>40</v>
      </c>
      <c r="AZ241" s="44">
        <f t="shared" si="84"/>
        <v>0</v>
      </c>
      <c r="BA241" s="44">
        <f t="shared" si="84"/>
        <v>0</v>
      </c>
      <c r="BB241" s="44">
        <f t="shared" si="84"/>
        <v>0</v>
      </c>
      <c r="BC241" s="44">
        <f t="shared" si="84"/>
        <v>0</v>
      </c>
      <c r="BD241" s="44">
        <f t="shared" si="84"/>
        <v>0</v>
      </c>
      <c r="BE241" s="44">
        <f t="shared" si="84"/>
        <v>0</v>
      </c>
      <c r="BF241" s="83">
        <f t="shared" si="85"/>
        <v>40</v>
      </c>
      <c r="BG241" s="47"/>
      <c r="BH241" s="47"/>
      <c r="BI241" s="90"/>
      <c r="BJ241" s="90"/>
      <c r="BK241" s="90"/>
      <c r="BL241" s="90"/>
      <c r="BM241" s="90"/>
      <c r="BN241" s="90"/>
      <c r="BO241" s="90"/>
      <c r="BP241" s="90"/>
      <c r="BQ241" s="90"/>
      <c r="BR241" s="90"/>
      <c r="BS241" s="90"/>
      <c r="BT241" s="90"/>
      <c r="BU241" s="90"/>
    </row>
    <row r="242" spans="1:73" s="91" customFormat="1" ht="40.5" x14ac:dyDescent="0.25">
      <c r="A242" s="707"/>
      <c r="B242" s="627"/>
      <c r="C242" s="627"/>
      <c r="D242" s="603"/>
      <c r="E242" s="603"/>
      <c r="F242" s="612"/>
      <c r="G242" s="612"/>
      <c r="H242" s="656"/>
      <c r="I242" s="643"/>
      <c r="J242" s="640"/>
      <c r="K242" s="355" t="s">
        <v>660</v>
      </c>
      <c r="L242" s="379" t="s">
        <v>529</v>
      </c>
      <c r="M242" s="44">
        <v>47733</v>
      </c>
      <c r="N242" s="49">
        <v>100000</v>
      </c>
      <c r="O242" s="44">
        <v>55000</v>
      </c>
      <c r="P242" s="44">
        <v>70000</v>
      </c>
      <c r="Q242" s="44">
        <v>85000</v>
      </c>
      <c r="R242" s="45">
        <v>100000</v>
      </c>
      <c r="S242" s="185"/>
      <c r="T242" s="44"/>
      <c r="U242" s="44"/>
      <c r="V242" s="44">
        <v>1010</v>
      </c>
      <c r="W242" s="44"/>
      <c r="X242" s="44"/>
      <c r="Y242" s="44"/>
      <c r="Z242" s="44">
        <f t="shared" si="54"/>
        <v>1010</v>
      </c>
      <c r="AA242" s="44"/>
      <c r="AB242" s="44"/>
      <c r="AC242" s="44"/>
      <c r="AD242" s="44">
        <v>1010</v>
      </c>
      <c r="AE242" s="44"/>
      <c r="AF242" s="44"/>
      <c r="AG242" s="44"/>
      <c r="AH242" s="44">
        <f t="shared" si="80"/>
        <v>1010</v>
      </c>
      <c r="AI242" s="44"/>
      <c r="AJ242" s="44"/>
      <c r="AK242" s="44"/>
      <c r="AL242" s="44">
        <v>1010</v>
      </c>
      <c r="AM242" s="44"/>
      <c r="AN242" s="44"/>
      <c r="AO242" s="44"/>
      <c r="AP242" s="44">
        <f t="shared" si="81"/>
        <v>1010</v>
      </c>
      <c r="AQ242" s="44"/>
      <c r="AR242" s="44"/>
      <c r="AS242" s="44"/>
      <c r="AT242" s="44">
        <f>SUM(AN242:AS242)</f>
        <v>1010</v>
      </c>
      <c r="AU242" s="44"/>
      <c r="AV242" s="44"/>
      <c r="AW242" s="44"/>
      <c r="AX242" s="44">
        <f t="shared" si="83"/>
        <v>1010</v>
      </c>
      <c r="AY242" s="44">
        <f t="shared" si="84"/>
        <v>0</v>
      </c>
      <c r="AZ242" s="44">
        <f t="shared" si="84"/>
        <v>0</v>
      </c>
      <c r="BA242" s="44">
        <f t="shared" si="84"/>
        <v>0</v>
      </c>
      <c r="BB242" s="44">
        <f t="shared" si="84"/>
        <v>4040</v>
      </c>
      <c r="BC242" s="44">
        <f t="shared" si="84"/>
        <v>0</v>
      </c>
      <c r="BD242" s="44">
        <f t="shared" si="84"/>
        <v>0</v>
      </c>
      <c r="BE242" s="44">
        <f t="shared" si="84"/>
        <v>0</v>
      </c>
      <c r="BF242" s="83">
        <f t="shared" si="85"/>
        <v>4040</v>
      </c>
      <c r="BG242" s="47"/>
      <c r="BH242" s="47"/>
      <c r="BI242" s="90"/>
      <c r="BJ242" s="90"/>
      <c r="BK242" s="90"/>
      <c r="BL242" s="90"/>
      <c r="BM242" s="90"/>
      <c r="BN242" s="90"/>
      <c r="BO242" s="90"/>
      <c r="BP242" s="90"/>
      <c r="BQ242" s="90"/>
      <c r="BR242" s="90"/>
      <c r="BS242" s="90"/>
      <c r="BT242" s="90"/>
      <c r="BU242" s="90"/>
    </row>
    <row r="243" spans="1:73" s="91" customFormat="1" ht="27" x14ac:dyDescent="0.25">
      <c r="A243" s="707"/>
      <c r="B243" s="627"/>
      <c r="C243" s="627"/>
      <c r="D243" s="603"/>
      <c r="E243" s="603"/>
      <c r="F243" s="612"/>
      <c r="G243" s="612"/>
      <c r="H243" s="656"/>
      <c r="I243" s="643"/>
      <c r="J243" s="640"/>
      <c r="K243" s="355" t="s">
        <v>534</v>
      </c>
      <c r="L243" s="379" t="s">
        <v>553</v>
      </c>
      <c r="M243" s="46"/>
      <c r="N243" s="46">
        <v>29</v>
      </c>
      <c r="O243" s="46"/>
      <c r="P243" s="46">
        <v>29</v>
      </c>
      <c r="Q243" s="46"/>
      <c r="R243" s="198"/>
      <c r="S243" s="185"/>
      <c r="T243" s="44"/>
      <c r="U243" s="44"/>
      <c r="V243" s="44"/>
      <c r="W243" s="44"/>
      <c r="X243" s="44"/>
      <c r="Y243" s="44"/>
      <c r="Z243" s="44">
        <f t="shared" si="54"/>
        <v>0</v>
      </c>
      <c r="AA243" s="44"/>
      <c r="AB243" s="44"/>
      <c r="AC243" s="44"/>
      <c r="AD243" s="44"/>
      <c r="AE243" s="44"/>
      <c r="AF243" s="44"/>
      <c r="AG243" s="44"/>
      <c r="AH243" s="44">
        <f t="shared" si="80"/>
        <v>0</v>
      </c>
      <c r="AI243" s="44"/>
      <c r="AJ243" s="44"/>
      <c r="AK243" s="44"/>
      <c r="AL243" s="44"/>
      <c r="AM243" s="44"/>
      <c r="AN243" s="44"/>
      <c r="AO243" s="44"/>
      <c r="AP243" s="44">
        <f t="shared" si="81"/>
        <v>0</v>
      </c>
      <c r="AQ243" s="44"/>
      <c r="AR243" s="44"/>
      <c r="AS243" s="44"/>
      <c r="AT243" s="44"/>
      <c r="AU243" s="44"/>
      <c r="AV243" s="44"/>
      <c r="AW243" s="44"/>
      <c r="AX243" s="44">
        <f t="shared" si="83"/>
        <v>0</v>
      </c>
      <c r="AY243" s="44">
        <f t="shared" si="84"/>
        <v>0</v>
      </c>
      <c r="AZ243" s="44">
        <f t="shared" si="84"/>
        <v>0</v>
      </c>
      <c r="BA243" s="44">
        <f t="shared" si="84"/>
        <v>0</v>
      </c>
      <c r="BB243" s="44">
        <f t="shared" si="84"/>
        <v>0</v>
      </c>
      <c r="BC243" s="44">
        <f t="shared" si="84"/>
        <v>0</v>
      </c>
      <c r="BD243" s="44">
        <f t="shared" si="84"/>
        <v>0</v>
      </c>
      <c r="BE243" s="44">
        <f t="shared" si="84"/>
        <v>0</v>
      </c>
      <c r="BF243" s="83">
        <f t="shared" si="85"/>
        <v>0</v>
      </c>
      <c r="BG243" s="47"/>
      <c r="BH243" s="47"/>
      <c r="BI243" s="90"/>
      <c r="BJ243" s="90"/>
      <c r="BK243" s="90"/>
      <c r="BL243" s="90"/>
      <c r="BM243" s="90"/>
      <c r="BN243" s="90"/>
      <c r="BO243" s="90"/>
      <c r="BP243" s="90"/>
      <c r="BQ243" s="90"/>
      <c r="BR243" s="90"/>
      <c r="BS243" s="90"/>
      <c r="BT243" s="90"/>
      <c r="BU243" s="90"/>
    </row>
    <row r="244" spans="1:73" s="91" customFormat="1" ht="40.5" x14ac:dyDescent="0.25">
      <c r="A244" s="707"/>
      <c r="B244" s="627"/>
      <c r="C244" s="627"/>
      <c r="D244" s="603"/>
      <c r="E244" s="603"/>
      <c r="F244" s="612"/>
      <c r="G244" s="612"/>
      <c r="H244" s="656"/>
      <c r="I244" s="643"/>
      <c r="J244" s="640"/>
      <c r="K244" s="355" t="s">
        <v>706</v>
      </c>
      <c r="L244" s="379" t="s">
        <v>101</v>
      </c>
      <c r="M244" s="50">
        <v>3</v>
      </c>
      <c r="N244" s="87">
        <v>29</v>
      </c>
      <c r="O244" s="50">
        <v>10</v>
      </c>
      <c r="P244" s="50">
        <v>15</v>
      </c>
      <c r="Q244" s="50">
        <v>20</v>
      </c>
      <c r="R244" s="203">
        <v>29</v>
      </c>
      <c r="S244" s="185"/>
      <c r="T244" s="44"/>
      <c r="U244" s="44">
        <v>16</v>
      </c>
      <c r="V244" s="44"/>
      <c r="W244" s="44"/>
      <c r="X244" s="44"/>
      <c r="Y244" s="44"/>
      <c r="Z244" s="44">
        <f t="shared" si="54"/>
        <v>16</v>
      </c>
      <c r="AA244" s="44"/>
      <c r="AB244" s="44"/>
      <c r="AC244" s="44">
        <v>16</v>
      </c>
      <c r="AD244" s="44"/>
      <c r="AE244" s="44"/>
      <c r="AF244" s="44"/>
      <c r="AG244" s="44"/>
      <c r="AH244" s="44">
        <f t="shared" si="80"/>
        <v>16</v>
      </c>
      <c r="AI244" s="44"/>
      <c r="AJ244" s="44"/>
      <c r="AK244" s="44">
        <v>16</v>
      </c>
      <c r="AL244" s="44"/>
      <c r="AM244" s="44"/>
      <c r="AN244" s="44"/>
      <c r="AO244" s="44"/>
      <c r="AP244" s="44">
        <f t="shared" si="81"/>
        <v>16</v>
      </c>
      <c r="AQ244" s="44"/>
      <c r="AR244" s="44"/>
      <c r="AS244" s="44">
        <v>16</v>
      </c>
      <c r="AT244" s="44"/>
      <c r="AU244" s="44"/>
      <c r="AV244" s="44"/>
      <c r="AW244" s="44"/>
      <c r="AX244" s="44">
        <f t="shared" si="83"/>
        <v>16</v>
      </c>
      <c r="AY244" s="44">
        <f t="shared" si="84"/>
        <v>0</v>
      </c>
      <c r="AZ244" s="44">
        <f t="shared" si="84"/>
        <v>0</v>
      </c>
      <c r="BA244" s="44">
        <f t="shared" si="84"/>
        <v>64</v>
      </c>
      <c r="BB244" s="44">
        <f t="shared" si="84"/>
        <v>0</v>
      </c>
      <c r="BC244" s="44">
        <f t="shared" si="84"/>
        <v>0</v>
      </c>
      <c r="BD244" s="44">
        <f t="shared" si="84"/>
        <v>0</v>
      </c>
      <c r="BE244" s="44">
        <f t="shared" si="84"/>
        <v>0</v>
      </c>
      <c r="BF244" s="83">
        <f t="shared" si="85"/>
        <v>64</v>
      </c>
      <c r="BG244" s="47"/>
      <c r="BH244" s="47"/>
      <c r="BI244" s="90"/>
      <c r="BJ244" s="90"/>
      <c r="BK244" s="90"/>
      <c r="BL244" s="90"/>
      <c r="BM244" s="90"/>
      <c r="BN244" s="90"/>
      <c r="BO244" s="90"/>
      <c r="BP244" s="90"/>
      <c r="BQ244" s="90"/>
      <c r="BR244" s="90"/>
      <c r="BS244" s="90"/>
      <c r="BT244" s="90"/>
      <c r="BU244" s="90"/>
    </row>
    <row r="245" spans="1:73" s="91" customFormat="1" ht="148.5" x14ac:dyDescent="0.25">
      <c r="A245" s="707"/>
      <c r="B245" s="627"/>
      <c r="C245" s="627"/>
      <c r="D245" s="603"/>
      <c r="E245" s="603"/>
      <c r="F245" s="612"/>
      <c r="G245" s="612"/>
      <c r="H245" s="656"/>
      <c r="I245" s="643"/>
      <c r="J245" s="640"/>
      <c r="K245" s="355" t="s">
        <v>531</v>
      </c>
      <c r="L245" s="379" t="s">
        <v>548</v>
      </c>
      <c r="M245" s="46"/>
      <c r="N245" s="46">
        <v>20</v>
      </c>
      <c r="O245" s="46"/>
      <c r="P245" s="46">
        <v>5</v>
      </c>
      <c r="Q245" s="46">
        <v>15</v>
      </c>
      <c r="R245" s="198">
        <v>20</v>
      </c>
      <c r="S245" s="185"/>
      <c r="T245" s="44"/>
      <c r="U245" s="44"/>
      <c r="V245" s="44"/>
      <c r="W245" s="44"/>
      <c r="X245" s="44"/>
      <c r="Y245" s="44"/>
      <c r="Z245" s="44">
        <f t="shared" si="54"/>
        <v>0</v>
      </c>
      <c r="AA245" s="44"/>
      <c r="AB245" s="44"/>
      <c r="AC245" s="44"/>
      <c r="AD245" s="44"/>
      <c r="AE245" s="44"/>
      <c r="AF245" s="44"/>
      <c r="AG245" s="44">
        <v>625</v>
      </c>
      <c r="AH245" s="44">
        <f t="shared" si="80"/>
        <v>625</v>
      </c>
      <c r="AI245" s="44"/>
      <c r="AJ245" s="44"/>
      <c r="AK245" s="44"/>
      <c r="AL245" s="44"/>
      <c r="AM245" s="44"/>
      <c r="AN245" s="44"/>
      <c r="AO245" s="44">
        <v>1250</v>
      </c>
      <c r="AP245" s="44">
        <f t="shared" si="81"/>
        <v>1250</v>
      </c>
      <c r="AQ245" s="44"/>
      <c r="AR245" s="44"/>
      <c r="AS245" s="44"/>
      <c r="AT245" s="44"/>
      <c r="AU245" s="44"/>
      <c r="AV245" s="44"/>
      <c r="AW245" s="44">
        <v>625</v>
      </c>
      <c r="AX245" s="44">
        <f t="shared" si="83"/>
        <v>625</v>
      </c>
      <c r="AY245" s="44">
        <f t="shared" si="84"/>
        <v>0</v>
      </c>
      <c r="AZ245" s="44">
        <f t="shared" si="84"/>
        <v>0</v>
      </c>
      <c r="BA245" s="44">
        <f t="shared" si="84"/>
        <v>0</v>
      </c>
      <c r="BB245" s="44">
        <f t="shared" si="84"/>
        <v>0</v>
      </c>
      <c r="BC245" s="44">
        <f t="shared" si="84"/>
        <v>0</v>
      </c>
      <c r="BD245" s="44">
        <f t="shared" si="84"/>
        <v>0</v>
      </c>
      <c r="BE245" s="44">
        <f t="shared" si="84"/>
        <v>2500</v>
      </c>
      <c r="BF245" s="83">
        <f t="shared" si="85"/>
        <v>2500</v>
      </c>
      <c r="BG245" s="47"/>
      <c r="BH245" s="47"/>
      <c r="BI245" s="90"/>
      <c r="BJ245" s="90"/>
      <c r="BK245" s="90"/>
      <c r="BL245" s="90"/>
      <c r="BM245" s="90"/>
      <c r="BN245" s="90"/>
      <c r="BO245" s="90"/>
      <c r="BP245" s="90"/>
      <c r="BQ245" s="90"/>
      <c r="BR245" s="90"/>
      <c r="BS245" s="90"/>
      <c r="BT245" s="90"/>
      <c r="BU245" s="90"/>
    </row>
    <row r="246" spans="1:73" s="91" customFormat="1" ht="54" x14ac:dyDescent="0.25">
      <c r="A246" s="707"/>
      <c r="B246" s="627"/>
      <c r="C246" s="627"/>
      <c r="D246" s="603"/>
      <c r="E246" s="603"/>
      <c r="F246" s="612"/>
      <c r="G246" s="612"/>
      <c r="H246" s="656"/>
      <c r="I246" s="643"/>
      <c r="J246" s="640"/>
      <c r="K246" s="355" t="s">
        <v>871</v>
      </c>
      <c r="L246" s="379" t="s">
        <v>549</v>
      </c>
      <c r="M246" s="46"/>
      <c r="N246" s="46">
        <v>70</v>
      </c>
      <c r="O246" s="46">
        <v>15</v>
      </c>
      <c r="P246" s="46">
        <v>30</v>
      </c>
      <c r="Q246" s="46">
        <v>45</v>
      </c>
      <c r="R246" s="198">
        <v>70</v>
      </c>
      <c r="S246" s="185"/>
      <c r="T246" s="44"/>
      <c r="U246" s="44"/>
      <c r="V246" s="44"/>
      <c r="W246" s="44"/>
      <c r="X246" s="44"/>
      <c r="Y246" s="44">
        <v>10</v>
      </c>
      <c r="Z246" s="44">
        <f t="shared" si="54"/>
        <v>10</v>
      </c>
      <c r="AA246" s="44"/>
      <c r="AB246" s="44"/>
      <c r="AC246" s="44"/>
      <c r="AD246" s="44"/>
      <c r="AE246" s="44"/>
      <c r="AF246" s="44"/>
      <c r="AG246" s="44">
        <v>15</v>
      </c>
      <c r="AH246" s="44">
        <f t="shared" si="80"/>
        <v>15</v>
      </c>
      <c r="AI246" s="44"/>
      <c r="AJ246" s="44"/>
      <c r="AK246" s="44"/>
      <c r="AL246" s="44"/>
      <c r="AM246" s="44"/>
      <c r="AN246" s="44"/>
      <c r="AO246" s="44">
        <v>15</v>
      </c>
      <c r="AP246" s="44">
        <f t="shared" si="81"/>
        <v>15</v>
      </c>
      <c r="AQ246" s="44"/>
      <c r="AR246" s="44"/>
      <c r="AS246" s="44"/>
      <c r="AT246" s="44"/>
      <c r="AU246" s="44"/>
      <c r="AV246" s="44"/>
      <c r="AW246" s="44">
        <f>+U246+AB246+AI246+AP246</f>
        <v>15</v>
      </c>
      <c r="AX246" s="44">
        <f t="shared" si="83"/>
        <v>15</v>
      </c>
      <c r="AY246" s="44">
        <f t="shared" si="84"/>
        <v>0</v>
      </c>
      <c r="AZ246" s="44">
        <f t="shared" si="84"/>
        <v>0</v>
      </c>
      <c r="BA246" s="44">
        <f t="shared" si="84"/>
        <v>0</v>
      </c>
      <c r="BB246" s="44">
        <f t="shared" si="84"/>
        <v>0</v>
      </c>
      <c r="BC246" s="44">
        <f t="shared" si="84"/>
        <v>0</v>
      </c>
      <c r="BD246" s="44">
        <f t="shared" si="84"/>
        <v>0</v>
      </c>
      <c r="BE246" s="44">
        <f t="shared" si="84"/>
        <v>55</v>
      </c>
      <c r="BF246" s="83">
        <f t="shared" si="85"/>
        <v>55</v>
      </c>
      <c r="BG246" s="47"/>
      <c r="BH246" s="47"/>
      <c r="BI246" s="90"/>
      <c r="BJ246" s="90"/>
      <c r="BK246" s="90"/>
      <c r="BL246" s="90"/>
      <c r="BM246" s="90"/>
      <c r="BN246" s="90"/>
      <c r="BO246" s="90"/>
      <c r="BP246" s="90"/>
      <c r="BQ246" s="90"/>
      <c r="BR246" s="90"/>
      <c r="BS246" s="90"/>
      <c r="BT246" s="90"/>
      <c r="BU246" s="90"/>
    </row>
    <row r="247" spans="1:73" s="91" customFormat="1" ht="40.5" x14ac:dyDescent="0.25">
      <c r="A247" s="707"/>
      <c r="B247" s="627"/>
      <c r="C247" s="627"/>
      <c r="D247" s="603"/>
      <c r="E247" s="603"/>
      <c r="F247" s="612"/>
      <c r="G247" s="612"/>
      <c r="H247" s="656"/>
      <c r="I247" s="643"/>
      <c r="J247" s="640"/>
      <c r="K247" s="355" t="s">
        <v>872</v>
      </c>
      <c r="L247" s="379" t="s">
        <v>873</v>
      </c>
      <c r="M247" s="88"/>
      <c r="N247" s="46">
        <v>140</v>
      </c>
      <c r="O247" s="46">
        <v>140</v>
      </c>
      <c r="P247" s="88"/>
      <c r="Q247" s="88"/>
      <c r="R247" s="201"/>
      <c r="S247" s="189"/>
      <c r="T247" s="89"/>
      <c r="U247" s="89"/>
      <c r="V247" s="89"/>
      <c r="W247" s="89"/>
      <c r="X247" s="89"/>
      <c r="Y247" s="85">
        <v>150</v>
      </c>
      <c r="Z247" s="44">
        <f t="shared" si="54"/>
        <v>150</v>
      </c>
      <c r="AA247" s="89"/>
      <c r="AB247" s="89"/>
      <c r="AC247" s="89"/>
      <c r="AD247" s="89"/>
      <c r="AE247" s="89"/>
      <c r="AF247" s="89"/>
      <c r="AG247" s="89"/>
      <c r="AH247" s="44">
        <f t="shared" si="80"/>
        <v>0</v>
      </c>
      <c r="AI247" s="89"/>
      <c r="AJ247" s="89"/>
      <c r="AK247" s="89"/>
      <c r="AL247" s="89"/>
      <c r="AM247" s="89"/>
      <c r="AN247" s="89"/>
      <c r="AO247" s="89"/>
      <c r="AP247" s="44">
        <f t="shared" si="81"/>
        <v>0</v>
      </c>
      <c r="AQ247" s="89"/>
      <c r="AR247" s="89"/>
      <c r="AS247" s="89"/>
      <c r="AT247" s="89"/>
      <c r="AU247" s="89"/>
      <c r="AV247" s="89"/>
      <c r="AW247" s="89"/>
      <c r="AX247" s="44">
        <f t="shared" si="83"/>
        <v>0</v>
      </c>
      <c r="AY247" s="44">
        <f t="shared" si="84"/>
        <v>0</v>
      </c>
      <c r="AZ247" s="44">
        <f t="shared" si="84"/>
        <v>0</v>
      </c>
      <c r="BA247" s="44">
        <f t="shared" si="84"/>
        <v>0</v>
      </c>
      <c r="BB247" s="44">
        <f t="shared" si="84"/>
        <v>0</v>
      </c>
      <c r="BC247" s="44">
        <f t="shared" si="84"/>
        <v>0</v>
      </c>
      <c r="BD247" s="44">
        <f t="shared" si="84"/>
        <v>0</v>
      </c>
      <c r="BE247" s="44">
        <f t="shared" si="84"/>
        <v>150</v>
      </c>
      <c r="BF247" s="83">
        <f t="shared" si="85"/>
        <v>150</v>
      </c>
      <c r="BG247" s="47"/>
      <c r="BH247" s="47"/>
      <c r="BI247" s="90"/>
      <c r="BJ247" s="90"/>
      <c r="BK247" s="90"/>
      <c r="BL247" s="90"/>
      <c r="BM247" s="90"/>
      <c r="BN247" s="90"/>
      <c r="BO247" s="90"/>
      <c r="BP247" s="90"/>
      <c r="BQ247" s="90"/>
      <c r="BR247" s="90"/>
      <c r="BS247" s="90"/>
      <c r="BT247" s="90"/>
      <c r="BU247" s="90"/>
    </row>
    <row r="248" spans="1:73" s="91" customFormat="1" ht="40.5" x14ac:dyDescent="0.25">
      <c r="A248" s="707"/>
      <c r="B248" s="627"/>
      <c r="C248" s="627"/>
      <c r="D248" s="603"/>
      <c r="E248" s="603"/>
      <c r="F248" s="612"/>
      <c r="G248" s="612"/>
      <c r="H248" s="656"/>
      <c r="I248" s="643"/>
      <c r="J248" s="640"/>
      <c r="K248" s="355" t="s">
        <v>550</v>
      </c>
      <c r="L248" s="379" t="s">
        <v>551</v>
      </c>
      <c r="M248" s="46"/>
      <c r="N248" s="46">
        <v>4000</v>
      </c>
      <c r="O248" s="46">
        <v>1000</v>
      </c>
      <c r="P248" s="46">
        <v>2000</v>
      </c>
      <c r="Q248" s="46">
        <v>3000</v>
      </c>
      <c r="R248" s="198">
        <v>4000</v>
      </c>
      <c r="S248" s="185">
        <v>5</v>
      </c>
      <c r="T248" s="44"/>
      <c r="U248" s="44"/>
      <c r="V248" s="44"/>
      <c r="W248" s="44"/>
      <c r="X248" s="44"/>
      <c r="Y248" s="44"/>
      <c r="Z248" s="44">
        <f t="shared" si="54"/>
        <v>5</v>
      </c>
      <c r="AA248" s="44">
        <v>5</v>
      </c>
      <c r="AB248" s="44"/>
      <c r="AC248" s="44"/>
      <c r="AD248" s="44"/>
      <c r="AE248" s="44"/>
      <c r="AF248" s="44"/>
      <c r="AG248" s="44"/>
      <c r="AH248" s="44">
        <f t="shared" si="80"/>
        <v>5</v>
      </c>
      <c r="AI248" s="44">
        <v>15</v>
      </c>
      <c r="AJ248" s="44"/>
      <c r="AK248" s="44"/>
      <c r="AL248" s="44"/>
      <c r="AM248" s="44"/>
      <c r="AN248" s="44"/>
      <c r="AO248" s="44"/>
      <c r="AP248" s="44">
        <f t="shared" si="81"/>
        <v>15</v>
      </c>
      <c r="AQ248" s="44">
        <v>15</v>
      </c>
      <c r="AR248" s="44"/>
      <c r="AS248" s="44"/>
      <c r="AT248" s="44"/>
      <c r="AU248" s="44"/>
      <c r="AV248" s="44"/>
      <c r="AW248" s="44"/>
      <c r="AX248" s="44">
        <f t="shared" si="83"/>
        <v>15</v>
      </c>
      <c r="AY248" s="44">
        <f t="shared" si="84"/>
        <v>40</v>
      </c>
      <c r="AZ248" s="44">
        <f t="shared" si="84"/>
        <v>0</v>
      </c>
      <c r="BA248" s="44">
        <f t="shared" si="84"/>
        <v>0</v>
      </c>
      <c r="BB248" s="44">
        <f t="shared" si="84"/>
        <v>0</v>
      </c>
      <c r="BC248" s="44">
        <f t="shared" si="84"/>
        <v>0</v>
      </c>
      <c r="BD248" s="44">
        <f t="shared" si="84"/>
        <v>0</v>
      </c>
      <c r="BE248" s="44">
        <f t="shared" si="84"/>
        <v>0</v>
      </c>
      <c r="BF248" s="83">
        <f t="shared" si="85"/>
        <v>40</v>
      </c>
      <c r="BG248" s="47"/>
      <c r="BH248" s="47"/>
      <c r="BI248" s="90"/>
      <c r="BJ248" s="90"/>
      <c r="BK248" s="90"/>
      <c r="BL248" s="90"/>
      <c r="BM248" s="90"/>
      <c r="BN248" s="90"/>
      <c r="BO248" s="90"/>
      <c r="BP248" s="90"/>
      <c r="BQ248" s="90"/>
      <c r="BR248" s="90"/>
      <c r="BS248" s="90"/>
      <c r="BT248" s="90"/>
      <c r="BU248" s="90"/>
    </row>
    <row r="249" spans="1:73" s="91" customFormat="1" ht="54" x14ac:dyDescent="0.25">
      <c r="A249" s="707"/>
      <c r="B249" s="627"/>
      <c r="C249" s="627"/>
      <c r="D249" s="603"/>
      <c r="E249" s="603"/>
      <c r="F249" s="612"/>
      <c r="G249" s="612"/>
      <c r="H249" s="656"/>
      <c r="I249" s="643"/>
      <c r="J249" s="640"/>
      <c r="K249" s="355" t="s">
        <v>874</v>
      </c>
      <c r="L249" s="379" t="s">
        <v>875</v>
      </c>
      <c r="M249" s="88"/>
      <c r="N249" s="84">
        <v>6</v>
      </c>
      <c r="O249" s="84">
        <v>1</v>
      </c>
      <c r="P249" s="84">
        <v>3</v>
      </c>
      <c r="Q249" s="84">
        <v>5</v>
      </c>
      <c r="R249" s="202">
        <v>6</v>
      </c>
      <c r="S249" s="188">
        <v>10</v>
      </c>
      <c r="T249" s="85"/>
      <c r="U249" s="85"/>
      <c r="V249" s="85"/>
      <c r="W249" s="85"/>
      <c r="X249" s="85"/>
      <c r="Y249" s="85"/>
      <c r="Z249" s="44">
        <f t="shared" si="54"/>
        <v>10</v>
      </c>
      <c r="AA249" s="85">
        <v>10</v>
      </c>
      <c r="AB249" s="89"/>
      <c r="AC249" s="89"/>
      <c r="AD249" s="85"/>
      <c r="AE249" s="85"/>
      <c r="AF249" s="85"/>
      <c r="AG249" s="85"/>
      <c r="AH249" s="44">
        <f t="shared" si="80"/>
        <v>10</v>
      </c>
      <c r="AI249" s="85">
        <v>20</v>
      </c>
      <c r="AJ249" s="89"/>
      <c r="AK249" s="89"/>
      <c r="AL249" s="89"/>
      <c r="AM249" s="85"/>
      <c r="AN249" s="85"/>
      <c r="AO249" s="89"/>
      <c r="AP249" s="44">
        <f t="shared" si="81"/>
        <v>20</v>
      </c>
      <c r="AQ249" s="85">
        <v>20</v>
      </c>
      <c r="AR249" s="89"/>
      <c r="AS249" s="89"/>
      <c r="AT249" s="89"/>
      <c r="AU249" s="89"/>
      <c r="AV249" s="89"/>
      <c r="AW249" s="89"/>
      <c r="AX249" s="44">
        <f t="shared" si="83"/>
        <v>20</v>
      </c>
      <c r="AY249" s="44">
        <f t="shared" si="84"/>
        <v>60</v>
      </c>
      <c r="AZ249" s="44">
        <f t="shared" si="84"/>
        <v>0</v>
      </c>
      <c r="BA249" s="44">
        <f t="shared" si="84"/>
        <v>0</v>
      </c>
      <c r="BB249" s="44">
        <f t="shared" si="84"/>
        <v>0</v>
      </c>
      <c r="BC249" s="44">
        <f t="shared" si="84"/>
        <v>0</v>
      </c>
      <c r="BD249" s="44">
        <f t="shared" si="84"/>
        <v>0</v>
      </c>
      <c r="BE249" s="44">
        <f t="shared" si="84"/>
        <v>0</v>
      </c>
      <c r="BF249" s="83">
        <f t="shared" si="85"/>
        <v>60</v>
      </c>
      <c r="BG249" s="47"/>
      <c r="BH249" s="47"/>
      <c r="BI249" s="90"/>
      <c r="BJ249" s="90"/>
      <c r="BK249" s="90"/>
      <c r="BL249" s="90"/>
      <c r="BM249" s="90"/>
      <c r="BN249" s="90"/>
      <c r="BO249" s="90"/>
      <c r="BP249" s="90"/>
      <c r="BQ249" s="90"/>
      <c r="BR249" s="90"/>
      <c r="BS249" s="90"/>
      <c r="BT249" s="90"/>
      <c r="BU249" s="90"/>
    </row>
    <row r="250" spans="1:73" s="91" customFormat="1" ht="40.5" x14ac:dyDescent="0.25">
      <c r="A250" s="707"/>
      <c r="B250" s="627"/>
      <c r="C250" s="627"/>
      <c r="D250" s="603"/>
      <c r="E250" s="603"/>
      <c r="F250" s="612"/>
      <c r="G250" s="612"/>
      <c r="H250" s="656"/>
      <c r="I250" s="643"/>
      <c r="J250" s="640"/>
      <c r="K250" s="355" t="s">
        <v>964</v>
      </c>
      <c r="L250" s="379" t="s">
        <v>968</v>
      </c>
      <c r="M250" s="84">
        <v>0</v>
      </c>
      <c r="N250" s="84">
        <v>1</v>
      </c>
      <c r="O250" s="84">
        <v>1</v>
      </c>
      <c r="P250" s="84">
        <v>1</v>
      </c>
      <c r="Q250" s="84">
        <v>1</v>
      </c>
      <c r="R250" s="202">
        <v>1</v>
      </c>
      <c r="S250" s="188">
        <v>5</v>
      </c>
      <c r="T250" s="85"/>
      <c r="U250" s="85"/>
      <c r="V250" s="85"/>
      <c r="W250" s="85"/>
      <c r="X250" s="85"/>
      <c r="Y250" s="85"/>
      <c r="Z250" s="44">
        <f t="shared" si="54"/>
        <v>5</v>
      </c>
      <c r="AA250" s="85">
        <v>10</v>
      </c>
      <c r="AB250" s="89"/>
      <c r="AC250" s="89"/>
      <c r="AD250" s="85"/>
      <c r="AE250" s="85"/>
      <c r="AF250" s="85"/>
      <c r="AG250" s="85"/>
      <c r="AH250" s="44">
        <f t="shared" si="80"/>
        <v>10</v>
      </c>
      <c r="AI250" s="85">
        <v>40</v>
      </c>
      <c r="AJ250" s="89"/>
      <c r="AK250" s="89"/>
      <c r="AL250" s="89"/>
      <c r="AM250" s="85"/>
      <c r="AN250" s="85"/>
      <c r="AO250" s="89"/>
      <c r="AP250" s="44">
        <f t="shared" si="81"/>
        <v>40</v>
      </c>
      <c r="AQ250" s="85">
        <v>50</v>
      </c>
      <c r="AR250" s="89"/>
      <c r="AS250" s="89"/>
      <c r="AT250" s="89"/>
      <c r="AU250" s="89"/>
      <c r="AV250" s="89"/>
      <c r="AW250" s="89"/>
      <c r="AX250" s="44">
        <f t="shared" si="83"/>
        <v>50</v>
      </c>
      <c r="AY250" s="44">
        <f t="shared" si="84"/>
        <v>105</v>
      </c>
      <c r="AZ250" s="44">
        <f t="shared" si="84"/>
        <v>0</v>
      </c>
      <c r="BA250" s="44">
        <f t="shared" si="84"/>
        <v>0</v>
      </c>
      <c r="BB250" s="44">
        <f t="shared" si="84"/>
        <v>0</v>
      </c>
      <c r="BC250" s="44">
        <f t="shared" si="84"/>
        <v>0</v>
      </c>
      <c r="BD250" s="44">
        <f t="shared" si="84"/>
        <v>0</v>
      </c>
      <c r="BE250" s="44">
        <f t="shared" si="84"/>
        <v>0</v>
      </c>
      <c r="BF250" s="83">
        <f t="shared" si="85"/>
        <v>105</v>
      </c>
      <c r="BG250" s="47"/>
      <c r="BH250" s="47"/>
      <c r="BI250" s="90"/>
      <c r="BJ250" s="90"/>
      <c r="BK250" s="90"/>
      <c r="BL250" s="90"/>
      <c r="BM250" s="90"/>
      <c r="BN250" s="90"/>
      <c r="BO250" s="90"/>
      <c r="BP250" s="90"/>
      <c r="BQ250" s="90"/>
      <c r="BR250" s="90"/>
      <c r="BS250" s="90"/>
      <c r="BT250" s="90"/>
      <c r="BU250" s="90"/>
    </row>
    <row r="251" spans="1:73" s="91" customFormat="1" ht="81" x14ac:dyDescent="0.25">
      <c r="A251" s="707"/>
      <c r="B251" s="627"/>
      <c r="C251" s="627"/>
      <c r="D251" s="603"/>
      <c r="E251" s="603"/>
      <c r="F251" s="612"/>
      <c r="G251" s="612"/>
      <c r="H251" s="656"/>
      <c r="I251" s="643"/>
      <c r="J251" s="640"/>
      <c r="K251" s="355" t="s">
        <v>514</v>
      </c>
      <c r="L251" s="379" t="s">
        <v>524</v>
      </c>
      <c r="M251" s="44">
        <v>0</v>
      </c>
      <c r="N251" s="49">
        <v>1</v>
      </c>
      <c r="O251" s="44">
        <v>1</v>
      </c>
      <c r="P251" s="44"/>
      <c r="Q251" s="44"/>
      <c r="R251" s="45"/>
      <c r="S251" s="185">
        <v>10</v>
      </c>
      <c r="T251" s="44"/>
      <c r="U251" s="44"/>
      <c r="V251" s="44"/>
      <c r="W251" s="44"/>
      <c r="X251" s="44"/>
      <c r="Y251" s="44">
        <v>135</v>
      </c>
      <c r="Z251" s="44">
        <f t="shared" si="54"/>
        <v>145</v>
      </c>
      <c r="AA251" s="44"/>
      <c r="AB251" s="44"/>
      <c r="AC251" s="44"/>
      <c r="AD251" s="44"/>
      <c r="AE251" s="44"/>
      <c r="AF251" s="44"/>
      <c r="AG251" s="44"/>
      <c r="AH251" s="44">
        <f t="shared" si="80"/>
        <v>0</v>
      </c>
      <c r="AI251" s="44"/>
      <c r="AJ251" s="44"/>
      <c r="AK251" s="44"/>
      <c r="AL251" s="44"/>
      <c r="AM251" s="44"/>
      <c r="AN251" s="44"/>
      <c r="AO251" s="44"/>
      <c r="AP251" s="44">
        <f t="shared" si="81"/>
        <v>0</v>
      </c>
      <c r="AQ251" s="44"/>
      <c r="AR251" s="44"/>
      <c r="AS251" s="44"/>
      <c r="AT251" s="44"/>
      <c r="AU251" s="44"/>
      <c r="AV251" s="44"/>
      <c r="AW251" s="44"/>
      <c r="AX251" s="44">
        <f t="shared" si="83"/>
        <v>0</v>
      </c>
      <c r="AY251" s="44">
        <f t="shared" si="84"/>
        <v>10</v>
      </c>
      <c r="AZ251" s="44">
        <f t="shared" si="84"/>
        <v>0</v>
      </c>
      <c r="BA251" s="44">
        <f t="shared" si="84"/>
        <v>0</v>
      </c>
      <c r="BB251" s="44">
        <f t="shared" si="84"/>
        <v>0</v>
      </c>
      <c r="BC251" s="44">
        <f t="shared" si="84"/>
        <v>0</v>
      </c>
      <c r="BD251" s="44">
        <f t="shared" si="84"/>
        <v>0</v>
      </c>
      <c r="BE251" s="44">
        <f t="shared" si="84"/>
        <v>135</v>
      </c>
      <c r="BF251" s="83">
        <f t="shared" si="85"/>
        <v>145</v>
      </c>
      <c r="BG251" s="47"/>
      <c r="BH251" s="47"/>
      <c r="BI251" s="90"/>
      <c r="BJ251" s="90"/>
      <c r="BK251" s="90"/>
      <c r="BL251" s="90"/>
      <c r="BM251" s="90"/>
      <c r="BN251" s="90"/>
      <c r="BO251" s="90"/>
      <c r="BP251" s="90"/>
      <c r="BQ251" s="90"/>
      <c r="BR251" s="90"/>
      <c r="BS251" s="90"/>
      <c r="BT251" s="90"/>
      <c r="BU251" s="90"/>
    </row>
    <row r="252" spans="1:73" s="91" customFormat="1" ht="67.5" x14ac:dyDescent="0.25">
      <c r="A252" s="707"/>
      <c r="B252" s="627"/>
      <c r="C252" s="627"/>
      <c r="D252" s="603"/>
      <c r="E252" s="603"/>
      <c r="F252" s="612"/>
      <c r="G252" s="612"/>
      <c r="H252" s="656"/>
      <c r="I252" s="643"/>
      <c r="J252" s="648" t="s">
        <v>876</v>
      </c>
      <c r="K252" s="355" t="s">
        <v>533</v>
      </c>
      <c r="L252" s="379" t="s">
        <v>1409</v>
      </c>
      <c r="M252" s="46">
        <v>0</v>
      </c>
      <c r="N252" s="46">
        <v>1</v>
      </c>
      <c r="O252" s="46">
        <v>1</v>
      </c>
      <c r="P252" s="46">
        <v>1</v>
      </c>
      <c r="Q252" s="46">
        <v>1</v>
      </c>
      <c r="R252" s="198">
        <v>1</v>
      </c>
      <c r="S252" s="185"/>
      <c r="T252" s="44"/>
      <c r="U252" s="44"/>
      <c r="V252" s="44"/>
      <c r="W252" s="44"/>
      <c r="X252" s="44"/>
      <c r="Y252" s="44"/>
      <c r="Z252" s="44">
        <f t="shared" si="54"/>
        <v>0</v>
      </c>
      <c r="AA252" s="44"/>
      <c r="AB252" s="44"/>
      <c r="AC252" s="44"/>
      <c r="AD252" s="44"/>
      <c r="AE252" s="44"/>
      <c r="AF252" s="44"/>
      <c r="AG252" s="44"/>
      <c r="AH252" s="44">
        <f t="shared" si="80"/>
        <v>0</v>
      </c>
      <c r="AI252" s="44"/>
      <c r="AJ252" s="44"/>
      <c r="AK252" s="44"/>
      <c r="AL252" s="44"/>
      <c r="AM252" s="44"/>
      <c r="AN252" s="44"/>
      <c r="AO252" s="44"/>
      <c r="AP252" s="44">
        <f t="shared" si="81"/>
        <v>0</v>
      </c>
      <c r="AQ252" s="44"/>
      <c r="AR252" s="44"/>
      <c r="AS252" s="44"/>
      <c r="AT252" s="44"/>
      <c r="AU252" s="44"/>
      <c r="AV252" s="44"/>
      <c r="AW252" s="44"/>
      <c r="AX252" s="44">
        <f t="shared" si="83"/>
        <v>0</v>
      </c>
      <c r="AY252" s="44">
        <f t="shared" si="84"/>
        <v>0</v>
      </c>
      <c r="AZ252" s="44">
        <f t="shared" si="84"/>
        <v>0</v>
      </c>
      <c r="BA252" s="44">
        <f t="shared" si="84"/>
        <v>0</v>
      </c>
      <c r="BB252" s="44">
        <f t="shared" si="84"/>
        <v>0</v>
      </c>
      <c r="BC252" s="44">
        <f t="shared" si="84"/>
        <v>0</v>
      </c>
      <c r="BD252" s="44">
        <f t="shared" si="84"/>
        <v>0</v>
      </c>
      <c r="BE252" s="44">
        <f t="shared" si="84"/>
        <v>0</v>
      </c>
      <c r="BF252" s="83">
        <f t="shared" si="85"/>
        <v>0</v>
      </c>
      <c r="BG252" s="47"/>
      <c r="BH252" s="47"/>
      <c r="BI252" s="90"/>
      <c r="BJ252" s="90"/>
      <c r="BK252" s="90"/>
      <c r="BL252" s="90"/>
      <c r="BM252" s="90"/>
      <c r="BN252" s="90"/>
      <c r="BO252" s="90"/>
      <c r="BP252" s="90"/>
      <c r="BQ252" s="90"/>
      <c r="BR252" s="90"/>
      <c r="BS252" s="90"/>
      <c r="BT252" s="90"/>
      <c r="BU252" s="90"/>
    </row>
    <row r="253" spans="1:73" s="91" customFormat="1" ht="67.5" x14ac:dyDescent="0.25">
      <c r="A253" s="707"/>
      <c r="B253" s="627"/>
      <c r="C253" s="627"/>
      <c r="D253" s="603"/>
      <c r="E253" s="603"/>
      <c r="F253" s="612"/>
      <c r="G253" s="612"/>
      <c r="H253" s="656"/>
      <c r="I253" s="643"/>
      <c r="J253" s="648"/>
      <c r="K253" s="355" t="s">
        <v>520</v>
      </c>
      <c r="L253" s="379" t="s">
        <v>1410</v>
      </c>
      <c r="M253" s="46">
        <v>0</v>
      </c>
      <c r="N253" s="46">
        <v>1</v>
      </c>
      <c r="O253" s="46"/>
      <c r="P253" s="46">
        <v>1</v>
      </c>
      <c r="Q253" s="46"/>
      <c r="R253" s="198"/>
      <c r="S253" s="185"/>
      <c r="T253" s="44"/>
      <c r="U253" s="44"/>
      <c r="V253" s="44"/>
      <c r="W253" s="44"/>
      <c r="X253" s="44"/>
      <c r="Y253" s="44"/>
      <c r="Z253" s="44">
        <f t="shared" si="54"/>
        <v>0</v>
      </c>
      <c r="AA253" s="44"/>
      <c r="AB253" s="44"/>
      <c r="AC253" s="44"/>
      <c r="AD253" s="44"/>
      <c r="AE253" s="44"/>
      <c r="AF253" s="44"/>
      <c r="AG253" s="44">
        <v>250</v>
      </c>
      <c r="AH253" s="44">
        <f t="shared" si="80"/>
        <v>250</v>
      </c>
      <c r="AI253" s="44"/>
      <c r="AJ253" s="44"/>
      <c r="AK253" s="44"/>
      <c r="AL253" s="44"/>
      <c r="AM253" s="44"/>
      <c r="AN253" s="44"/>
      <c r="AO253" s="44"/>
      <c r="AP253" s="44">
        <f t="shared" si="81"/>
        <v>0</v>
      </c>
      <c r="AQ253" s="44"/>
      <c r="AR253" s="44"/>
      <c r="AS253" s="44"/>
      <c r="AT253" s="44"/>
      <c r="AU253" s="44"/>
      <c r="AV253" s="44"/>
      <c r="AW253" s="44"/>
      <c r="AX253" s="44">
        <f t="shared" si="83"/>
        <v>0</v>
      </c>
      <c r="AY253" s="44">
        <f t="shared" si="84"/>
        <v>0</v>
      </c>
      <c r="AZ253" s="44">
        <f t="shared" si="84"/>
        <v>0</v>
      </c>
      <c r="BA253" s="44">
        <f t="shared" si="84"/>
        <v>0</v>
      </c>
      <c r="BB253" s="44">
        <f t="shared" si="84"/>
        <v>0</v>
      </c>
      <c r="BC253" s="44">
        <f t="shared" si="84"/>
        <v>0</v>
      </c>
      <c r="BD253" s="44">
        <f t="shared" si="84"/>
        <v>0</v>
      </c>
      <c r="BE253" s="44">
        <f t="shared" si="84"/>
        <v>250</v>
      </c>
      <c r="BF253" s="83">
        <f t="shared" si="85"/>
        <v>250</v>
      </c>
      <c r="BG253" s="47"/>
      <c r="BH253" s="47"/>
      <c r="BI253" s="90"/>
      <c r="BJ253" s="90"/>
      <c r="BK253" s="90"/>
      <c r="BL253" s="90"/>
      <c r="BM253" s="90"/>
      <c r="BN253" s="90"/>
      <c r="BO253" s="90"/>
      <c r="BP253" s="90"/>
      <c r="BQ253" s="90"/>
      <c r="BR253" s="90"/>
      <c r="BS253" s="90"/>
      <c r="BT253" s="90"/>
      <c r="BU253" s="90"/>
    </row>
    <row r="254" spans="1:73" s="91" customFormat="1" ht="67.5" x14ac:dyDescent="0.25">
      <c r="A254" s="707"/>
      <c r="B254" s="627"/>
      <c r="C254" s="627"/>
      <c r="D254" s="603"/>
      <c r="E254" s="603"/>
      <c r="F254" s="612"/>
      <c r="G254" s="612"/>
      <c r="H254" s="656"/>
      <c r="I254" s="643"/>
      <c r="J254" s="648"/>
      <c r="K254" s="355" t="s">
        <v>555</v>
      </c>
      <c r="L254" s="379" t="s">
        <v>556</v>
      </c>
      <c r="M254" s="46"/>
      <c r="N254" s="46">
        <v>40</v>
      </c>
      <c r="O254" s="46">
        <v>40</v>
      </c>
      <c r="P254" s="46">
        <v>40</v>
      </c>
      <c r="Q254" s="46">
        <v>40</v>
      </c>
      <c r="R254" s="198">
        <v>40</v>
      </c>
      <c r="S254" s="185">
        <v>5</v>
      </c>
      <c r="T254" s="44"/>
      <c r="U254" s="44"/>
      <c r="V254" s="44"/>
      <c r="W254" s="44"/>
      <c r="X254" s="44"/>
      <c r="Y254" s="44"/>
      <c r="Z254" s="44">
        <f t="shared" si="54"/>
        <v>5</v>
      </c>
      <c r="AA254" s="44">
        <v>5</v>
      </c>
      <c r="AB254" s="44"/>
      <c r="AC254" s="44"/>
      <c r="AD254" s="44"/>
      <c r="AE254" s="44"/>
      <c r="AF254" s="44"/>
      <c r="AG254" s="44"/>
      <c r="AH254" s="44">
        <f t="shared" si="80"/>
        <v>5</v>
      </c>
      <c r="AI254" s="44">
        <v>5</v>
      </c>
      <c r="AJ254" s="44"/>
      <c r="AK254" s="44"/>
      <c r="AL254" s="44"/>
      <c r="AM254" s="44"/>
      <c r="AN254" s="44"/>
      <c r="AO254" s="44"/>
      <c r="AP254" s="44">
        <f t="shared" si="81"/>
        <v>5</v>
      </c>
      <c r="AQ254" s="44">
        <v>5</v>
      </c>
      <c r="AR254" s="44"/>
      <c r="AS254" s="44"/>
      <c r="AT254" s="44"/>
      <c r="AU254" s="44"/>
      <c r="AV254" s="44"/>
      <c r="AW254" s="44"/>
      <c r="AX254" s="44">
        <f t="shared" si="83"/>
        <v>5</v>
      </c>
      <c r="AY254" s="44">
        <f t="shared" si="84"/>
        <v>20</v>
      </c>
      <c r="AZ254" s="44">
        <f t="shared" si="84"/>
        <v>0</v>
      </c>
      <c r="BA254" s="44">
        <f t="shared" si="84"/>
        <v>0</v>
      </c>
      <c r="BB254" s="44">
        <f t="shared" si="84"/>
        <v>0</v>
      </c>
      <c r="BC254" s="44">
        <f t="shared" si="84"/>
        <v>0</v>
      </c>
      <c r="BD254" s="44">
        <f t="shared" si="84"/>
        <v>0</v>
      </c>
      <c r="BE254" s="44">
        <f t="shared" si="84"/>
        <v>0</v>
      </c>
      <c r="BF254" s="83">
        <f t="shared" si="85"/>
        <v>20</v>
      </c>
      <c r="BG254" s="47"/>
      <c r="BH254" s="47"/>
      <c r="BI254" s="90"/>
      <c r="BJ254" s="90"/>
      <c r="BK254" s="90"/>
      <c r="BL254" s="90"/>
      <c r="BM254" s="90"/>
      <c r="BN254" s="90"/>
      <c r="BO254" s="90"/>
      <c r="BP254" s="90"/>
      <c r="BQ254" s="90"/>
      <c r="BR254" s="90"/>
      <c r="BS254" s="90"/>
      <c r="BT254" s="90"/>
      <c r="BU254" s="90"/>
    </row>
    <row r="255" spans="1:73" s="91" customFormat="1" ht="54" x14ac:dyDescent="0.25">
      <c r="A255" s="707"/>
      <c r="B255" s="627"/>
      <c r="C255" s="627"/>
      <c r="D255" s="603"/>
      <c r="E255" s="603"/>
      <c r="F255" s="612"/>
      <c r="G255" s="612"/>
      <c r="H255" s="656"/>
      <c r="I255" s="643"/>
      <c r="J255" s="648"/>
      <c r="K255" s="355" t="s">
        <v>522</v>
      </c>
      <c r="L255" s="379" t="s">
        <v>987</v>
      </c>
      <c r="M255" s="46">
        <v>0</v>
      </c>
      <c r="N255" s="46">
        <v>1</v>
      </c>
      <c r="O255" s="46">
        <v>1</v>
      </c>
      <c r="P255" s="46"/>
      <c r="Q255" s="46"/>
      <c r="R255" s="198"/>
      <c r="S255" s="185"/>
      <c r="T255" s="44"/>
      <c r="U255" s="44"/>
      <c r="V255" s="44"/>
      <c r="W255" s="44"/>
      <c r="X255" s="44"/>
      <c r="Y255" s="44">
        <v>200</v>
      </c>
      <c r="Z255" s="44">
        <f t="shared" si="54"/>
        <v>200</v>
      </c>
      <c r="AA255" s="44"/>
      <c r="AB255" s="44"/>
      <c r="AC255" s="44"/>
      <c r="AD255" s="44"/>
      <c r="AE255" s="44"/>
      <c r="AF255" s="44"/>
      <c r="AG255" s="44"/>
      <c r="AH255" s="44">
        <f t="shared" si="80"/>
        <v>0</v>
      </c>
      <c r="AI255" s="44"/>
      <c r="AJ255" s="44"/>
      <c r="AK255" s="44"/>
      <c r="AL255" s="44"/>
      <c r="AM255" s="44"/>
      <c r="AN255" s="44"/>
      <c r="AO255" s="44"/>
      <c r="AP255" s="44">
        <f t="shared" si="81"/>
        <v>0</v>
      </c>
      <c r="AQ255" s="44"/>
      <c r="AR255" s="44"/>
      <c r="AS255" s="44"/>
      <c r="AT255" s="44"/>
      <c r="AU255" s="44"/>
      <c r="AV255" s="44"/>
      <c r="AW255" s="44"/>
      <c r="AX255" s="44">
        <f t="shared" si="83"/>
        <v>0</v>
      </c>
      <c r="AY255" s="44">
        <f t="shared" si="84"/>
        <v>0</v>
      </c>
      <c r="AZ255" s="44">
        <f t="shared" si="84"/>
        <v>0</v>
      </c>
      <c r="BA255" s="44">
        <f t="shared" si="84"/>
        <v>0</v>
      </c>
      <c r="BB255" s="44">
        <f t="shared" si="84"/>
        <v>0</v>
      </c>
      <c r="BC255" s="44">
        <f t="shared" si="84"/>
        <v>0</v>
      </c>
      <c r="BD255" s="44">
        <f t="shared" si="84"/>
        <v>0</v>
      </c>
      <c r="BE255" s="44">
        <f t="shared" si="84"/>
        <v>200</v>
      </c>
      <c r="BF255" s="83">
        <f t="shared" si="85"/>
        <v>200</v>
      </c>
      <c r="BG255" s="47"/>
      <c r="BH255" s="47"/>
      <c r="BI255" s="90"/>
      <c r="BJ255" s="90"/>
      <c r="BK255" s="90"/>
      <c r="BL255" s="90"/>
      <c r="BM255" s="90"/>
      <c r="BN255" s="90"/>
      <c r="BO255" s="90"/>
      <c r="BP255" s="90"/>
      <c r="BQ255" s="90"/>
      <c r="BR255" s="90"/>
      <c r="BS255" s="90"/>
      <c r="BT255" s="90"/>
      <c r="BU255" s="90"/>
    </row>
    <row r="256" spans="1:73" s="91" customFormat="1" ht="40.5" x14ac:dyDescent="0.25">
      <c r="A256" s="707"/>
      <c r="B256" s="627"/>
      <c r="C256" s="627"/>
      <c r="D256" s="603"/>
      <c r="E256" s="603"/>
      <c r="F256" s="612"/>
      <c r="G256" s="612"/>
      <c r="H256" s="656"/>
      <c r="I256" s="643"/>
      <c r="J256" s="648"/>
      <c r="K256" s="355" t="s">
        <v>557</v>
      </c>
      <c r="L256" s="379" t="s">
        <v>558</v>
      </c>
      <c r="M256" s="46">
        <v>0</v>
      </c>
      <c r="N256" s="46">
        <v>4</v>
      </c>
      <c r="O256" s="46">
        <v>4</v>
      </c>
      <c r="P256" s="46">
        <v>4</v>
      </c>
      <c r="Q256" s="46">
        <v>4</v>
      </c>
      <c r="R256" s="198">
        <v>4</v>
      </c>
      <c r="S256" s="185">
        <v>10</v>
      </c>
      <c r="T256" s="44"/>
      <c r="U256" s="44"/>
      <c r="V256" s="44"/>
      <c r="W256" s="44"/>
      <c r="X256" s="44"/>
      <c r="Y256" s="44"/>
      <c r="Z256" s="44">
        <f t="shared" si="54"/>
        <v>10</v>
      </c>
      <c r="AA256" s="44">
        <v>10</v>
      </c>
      <c r="AB256" s="44"/>
      <c r="AC256" s="44"/>
      <c r="AD256" s="44"/>
      <c r="AE256" s="44"/>
      <c r="AF256" s="44"/>
      <c r="AG256" s="44"/>
      <c r="AH256" s="44">
        <f t="shared" si="80"/>
        <v>10</v>
      </c>
      <c r="AI256" s="44">
        <v>10</v>
      </c>
      <c r="AJ256" s="44"/>
      <c r="AK256" s="44"/>
      <c r="AL256" s="44"/>
      <c r="AM256" s="44"/>
      <c r="AN256" s="44"/>
      <c r="AO256" s="44"/>
      <c r="AP256" s="44">
        <f t="shared" si="81"/>
        <v>10</v>
      </c>
      <c r="AQ256" s="44">
        <v>10</v>
      </c>
      <c r="AR256" s="44"/>
      <c r="AS256" s="44"/>
      <c r="AT256" s="44"/>
      <c r="AU256" s="44"/>
      <c r="AV256" s="44"/>
      <c r="AW256" s="44"/>
      <c r="AX256" s="44">
        <f t="shared" si="83"/>
        <v>10</v>
      </c>
      <c r="AY256" s="44">
        <f t="shared" si="84"/>
        <v>40</v>
      </c>
      <c r="AZ256" s="44">
        <f t="shared" si="84"/>
        <v>0</v>
      </c>
      <c r="BA256" s="44">
        <f t="shared" si="84"/>
        <v>0</v>
      </c>
      <c r="BB256" s="44">
        <f t="shared" si="84"/>
        <v>0</v>
      </c>
      <c r="BC256" s="44">
        <f t="shared" si="84"/>
        <v>0</v>
      </c>
      <c r="BD256" s="44">
        <f t="shared" si="84"/>
        <v>0</v>
      </c>
      <c r="BE256" s="44">
        <f t="shared" si="84"/>
        <v>0</v>
      </c>
      <c r="BF256" s="83">
        <f t="shared" si="85"/>
        <v>40</v>
      </c>
      <c r="BG256" s="47"/>
      <c r="BH256" s="47"/>
      <c r="BI256" s="90"/>
      <c r="BJ256" s="90"/>
      <c r="BK256" s="90"/>
      <c r="BL256" s="90"/>
      <c r="BM256" s="90"/>
      <c r="BN256" s="90"/>
      <c r="BO256" s="90"/>
      <c r="BP256" s="90"/>
      <c r="BQ256" s="90"/>
      <c r="BR256" s="90"/>
      <c r="BS256" s="90"/>
      <c r="BT256" s="90"/>
      <c r="BU256" s="90"/>
    </row>
    <row r="257" spans="1:73" s="91" customFormat="1" ht="27" x14ac:dyDescent="0.25">
      <c r="A257" s="707"/>
      <c r="B257" s="627"/>
      <c r="C257" s="627"/>
      <c r="D257" s="603"/>
      <c r="E257" s="603"/>
      <c r="F257" s="612"/>
      <c r="G257" s="612"/>
      <c r="H257" s="656"/>
      <c r="I257" s="643"/>
      <c r="J257" s="648"/>
      <c r="K257" s="355" t="s">
        <v>516</v>
      </c>
      <c r="L257" s="379" t="s">
        <v>517</v>
      </c>
      <c r="M257" s="44">
        <v>0</v>
      </c>
      <c r="N257" s="49">
        <v>4</v>
      </c>
      <c r="O257" s="44">
        <v>1</v>
      </c>
      <c r="P257" s="44">
        <v>2</v>
      </c>
      <c r="Q257" s="44">
        <v>3</v>
      </c>
      <c r="R257" s="45">
        <v>4</v>
      </c>
      <c r="S257" s="185"/>
      <c r="T257" s="44"/>
      <c r="U257" s="44"/>
      <c r="V257" s="44"/>
      <c r="W257" s="44"/>
      <c r="X257" s="44"/>
      <c r="Y257" s="44">
        <v>625</v>
      </c>
      <c r="Z257" s="44">
        <f t="shared" si="54"/>
        <v>625</v>
      </c>
      <c r="AA257" s="44"/>
      <c r="AB257" s="44"/>
      <c r="AC257" s="44"/>
      <c r="AD257" s="44"/>
      <c r="AE257" s="44"/>
      <c r="AF257" s="44"/>
      <c r="AG257" s="44">
        <v>625</v>
      </c>
      <c r="AH257" s="44">
        <f t="shared" si="80"/>
        <v>625</v>
      </c>
      <c r="AI257" s="44"/>
      <c r="AJ257" s="44"/>
      <c r="AK257" s="44"/>
      <c r="AL257" s="44"/>
      <c r="AM257" s="44"/>
      <c r="AN257" s="44"/>
      <c r="AO257" s="44">
        <v>625</v>
      </c>
      <c r="AP257" s="44">
        <f t="shared" si="81"/>
        <v>625</v>
      </c>
      <c r="AQ257" s="44"/>
      <c r="AR257" s="44"/>
      <c r="AS257" s="44"/>
      <c r="AT257" s="44"/>
      <c r="AU257" s="44"/>
      <c r="AV257" s="44"/>
      <c r="AW257" s="44">
        <f>+U257+AB257+AI257+AP257</f>
        <v>625</v>
      </c>
      <c r="AX257" s="44">
        <f t="shared" si="83"/>
        <v>625</v>
      </c>
      <c r="AY257" s="44">
        <f t="shared" si="84"/>
        <v>0</v>
      </c>
      <c r="AZ257" s="44">
        <f t="shared" si="84"/>
        <v>0</v>
      </c>
      <c r="BA257" s="44">
        <f t="shared" si="84"/>
        <v>0</v>
      </c>
      <c r="BB257" s="44">
        <f t="shared" si="84"/>
        <v>0</v>
      </c>
      <c r="BC257" s="44">
        <f t="shared" si="84"/>
        <v>0</v>
      </c>
      <c r="BD257" s="44">
        <f t="shared" si="84"/>
        <v>0</v>
      </c>
      <c r="BE257" s="44">
        <f t="shared" si="84"/>
        <v>2500</v>
      </c>
      <c r="BF257" s="83">
        <f>+AY257+AZ257+BA257+BB257+BC257+BD257+BE257:BE259</f>
        <v>2500</v>
      </c>
      <c r="BG257" s="47"/>
      <c r="BH257" s="47"/>
      <c r="BI257" s="90"/>
      <c r="BJ257" s="90"/>
      <c r="BK257" s="90"/>
      <c r="BL257" s="90"/>
      <c r="BM257" s="90"/>
      <c r="BN257" s="90"/>
      <c r="BO257" s="90"/>
      <c r="BP257" s="90"/>
      <c r="BQ257" s="90"/>
      <c r="BR257" s="90"/>
      <c r="BS257" s="90"/>
      <c r="BT257" s="90"/>
      <c r="BU257" s="90"/>
    </row>
    <row r="258" spans="1:73" s="91" customFormat="1" ht="54" x14ac:dyDescent="0.25">
      <c r="A258" s="707"/>
      <c r="B258" s="627"/>
      <c r="C258" s="627"/>
      <c r="D258" s="603"/>
      <c r="E258" s="603"/>
      <c r="F258" s="612"/>
      <c r="G258" s="612"/>
      <c r="H258" s="656"/>
      <c r="I258" s="643"/>
      <c r="J258" s="648"/>
      <c r="K258" s="355" t="s">
        <v>988</v>
      </c>
      <c r="L258" s="379" t="s">
        <v>989</v>
      </c>
      <c r="M258" s="44">
        <v>0</v>
      </c>
      <c r="N258" s="49">
        <v>1</v>
      </c>
      <c r="O258" s="44">
        <v>1</v>
      </c>
      <c r="P258" s="44"/>
      <c r="Q258" s="44"/>
      <c r="R258" s="45"/>
      <c r="S258" s="185">
        <v>2</v>
      </c>
      <c r="T258" s="44"/>
      <c r="U258" s="44"/>
      <c r="V258" s="44"/>
      <c r="W258" s="44"/>
      <c r="X258" s="44"/>
      <c r="Y258" s="44"/>
      <c r="Z258" s="44">
        <f t="shared" si="54"/>
        <v>2</v>
      </c>
      <c r="AA258" s="44"/>
      <c r="AB258" s="44"/>
      <c r="AC258" s="44"/>
      <c r="AD258" s="44"/>
      <c r="AE258" s="44"/>
      <c r="AF258" s="44"/>
      <c r="AG258" s="44"/>
      <c r="AH258" s="44">
        <f t="shared" si="80"/>
        <v>0</v>
      </c>
      <c r="AI258" s="44"/>
      <c r="AJ258" s="44"/>
      <c r="AK258" s="44"/>
      <c r="AL258" s="44"/>
      <c r="AM258" s="44"/>
      <c r="AN258" s="44"/>
      <c r="AO258" s="44"/>
      <c r="AP258" s="44">
        <f t="shared" si="81"/>
        <v>0</v>
      </c>
      <c r="AQ258" s="44"/>
      <c r="AR258" s="44"/>
      <c r="AS258" s="44"/>
      <c r="AT258" s="44"/>
      <c r="AU258" s="44"/>
      <c r="AV258" s="44"/>
      <c r="AW258" s="44"/>
      <c r="AX258" s="44">
        <f t="shared" si="83"/>
        <v>0</v>
      </c>
      <c r="AY258" s="44">
        <f t="shared" ref="AY258:BE258" si="86">+S258+AA258+AI258+AQ258</f>
        <v>2</v>
      </c>
      <c r="AZ258" s="44">
        <f t="shared" si="86"/>
        <v>0</v>
      </c>
      <c r="BA258" s="44">
        <f t="shared" si="86"/>
        <v>0</v>
      </c>
      <c r="BB258" s="44">
        <f t="shared" si="86"/>
        <v>0</v>
      </c>
      <c r="BC258" s="44">
        <f t="shared" si="86"/>
        <v>0</v>
      </c>
      <c r="BD258" s="44">
        <f t="shared" si="86"/>
        <v>0</v>
      </c>
      <c r="BE258" s="44">
        <f t="shared" si="86"/>
        <v>0</v>
      </c>
      <c r="BF258" s="83">
        <f>+AY258+AZ258+BA258+BB258+BC258+BD258+BE258:BE260</f>
        <v>2</v>
      </c>
      <c r="BG258" s="47"/>
      <c r="BH258" s="47"/>
      <c r="BI258" s="90"/>
      <c r="BJ258" s="90"/>
      <c r="BK258" s="90"/>
      <c r="BL258" s="90"/>
      <c r="BM258" s="90"/>
      <c r="BN258" s="90"/>
      <c r="BO258" s="90"/>
      <c r="BP258" s="90"/>
      <c r="BQ258" s="90"/>
      <c r="BR258" s="90"/>
      <c r="BS258" s="90"/>
      <c r="BT258" s="90"/>
      <c r="BU258" s="90"/>
    </row>
    <row r="259" spans="1:73" s="91" customFormat="1" ht="81" x14ac:dyDescent="0.25">
      <c r="A259" s="707"/>
      <c r="B259" s="627"/>
      <c r="C259" s="627"/>
      <c r="D259" s="603"/>
      <c r="E259" s="603"/>
      <c r="F259" s="612"/>
      <c r="G259" s="612"/>
      <c r="H259" s="641" t="s">
        <v>803</v>
      </c>
      <c r="I259" s="643" t="s">
        <v>877</v>
      </c>
      <c r="J259" s="640" t="s">
        <v>878</v>
      </c>
      <c r="K259" s="355" t="s">
        <v>546</v>
      </c>
      <c r="L259" s="379" t="s">
        <v>547</v>
      </c>
      <c r="M259" s="46">
        <v>0</v>
      </c>
      <c r="N259" s="46">
        <v>14</v>
      </c>
      <c r="O259" s="46"/>
      <c r="P259" s="46">
        <v>14</v>
      </c>
      <c r="Q259" s="46"/>
      <c r="R259" s="198"/>
      <c r="S259" s="185"/>
      <c r="T259" s="44"/>
      <c r="U259" s="44"/>
      <c r="V259" s="44"/>
      <c r="W259" s="44"/>
      <c r="X259" s="44"/>
      <c r="Y259" s="44"/>
      <c r="Z259" s="44">
        <f t="shared" si="54"/>
        <v>0</v>
      </c>
      <c r="AA259" s="44"/>
      <c r="AB259" s="44"/>
      <c r="AC259" s="44"/>
      <c r="AD259" s="44"/>
      <c r="AE259" s="44"/>
      <c r="AF259" s="44"/>
      <c r="AG259" s="44">
        <v>275</v>
      </c>
      <c r="AH259" s="44">
        <f t="shared" si="80"/>
        <v>275</v>
      </c>
      <c r="AI259" s="44"/>
      <c r="AJ259" s="44"/>
      <c r="AK259" s="44"/>
      <c r="AL259" s="44"/>
      <c r="AM259" s="44"/>
      <c r="AN259" s="44"/>
      <c r="AO259" s="44"/>
      <c r="AP259" s="44">
        <f t="shared" si="81"/>
        <v>0</v>
      </c>
      <c r="AQ259" s="44"/>
      <c r="AR259" s="44"/>
      <c r="AS259" s="44"/>
      <c r="AT259" s="44"/>
      <c r="AU259" s="44"/>
      <c r="AV259" s="44"/>
      <c r="AW259" s="44"/>
      <c r="AX259" s="44">
        <f t="shared" si="83"/>
        <v>0</v>
      </c>
      <c r="AY259" s="44">
        <f t="shared" si="84"/>
        <v>0</v>
      </c>
      <c r="AZ259" s="44">
        <f t="shared" si="84"/>
        <v>0</v>
      </c>
      <c r="BA259" s="44">
        <f t="shared" si="84"/>
        <v>0</v>
      </c>
      <c r="BB259" s="44">
        <f t="shared" si="84"/>
        <v>0</v>
      </c>
      <c r="BC259" s="44">
        <f t="shared" si="84"/>
        <v>0</v>
      </c>
      <c r="BD259" s="44">
        <f t="shared" si="84"/>
        <v>0</v>
      </c>
      <c r="BE259" s="44">
        <f t="shared" si="84"/>
        <v>275</v>
      </c>
      <c r="BF259" s="83">
        <f t="shared" si="85"/>
        <v>275</v>
      </c>
      <c r="BG259" s="47"/>
      <c r="BH259" s="47"/>
      <c r="BI259" s="90"/>
      <c r="BJ259" s="90"/>
      <c r="BK259" s="90"/>
      <c r="BL259" s="90"/>
      <c r="BM259" s="90"/>
      <c r="BN259" s="90"/>
      <c r="BO259" s="90"/>
      <c r="BP259" s="90"/>
      <c r="BQ259" s="90"/>
      <c r="BR259" s="90"/>
      <c r="BS259" s="90"/>
      <c r="BT259" s="90"/>
      <c r="BU259" s="90"/>
    </row>
    <row r="260" spans="1:73" s="91" customFormat="1" ht="27" x14ac:dyDescent="0.25">
      <c r="A260" s="707"/>
      <c r="B260" s="627"/>
      <c r="C260" s="627"/>
      <c r="D260" s="603"/>
      <c r="E260" s="603"/>
      <c r="F260" s="612"/>
      <c r="G260" s="612"/>
      <c r="H260" s="641"/>
      <c r="I260" s="643"/>
      <c r="J260" s="640"/>
      <c r="K260" s="355" t="s">
        <v>716</v>
      </c>
      <c r="L260" s="379" t="s">
        <v>715</v>
      </c>
      <c r="M260" s="46"/>
      <c r="N260" s="46">
        <v>1</v>
      </c>
      <c r="O260" s="46">
        <v>1</v>
      </c>
      <c r="P260" s="46">
        <v>1</v>
      </c>
      <c r="Q260" s="46">
        <v>1</v>
      </c>
      <c r="R260" s="198">
        <v>1</v>
      </c>
      <c r="S260" s="185"/>
      <c r="T260" s="44"/>
      <c r="U260" s="44"/>
      <c r="V260" s="44"/>
      <c r="W260" s="44"/>
      <c r="X260" s="44"/>
      <c r="Y260" s="44"/>
      <c r="Z260" s="44">
        <f t="shared" si="54"/>
        <v>0</v>
      </c>
      <c r="AA260" s="44"/>
      <c r="AB260" s="44"/>
      <c r="AC260" s="44"/>
      <c r="AD260" s="44"/>
      <c r="AE260" s="44"/>
      <c r="AF260" s="44"/>
      <c r="AG260" s="44"/>
      <c r="AH260" s="44">
        <f t="shared" si="80"/>
        <v>0</v>
      </c>
      <c r="AI260" s="44"/>
      <c r="AJ260" s="44"/>
      <c r="AK260" s="44"/>
      <c r="AL260" s="44"/>
      <c r="AM260" s="44"/>
      <c r="AN260" s="44"/>
      <c r="AO260" s="44"/>
      <c r="AP260" s="44">
        <f t="shared" si="81"/>
        <v>0</v>
      </c>
      <c r="AQ260" s="44"/>
      <c r="AR260" s="44"/>
      <c r="AS260" s="44"/>
      <c r="AT260" s="44"/>
      <c r="AU260" s="44"/>
      <c r="AV260" s="44"/>
      <c r="AW260" s="44"/>
      <c r="AX260" s="44">
        <f t="shared" si="83"/>
        <v>0</v>
      </c>
      <c r="AY260" s="44">
        <f t="shared" si="84"/>
        <v>0</v>
      </c>
      <c r="AZ260" s="44">
        <f t="shared" si="84"/>
        <v>0</v>
      </c>
      <c r="BA260" s="44">
        <f t="shared" si="84"/>
        <v>0</v>
      </c>
      <c r="BB260" s="44">
        <f t="shared" si="84"/>
        <v>0</v>
      </c>
      <c r="BC260" s="44">
        <f t="shared" si="84"/>
        <v>0</v>
      </c>
      <c r="BD260" s="44">
        <f t="shared" si="84"/>
        <v>0</v>
      </c>
      <c r="BE260" s="44">
        <f t="shared" si="84"/>
        <v>0</v>
      </c>
      <c r="BF260" s="83">
        <f t="shared" si="85"/>
        <v>0</v>
      </c>
      <c r="BG260" s="47"/>
      <c r="BH260" s="47"/>
      <c r="BI260" s="90"/>
      <c r="BJ260" s="90"/>
      <c r="BK260" s="90"/>
      <c r="BL260" s="90"/>
      <c r="BM260" s="90"/>
      <c r="BN260" s="90"/>
      <c r="BO260" s="90"/>
      <c r="BP260" s="90"/>
      <c r="BQ260" s="90"/>
      <c r="BR260" s="90"/>
      <c r="BS260" s="90"/>
      <c r="BT260" s="90"/>
      <c r="BU260" s="90"/>
    </row>
    <row r="261" spans="1:73" s="91" customFormat="1" ht="40.5" x14ac:dyDescent="0.25">
      <c r="A261" s="707"/>
      <c r="B261" s="627"/>
      <c r="C261" s="627"/>
      <c r="D261" s="603"/>
      <c r="E261" s="603"/>
      <c r="F261" s="612"/>
      <c r="G261" s="612"/>
      <c r="H261" s="641"/>
      <c r="I261" s="643"/>
      <c r="J261" s="640"/>
      <c r="K261" s="355" t="s">
        <v>986</v>
      </c>
      <c r="L261" s="379" t="s">
        <v>879</v>
      </c>
      <c r="M261" s="46">
        <v>0</v>
      </c>
      <c r="N261" s="46">
        <v>5</v>
      </c>
      <c r="O261" s="46">
        <v>0</v>
      </c>
      <c r="P261" s="46">
        <v>2</v>
      </c>
      <c r="Q261" s="46">
        <v>4</v>
      </c>
      <c r="R261" s="198">
        <v>5</v>
      </c>
      <c r="S261" s="189"/>
      <c r="T261" s="89"/>
      <c r="U261" s="89"/>
      <c r="V261" s="89"/>
      <c r="W261" s="89"/>
      <c r="X261" s="89"/>
      <c r="Y261" s="89"/>
      <c r="Z261" s="44">
        <f t="shared" si="54"/>
        <v>0</v>
      </c>
      <c r="AA261" s="89"/>
      <c r="AB261" s="89"/>
      <c r="AC261" s="89"/>
      <c r="AD261" s="89"/>
      <c r="AE261" s="89"/>
      <c r="AF261" s="89"/>
      <c r="AG261" s="89"/>
      <c r="AH261" s="44">
        <f t="shared" si="80"/>
        <v>0</v>
      </c>
      <c r="AI261" s="89"/>
      <c r="AJ261" s="89"/>
      <c r="AK261" s="89"/>
      <c r="AL261" s="89"/>
      <c r="AM261" s="89"/>
      <c r="AN261" s="89"/>
      <c r="AO261" s="89"/>
      <c r="AP261" s="44">
        <f t="shared" si="81"/>
        <v>0</v>
      </c>
      <c r="AQ261" s="89"/>
      <c r="AR261" s="89"/>
      <c r="AS261" s="89"/>
      <c r="AT261" s="89"/>
      <c r="AU261" s="89"/>
      <c r="AV261" s="89"/>
      <c r="AW261" s="89"/>
      <c r="AX261" s="44">
        <f t="shared" si="83"/>
        <v>0</v>
      </c>
      <c r="AY261" s="44">
        <f t="shared" si="84"/>
        <v>0</v>
      </c>
      <c r="AZ261" s="44">
        <f t="shared" si="84"/>
        <v>0</v>
      </c>
      <c r="BA261" s="44">
        <f t="shared" si="84"/>
        <v>0</v>
      </c>
      <c r="BB261" s="44">
        <f t="shared" si="84"/>
        <v>0</v>
      </c>
      <c r="BC261" s="44">
        <f t="shared" si="84"/>
        <v>0</v>
      </c>
      <c r="BD261" s="44">
        <f t="shared" si="84"/>
        <v>0</v>
      </c>
      <c r="BE261" s="44">
        <f t="shared" si="84"/>
        <v>0</v>
      </c>
      <c r="BF261" s="83">
        <f>+AY261+AZ261+BA261+BB261+BC261+BD261+BE261:BE261</f>
        <v>0</v>
      </c>
      <c r="BG261" s="47"/>
      <c r="BH261" s="47"/>
      <c r="BI261" s="90"/>
      <c r="BJ261" s="90"/>
      <c r="BK261" s="90"/>
      <c r="BL261" s="90"/>
      <c r="BM261" s="90"/>
      <c r="BN261" s="90"/>
      <c r="BO261" s="90"/>
      <c r="BP261" s="90"/>
      <c r="BQ261" s="90"/>
      <c r="BR261" s="90"/>
      <c r="BS261" s="90"/>
      <c r="BT261" s="90"/>
      <c r="BU261" s="90"/>
    </row>
    <row r="262" spans="1:73" s="91" customFormat="1" ht="40.5" x14ac:dyDescent="0.25">
      <c r="A262" s="707"/>
      <c r="B262" s="627"/>
      <c r="C262" s="627"/>
      <c r="D262" s="603"/>
      <c r="E262" s="603"/>
      <c r="F262" s="612"/>
      <c r="G262" s="612"/>
      <c r="H262" s="641"/>
      <c r="I262" s="643"/>
      <c r="J262" s="640" t="s">
        <v>880</v>
      </c>
      <c r="K262" s="355" t="s">
        <v>965</v>
      </c>
      <c r="L262" s="379" t="s">
        <v>552</v>
      </c>
      <c r="M262" s="46"/>
      <c r="N262" s="46">
        <v>35</v>
      </c>
      <c r="O262" s="46">
        <v>35</v>
      </c>
      <c r="P262" s="46">
        <v>35</v>
      </c>
      <c r="Q262" s="46">
        <v>35</v>
      </c>
      <c r="R262" s="198">
        <v>35</v>
      </c>
      <c r="S262" s="185">
        <v>25</v>
      </c>
      <c r="T262" s="44"/>
      <c r="U262" s="44"/>
      <c r="V262" s="44"/>
      <c r="W262" s="44"/>
      <c r="X262" s="44"/>
      <c r="Y262" s="44"/>
      <c r="Z262" s="44">
        <f t="shared" si="54"/>
        <v>25</v>
      </c>
      <c r="AA262" s="44">
        <v>25</v>
      </c>
      <c r="AB262" s="44"/>
      <c r="AC262" s="44"/>
      <c r="AD262" s="44"/>
      <c r="AE262" s="44"/>
      <c r="AF262" s="44"/>
      <c r="AG262" s="44"/>
      <c r="AH262" s="44">
        <f t="shared" si="80"/>
        <v>25</v>
      </c>
      <c r="AI262" s="44">
        <v>25</v>
      </c>
      <c r="AJ262" s="44"/>
      <c r="AK262" s="44"/>
      <c r="AL262" s="44"/>
      <c r="AM262" s="44"/>
      <c r="AN262" s="44"/>
      <c r="AO262" s="44"/>
      <c r="AP262" s="44">
        <f t="shared" si="81"/>
        <v>25</v>
      </c>
      <c r="AQ262" s="44">
        <v>25</v>
      </c>
      <c r="AR262" s="44"/>
      <c r="AS262" s="44"/>
      <c r="AT262" s="44"/>
      <c r="AU262" s="44"/>
      <c r="AV262" s="44"/>
      <c r="AW262" s="44"/>
      <c r="AX262" s="44">
        <f t="shared" si="83"/>
        <v>25</v>
      </c>
      <c r="AY262" s="44">
        <f t="shared" si="84"/>
        <v>100</v>
      </c>
      <c r="AZ262" s="44">
        <f t="shared" si="84"/>
        <v>0</v>
      </c>
      <c r="BA262" s="44">
        <f t="shared" si="84"/>
        <v>0</v>
      </c>
      <c r="BB262" s="44">
        <f t="shared" si="84"/>
        <v>0</v>
      </c>
      <c r="BC262" s="44">
        <f t="shared" si="84"/>
        <v>0</v>
      </c>
      <c r="BD262" s="44">
        <f t="shared" si="84"/>
        <v>0</v>
      </c>
      <c r="BE262" s="44">
        <f t="shared" si="84"/>
        <v>0</v>
      </c>
      <c r="BF262" s="83">
        <f t="shared" si="85"/>
        <v>100</v>
      </c>
      <c r="BG262" s="47"/>
      <c r="BH262" s="47"/>
      <c r="BI262" s="90"/>
      <c r="BJ262" s="90"/>
      <c r="BK262" s="90"/>
      <c r="BL262" s="90"/>
      <c r="BM262" s="90"/>
      <c r="BN262" s="90"/>
      <c r="BO262" s="90"/>
      <c r="BP262" s="90"/>
      <c r="BQ262" s="90"/>
      <c r="BR262" s="90"/>
      <c r="BS262" s="90"/>
      <c r="BT262" s="90"/>
      <c r="BU262" s="90"/>
    </row>
    <row r="263" spans="1:73" s="91" customFormat="1" ht="40.5" x14ac:dyDescent="0.25">
      <c r="A263" s="707"/>
      <c r="B263" s="627"/>
      <c r="C263" s="627"/>
      <c r="D263" s="603"/>
      <c r="E263" s="603"/>
      <c r="F263" s="612"/>
      <c r="G263" s="612"/>
      <c r="H263" s="641"/>
      <c r="I263" s="643"/>
      <c r="J263" s="640"/>
      <c r="K263" s="355" t="s">
        <v>532</v>
      </c>
      <c r="L263" s="379" t="s">
        <v>966</v>
      </c>
      <c r="M263" s="46">
        <v>0</v>
      </c>
      <c r="N263" s="46">
        <v>1</v>
      </c>
      <c r="O263" s="46">
        <v>1</v>
      </c>
      <c r="P263" s="46">
        <v>1</v>
      </c>
      <c r="Q263" s="46">
        <v>1</v>
      </c>
      <c r="R263" s="198">
        <v>1</v>
      </c>
      <c r="S263" s="185">
        <v>10</v>
      </c>
      <c r="T263" s="44"/>
      <c r="U263" s="44"/>
      <c r="V263" s="44"/>
      <c r="W263" s="44"/>
      <c r="X263" s="44"/>
      <c r="Y263" s="44"/>
      <c r="Z263" s="44">
        <f t="shared" si="54"/>
        <v>10</v>
      </c>
      <c r="AA263" s="44">
        <v>10</v>
      </c>
      <c r="AB263" s="44"/>
      <c r="AC263" s="44"/>
      <c r="AD263" s="44"/>
      <c r="AE263" s="44"/>
      <c r="AF263" s="44"/>
      <c r="AG263" s="44"/>
      <c r="AH263" s="44">
        <f t="shared" si="80"/>
        <v>10</v>
      </c>
      <c r="AI263" s="44">
        <v>20</v>
      </c>
      <c r="AJ263" s="44"/>
      <c r="AK263" s="44"/>
      <c r="AL263" s="44"/>
      <c r="AM263" s="44"/>
      <c r="AN263" s="44"/>
      <c r="AO263" s="44"/>
      <c r="AP263" s="44">
        <f t="shared" si="81"/>
        <v>20</v>
      </c>
      <c r="AQ263" s="44">
        <v>20</v>
      </c>
      <c r="AR263" s="44"/>
      <c r="AS263" s="44"/>
      <c r="AT263" s="44"/>
      <c r="AU263" s="44"/>
      <c r="AV263" s="44"/>
      <c r="AW263" s="44"/>
      <c r="AX263" s="44">
        <f t="shared" si="83"/>
        <v>20</v>
      </c>
      <c r="AY263" s="44">
        <f t="shared" si="84"/>
        <v>60</v>
      </c>
      <c r="AZ263" s="44">
        <f t="shared" si="84"/>
        <v>0</v>
      </c>
      <c r="BA263" s="44">
        <f t="shared" si="84"/>
        <v>0</v>
      </c>
      <c r="BB263" s="44">
        <f t="shared" si="84"/>
        <v>0</v>
      </c>
      <c r="BC263" s="44">
        <f t="shared" si="84"/>
        <v>0</v>
      </c>
      <c r="BD263" s="44">
        <f t="shared" si="84"/>
        <v>0</v>
      </c>
      <c r="BE263" s="44">
        <f t="shared" si="84"/>
        <v>0</v>
      </c>
      <c r="BF263" s="83">
        <f t="shared" si="85"/>
        <v>60</v>
      </c>
      <c r="BG263" s="47"/>
      <c r="BH263" s="47"/>
      <c r="BI263" s="90"/>
      <c r="BJ263" s="90"/>
      <c r="BK263" s="90"/>
      <c r="BL263" s="90"/>
      <c r="BM263" s="90"/>
      <c r="BN263" s="90"/>
      <c r="BO263" s="90"/>
      <c r="BP263" s="90"/>
      <c r="BQ263" s="90"/>
      <c r="BR263" s="90"/>
      <c r="BS263" s="90"/>
      <c r="BT263" s="90"/>
      <c r="BU263" s="90"/>
    </row>
    <row r="264" spans="1:73" s="91" customFormat="1" ht="54" x14ac:dyDescent="0.25">
      <c r="A264" s="707"/>
      <c r="B264" s="627"/>
      <c r="C264" s="627"/>
      <c r="D264" s="603"/>
      <c r="E264" s="603"/>
      <c r="F264" s="612"/>
      <c r="G264" s="612"/>
      <c r="H264" s="641"/>
      <c r="I264" s="643"/>
      <c r="J264" s="640"/>
      <c r="K264" s="355" t="s">
        <v>519</v>
      </c>
      <c r="L264" s="379" t="s">
        <v>554</v>
      </c>
      <c r="M264" s="46">
        <v>80</v>
      </c>
      <c r="N264" s="44">
        <v>5000</v>
      </c>
      <c r="O264" s="46"/>
      <c r="P264" s="44">
        <v>1000</v>
      </c>
      <c r="Q264" s="44">
        <v>2500</v>
      </c>
      <c r="R264" s="45">
        <v>5000</v>
      </c>
      <c r="S264" s="185"/>
      <c r="T264" s="44"/>
      <c r="U264" s="44"/>
      <c r="V264" s="44"/>
      <c r="W264" s="44"/>
      <c r="X264" s="44"/>
      <c r="Y264" s="44"/>
      <c r="Z264" s="44">
        <f t="shared" si="54"/>
        <v>0</v>
      </c>
      <c r="AA264" s="44"/>
      <c r="AB264" s="44"/>
      <c r="AC264" s="44"/>
      <c r="AD264" s="44"/>
      <c r="AE264" s="44"/>
      <c r="AF264" s="44"/>
      <c r="AG264" s="44">
        <v>300</v>
      </c>
      <c r="AH264" s="44">
        <f t="shared" si="80"/>
        <v>300</v>
      </c>
      <c r="AI264" s="44"/>
      <c r="AJ264" s="44"/>
      <c r="AK264" s="44"/>
      <c r="AL264" s="44"/>
      <c r="AM264" s="44"/>
      <c r="AN264" s="44"/>
      <c r="AO264" s="44">
        <v>300</v>
      </c>
      <c r="AP264" s="44">
        <f t="shared" si="81"/>
        <v>300</v>
      </c>
      <c r="AQ264" s="44">
        <v>60</v>
      </c>
      <c r="AR264" s="44"/>
      <c r="AS264" s="44"/>
      <c r="AT264" s="44"/>
      <c r="AU264" s="44"/>
      <c r="AV264" s="44"/>
      <c r="AW264" s="44">
        <v>600</v>
      </c>
      <c r="AX264" s="44">
        <f t="shared" si="83"/>
        <v>660</v>
      </c>
      <c r="AY264" s="44">
        <f t="shared" si="84"/>
        <v>60</v>
      </c>
      <c r="AZ264" s="44">
        <f t="shared" si="84"/>
        <v>0</v>
      </c>
      <c r="BA264" s="44">
        <f t="shared" si="84"/>
        <v>0</v>
      </c>
      <c r="BB264" s="44">
        <f t="shared" si="84"/>
        <v>0</v>
      </c>
      <c r="BC264" s="44">
        <f t="shared" si="84"/>
        <v>0</v>
      </c>
      <c r="BD264" s="44">
        <f t="shared" si="84"/>
        <v>0</v>
      </c>
      <c r="BE264" s="44">
        <f t="shared" si="84"/>
        <v>1200</v>
      </c>
      <c r="BF264" s="83">
        <f t="shared" si="85"/>
        <v>1260</v>
      </c>
      <c r="BG264" s="47"/>
      <c r="BH264" s="47"/>
      <c r="BI264" s="90"/>
      <c r="BJ264" s="90"/>
      <c r="BK264" s="90"/>
      <c r="BL264" s="90"/>
      <c r="BM264" s="90"/>
      <c r="BN264" s="90"/>
      <c r="BO264" s="90"/>
      <c r="BP264" s="90"/>
      <c r="BQ264" s="90"/>
      <c r="BR264" s="90"/>
      <c r="BS264" s="90"/>
      <c r="BT264" s="90"/>
      <c r="BU264" s="90"/>
    </row>
    <row r="265" spans="1:73" s="91" customFormat="1" ht="40.5" customHeight="1" x14ac:dyDescent="0.25">
      <c r="A265" s="707"/>
      <c r="B265" s="627"/>
      <c r="C265" s="627"/>
      <c r="D265" s="603"/>
      <c r="E265" s="603"/>
      <c r="F265" s="612"/>
      <c r="G265" s="612"/>
      <c r="H265" s="641" t="s">
        <v>804</v>
      </c>
      <c r="I265" s="643" t="s">
        <v>881</v>
      </c>
      <c r="J265" s="648" t="s">
        <v>882</v>
      </c>
      <c r="K265" s="355" t="s">
        <v>883</v>
      </c>
      <c r="L265" s="379" t="s">
        <v>884</v>
      </c>
      <c r="M265" s="84">
        <v>0</v>
      </c>
      <c r="N265" s="84">
        <v>10</v>
      </c>
      <c r="O265" s="84">
        <v>2</v>
      </c>
      <c r="P265" s="84">
        <v>4</v>
      </c>
      <c r="Q265" s="84">
        <v>8</v>
      </c>
      <c r="R265" s="202">
        <v>10</v>
      </c>
      <c r="S265" s="188">
        <v>5</v>
      </c>
      <c r="T265" s="85"/>
      <c r="U265" s="85"/>
      <c r="V265" s="85"/>
      <c r="W265" s="85"/>
      <c r="X265" s="85"/>
      <c r="Y265" s="85"/>
      <c r="Z265" s="44">
        <f t="shared" si="54"/>
        <v>5</v>
      </c>
      <c r="AA265" s="85">
        <v>5</v>
      </c>
      <c r="AB265" s="85"/>
      <c r="AC265" s="85"/>
      <c r="AD265" s="85"/>
      <c r="AE265" s="85"/>
      <c r="AF265" s="85"/>
      <c r="AG265" s="85"/>
      <c r="AH265" s="44">
        <f t="shared" si="80"/>
        <v>5</v>
      </c>
      <c r="AI265" s="85">
        <v>5</v>
      </c>
      <c r="AJ265" s="85"/>
      <c r="AK265" s="85"/>
      <c r="AL265" s="85"/>
      <c r="AM265" s="85"/>
      <c r="AN265" s="85"/>
      <c r="AO265" s="85"/>
      <c r="AP265" s="44">
        <f t="shared" si="81"/>
        <v>5</v>
      </c>
      <c r="AQ265" s="85">
        <v>10</v>
      </c>
      <c r="AR265" s="85"/>
      <c r="AS265" s="85"/>
      <c r="AT265" s="85"/>
      <c r="AU265" s="85"/>
      <c r="AV265" s="85"/>
      <c r="AW265" s="85"/>
      <c r="AX265" s="44">
        <f t="shared" si="83"/>
        <v>10</v>
      </c>
      <c r="AY265" s="44">
        <f t="shared" si="84"/>
        <v>25</v>
      </c>
      <c r="AZ265" s="44">
        <f t="shared" si="84"/>
        <v>0</v>
      </c>
      <c r="BA265" s="44">
        <f t="shared" si="84"/>
        <v>0</v>
      </c>
      <c r="BB265" s="44">
        <f t="shared" si="84"/>
        <v>0</v>
      </c>
      <c r="BC265" s="44">
        <f t="shared" si="84"/>
        <v>0</v>
      </c>
      <c r="BD265" s="44">
        <f t="shared" si="84"/>
        <v>0</v>
      </c>
      <c r="BE265" s="44">
        <f t="shared" si="84"/>
        <v>0</v>
      </c>
      <c r="BF265" s="83">
        <f t="shared" si="85"/>
        <v>25</v>
      </c>
      <c r="BG265" s="47"/>
      <c r="BH265" s="47"/>
      <c r="BI265" s="90"/>
      <c r="BJ265" s="90"/>
      <c r="BK265" s="90"/>
      <c r="BL265" s="90"/>
      <c r="BM265" s="90"/>
      <c r="BN265" s="90"/>
      <c r="BO265" s="90"/>
      <c r="BP265" s="90"/>
      <c r="BQ265" s="90"/>
      <c r="BR265" s="90"/>
      <c r="BS265" s="90"/>
      <c r="BT265" s="90"/>
      <c r="BU265" s="90"/>
    </row>
    <row r="266" spans="1:73" s="91" customFormat="1" ht="27" x14ac:dyDescent="0.25">
      <c r="A266" s="707"/>
      <c r="B266" s="627"/>
      <c r="C266" s="627"/>
      <c r="D266" s="603"/>
      <c r="E266" s="603"/>
      <c r="F266" s="612"/>
      <c r="G266" s="612"/>
      <c r="H266" s="641"/>
      <c r="I266" s="643"/>
      <c r="J266" s="648"/>
      <c r="K266" s="355" t="s">
        <v>885</v>
      </c>
      <c r="L266" s="379" t="s">
        <v>884</v>
      </c>
      <c r="M266" s="84">
        <v>0</v>
      </c>
      <c r="N266" s="84">
        <v>4</v>
      </c>
      <c r="O266" s="84">
        <v>1</v>
      </c>
      <c r="P266" s="84">
        <v>2</v>
      </c>
      <c r="Q266" s="84">
        <v>3</v>
      </c>
      <c r="R266" s="202">
        <v>4</v>
      </c>
      <c r="S266" s="188">
        <v>2</v>
      </c>
      <c r="T266" s="85"/>
      <c r="U266" s="85"/>
      <c r="V266" s="85"/>
      <c r="W266" s="85"/>
      <c r="X266" s="85"/>
      <c r="Y266" s="85"/>
      <c r="Z266" s="44">
        <f t="shared" si="54"/>
        <v>2</v>
      </c>
      <c r="AA266" s="85">
        <v>2</v>
      </c>
      <c r="AB266" s="85"/>
      <c r="AC266" s="85"/>
      <c r="AD266" s="85"/>
      <c r="AE266" s="85"/>
      <c r="AF266" s="85"/>
      <c r="AG266" s="85"/>
      <c r="AH266" s="44">
        <f t="shared" si="80"/>
        <v>2</v>
      </c>
      <c r="AI266" s="85">
        <v>2</v>
      </c>
      <c r="AJ266" s="85"/>
      <c r="AK266" s="85"/>
      <c r="AL266" s="85"/>
      <c r="AM266" s="85"/>
      <c r="AN266" s="85"/>
      <c r="AO266" s="85"/>
      <c r="AP266" s="44">
        <f t="shared" si="81"/>
        <v>2</v>
      </c>
      <c r="AQ266" s="85">
        <v>10</v>
      </c>
      <c r="AR266" s="85"/>
      <c r="AS266" s="85"/>
      <c r="AT266" s="85"/>
      <c r="AU266" s="85"/>
      <c r="AV266" s="85"/>
      <c r="AW266" s="85"/>
      <c r="AX266" s="44">
        <f t="shared" si="83"/>
        <v>10</v>
      </c>
      <c r="AY266" s="44">
        <f t="shared" si="84"/>
        <v>16</v>
      </c>
      <c r="AZ266" s="44">
        <f t="shared" si="84"/>
        <v>0</v>
      </c>
      <c r="BA266" s="44">
        <f t="shared" si="84"/>
        <v>0</v>
      </c>
      <c r="BB266" s="44">
        <f t="shared" si="84"/>
        <v>0</v>
      </c>
      <c r="BC266" s="44">
        <f t="shared" si="84"/>
        <v>0</v>
      </c>
      <c r="BD266" s="44">
        <f t="shared" si="84"/>
        <v>0</v>
      </c>
      <c r="BE266" s="44">
        <f t="shared" si="84"/>
        <v>0</v>
      </c>
      <c r="BF266" s="83">
        <f t="shared" si="85"/>
        <v>16</v>
      </c>
      <c r="BG266" s="47"/>
      <c r="BH266" s="47"/>
      <c r="BI266" s="90"/>
      <c r="BJ266" s="90"/>
      <c r="BK266" s="90"/>
      <c r="BL266" s="90"/>
      <c r="BM266" s="90"/>
      <c r="BN266" s="90"/>
      <c r="BO266" s="90"/>
      <c r="BP266" s="90"/>
      <c r="BQ266" s="90"/>
      <c r="BR266" s="90"/>
      <c r="BS266" s="90"/>
      <c r="BT266" s="90"/>
      <c r="BU266" s="90"/>
    </row>
    <row r="267" spans="1:73" s="91" customFormat="1" ht="40.5" x14ac:dyDescent="0.25">
      <c r="A267" s="707"/>
      <c r="B267" s="627"/>
      <c r="C267" s="627"/>
      <c r="D267" s="603"/>
      <c r="E267" s="603"/>
      <c r="F267" s="612"/>
      <c r="G267" s="612"/>
      <c r="H267" s="641"/>
      <c r="I267" s="643"/>
      <c r="J267" s="648"/>
      <c r="K267" s="355" t="s">
        <v>886</v>
      </c>
      <c r="L267" s="379" t="s">
        <v>887</v>
      </c>
      <c r="M267" s="84">
        <v>0</v>
      </c>
      <c r="N267" s="84">
        <v>400</v>
      </c>
      <c r="O267" s="84">
        <v>100</v>
      </c>
      <c r="P267" s="84">
        <v>100</v>
      </c>
      <c r="Q267" s="84">
        <v>100</v>
      </c>
      <c r="R267" s="202">
        <v>100</v>
      </c>
      <c r="S267" s="188">
        <v>5</v>
      </c>
      <c r="T267" s="85"/>
      <c r="U267" s="85"/>
      <c r="V267" s="85"/>
      <c r="W267" s="85"/>
      <c r="X267" s="85"/>
      <c r="Y267" s="85"/>
      <c r="Z267" s="44">
        <f t="shared" si="54"/>
        <v>5</v>
      </c>
      <c r="AA267" s="85">
        <v>5</v>
      </c>
      <c r="AB267" s="85"/>
      <c r="AC267" s="85"/>
      <c r="AD267" s="85"/>
      <c r="AE267" s="85"/>
      <c r="AF267" s="85"/>
      <c r="AG267" s="85"/>
      <c r="AH267" s="44">
        <f t="shared" si="80"/>
        <v>5</v>
      </c>
      <c r="AI267" s="85">
        <v>5</v>
      </c>
      <c r="AJ267" s="85"/>
      <c r="AK267" s="85"/>
      <c r="AL267" s="85"/>
      <c r="AM267" s="85"/>
      <c r="AN267" s="85"/>
      <c r="AO267" s="85"/>
      <c r="AP267" s="44">
        <f t="shared" si="81"/>
        <v>5</v>
      </c>
      <c r="AQ267" s="85">
        <v>10</v>
      </c>
      <c r="AR267" s="85"/>
      <c r="AS267" s="85"/>
      <c r="AT267" s="85"/>
      <c r="AU267" s="85"/>
      <c r="AV267" s="85"/>
      <c r="AW267" s="85"/>
      <c r="AX267" s="44">
        <f t="shared" si="83"/>
        <v>10</v>
      </c>
      <c r="AY267" s="44">
        <f t="shared" si="84"/>
        <v>25</v>
      </c>
      <c r="AZ267" s="44">
        <f t="shared" si="84"/>
        <v>0</v>
      </c>
      <c r="BA267" s="44">
        <f t="shared" si="84"/>
        <v>0</v>
      </c>
      <c r="BB267" s="44">
        <f t="shared" si="84"/>
        <v>0</v>
      </c>
      <c r="BC267" s="44">
        <f t="shared" si="84"/>
        <v>0</v>
      </c>
      <c r="BD267" s="44">
        <f t="shared" si="84"/>
        <v>0</v>
      </c>
      <c r="BE267" s="44">
        <f t="shared" si="84"/>
        <v>0</v>
      </c>
      <c r="BF267" s="83">
        <f>+AY267+AZ267+BA267+BB267+BC267+BD267+BE267:BE269</f>
        <v>25</v>
      </c>
      <c r="BG267" s="47"/>
      <c r="BH267" s="47"/>
      <c r="BI267" s="90"/>
      <c r="BJ267" s="90"/>
      <c r="BK267" s="90"/>
      <c r="BL267" s="90"/>
      <c r="BM267" s="90"/>
      <c r="BN267" s="90"/>
      <c r="BO267" s="90"/>
      <c r="BP267" s="90"/>
      <c r="BQ267" s="90"/>
      <c r="BR267" s="90"/>
      <c r="BS267" s="90"/>
      <c r="BT267" s="90"/>
      <c r="BU267" s="90"/>
    </row>
    <row r="268" spans="1:73" s="91" customFormat="1" ht="54" x14ac:dyDescent="0.25">
      <c r="A268" s="707"/>
      <c r="B268" s="627"/>
      <c r="C268" s="627"/>
      <c r="D268" s="603"/>
      <c r="E268" s="603"/>
      <c r="F268" s="612"/>
      <c r="G268" s="612"/>
      <c r="H268" s="641"/>
      <c r="I268" s="643"/>
      <c r="J268" s="648"/>
      <c r="K268" s="355" t="s">
        <v>990</v>
      </c>
      <c r="L268" s="379" t="s">
        <v>991</v>
      </c>
      <c r="M268" s="84"/>
      <c r="N268" s="84">
        <v>15</v>
      </c>
      <c r="O268" s="84"/>
      <c r="P268" s="84">
        <v>5</v>
      </c>
      <c r="Q268" s="84">
        <v>10</v>
      </c>
      <c r="R268" s="202">
        <v>15</v>
      </c>
      <c r="S268" s="188"/>
      <c r="T268" s="85"/>
      <c r="U268" s="85"/>
      <c r="V268" s="85"/>
      <c r="W268" s="85"/>
      <c r="X268" s="85"/>
      <c r="Y268" s="85"/>
      <c r="Z268" s="44">
        <f t="shared" si="54"/>
        <v>0</v>
      </c>
      <c r="AA268" s="85">
        <v>5</v>
      </c>
      <c r="AB268" s="85"/>
      <c r="AC268" s="85"/>
      <c r="AD268" s="85">
        <v>5</v>
      </c>
      <c r="AE268" s="85"/>
      <c r="AF268" s="85"/>
      <c r="AG268" s="85"/>
      <c r="AH268" s="44">
        <f t="shared" si="80"/>
        <v>10</v>
      </c>
      <c r="AI268" s="85">
        <v>5</v>
      </c>
      <c r="AJ268" s="85"/>
      <c r="AK268" s="85"/>
      <c r="AL268" s="85">
        <v>5</v>
      </c>
      <c r="AM268" s="85"/>
      <c r="AN268" s="85"/>
      <c r="AO268" s="85"/>
      <c r="AP268" s="44">
        <f t="shared" si="81"/>
        <v>10</v>
      </c>
      <c r="AQ268" s="85">
        <v>5</v>
      </c>
      <c r="AR268" s="85"/>
      <c r="AS268" s="85"/>
      <c r="AT268" s="85">
        <v>5</v>
      </c>
      <c r="AU268" s="85"/>
      <c r="AV268" s="85"/>
      <c r="AW268" s="85"/>
      <c r="AX268" s="44">
        <f t="shared" si="83"/>
        <v>10</v>
      </c>
      <c r="AY268" s="44">
        <f t="shared" ref="AY268:BE268" si="87">+S268+AA268+AI268+AQ268</f>
        <v>15</v>
      </c>
      <c r="AZ268" s="44">
        <f t="shared" si="87"/>
        <v>0</v>
      </c>
      <c r="BA268" s="44">
        <f t="shared" si="87"/>
        <v>0</v>
      </c>
      <c r="BB268" s="44">
        <f t="shared" si="87"/>
        <v>15</v>
      </c>
      <c r="BC268" s="44">
        <f t="shared" si="87"/>
        <v>0</v>
      </c>
      <c r="BD268" s="44">
        <f t="shared" si="87"/>
        <v>0</v>
      </c>
      <c r="BE268" s="44">
        <f t="shared" si="87"/>
        <v>0</v>
      </c>
      <c r="BF268" s="83">
        <f>+AY268+AZ268+BA268+BB268+BC268+BD268+BE268:BE270</f>
        <v>30</v>
      </c>
      <c r="BG268" s="47"/>
      <c r="BH268" s="47"/>
      <c r="BI268" s="90"/>
      <c r="BJ268" s="90"/>
      <c r="BK268" s="90"/>
      <c r="BL268" s="90"/>
      <c r="BM268" s="90"/>
      <c r="BN268" s="90"/>
      <c r="BO268" s="90"/>
      <c r="BP268" s="90"/>
      <c r="BQ268" s="90"/>
      <c r="BR268" s="90"/>
      <c r="BS268" s="90"/>
      <c r="BT268" s="90"/>
      <c r="BU268" s="90"/>
    </row>
    <row r="269" spans="1:73" s="91" customFormat="1" ht="27.75" thickBot="1" x14ac:dyDescent="0.3">
      <c r="A269" s="707"/>
      <c r="B269" s="628"/>
      <c r="C269" s="628"/>
      <c r="D269" s="604"/>
      <c r="E269" s="604"/>
      <c r="F269" s="625"/>
      <c r="G269" s="625"/>
      <c r="H269" s="642"/>
      <c r="I269" s="644"/>
      <c r="J269" s="426" t="s">
        <v>888</v>
      </c>
      <c r="K269" s="356" t="s">
        <v>889</v>
      </c>
      <c r="L269" s="380" t="s">
        <v>887</v>
      </c>
      <c r="M269" s="126">
        <v>0</v>
      </c>
      <c r="N269" s="126">
        <v>400</v>
      </c>
      <c r="O269" s="126">
        <v>100</v>
      </c>
      <c r="P269" s="126">
        <v>100</v>
      </c>
      <c r="Q269" s="126">
        <v>100</v>
      </c>
      <c r="R269" s="204">
        <v>100</v>
      </c>
      <c r="S269" s="190">
        <v>5</v>
      </c>
      <c r="T269" s="127"/>
      <c r="U269" s="127"/>
      <c r="V269" s="127"/>
      <c r="W269" s="127"/>
      <c r="X269" s="127"/>
      <c r="Y269" s="127"/>
      <c r="Z269" s="123">
        <f t="shared" ref="Z269:Z317" si="88">SUM(S269:Y269)</f>
        <v>5</v>
      </c>
      <c r="AA269" s="127">
        <v>5</v>
      </c>
      <c r="AB269" s="127"/>
      <c r="AC269" s="127"/>
      <c r="AD269" s="127"/>
      <c r="AE269" s="127"/>
      <c r="AF269" s="127"/>
      <c r="AG269" s="127"/>
      <c r="AH269" s="123">
        <f t="shared" si="80"/>
        <v>5</v>
      </c>
      <c r="AI269" s="127">
        <v>5</v>
      </c>
      <c r="AJ269" s="127"/>
      <c r="AK269" s="127"/>
      <c r="AL269" s="127"/>
      <c r="AM269" s="127"/>
      <c r="AN269" s="127"/>
      <c r="AO269" s="127"/>
      <c r="AP269" s="123">
        <f t="shared" si="81"/>
        <v>5</v>
      </c>
      <c r="AQ269" s="127">
        <v>5</v>
      </c>
      <c r="AR269" s="127"/>
      <c r="AS269" s="127"/>
      <c r="AT269" s="127"/>
      <c r="AU269" s="127"/>
      <c r="AV269" s="127"/>
      <c r="AW269" s="127"/>
      <c r="AX269" s="123">
        <f t="shared" si="83"/>
        <v>5</v>
      </c>
      <c r="AY269" s="123">
        <f t="shared" si="84"/>
        <v>20</v>
      </c>
      <c r="AZ269" s="123">
        <f t="shared" si="84"/>
        <v>0</v>
      </c>
      <c r="BA269" s="123">
        <f t="shared" si="84"/>
        <v>0</v>
      </c>
      <c r="BB269" s="123">
        <f t="shared" si="84"/>
        <v>0</v>
      </c>
      <c r="BC269" s="123">
        <f t="shared" si="84"/>
        <v>0</v>
      </c>
      <c r="BD269" s="123">
        <f t="shared" si="84"/>
        <v>0</v>
      </c>
      <c r="BE269" s="123">
        <f t="shared" si="84"/>
        <v>0</v>
      </c>
      <c r="BF269" s="128">
        <f t="shared" si="85"/>
        <v>20</v>
      </c>
      <c r="BG269" s="47"/>
      <c r="BH269" s="47"/>
      <c r="BI269" s="90"/>
      <c r="BJ269" s="90"/>
      <c r="BK269" s="90"/>
      <c r="BL269" s="90"/>
      <c r="BM269" s="90"/>
      <c r="BN269" s="90"/>
      <c r="BO269" s="90"/>
      <c r="BP269" s="90"/>
      <c r="BQ269" s="90"/>
      <c r="BR269" s="90"/>
      <c r="BS269" s="90"/>
      <c r="BT269" s="90"/>
      <c r="BU269" s="90"/>
    </row>
    <row r="270" spans="1:73" s="91" customFormat="1" ht="27" x14ac:dyDescent="0.25">
      <c r="A270" s="707"/>
      <c r="B270" s="626" t="s">
        <v>782</v>
      </c>
      <c r="C270" s="626" t="s">
        <v>1043</v>
      </c>
      <c r="D270" s="606"/>
      <c r="E270" s="606"/>
      <c r="F270" s="624"/>
      <c r="G270" s="624"/>
      <c r="H270" s="649" t="s">
        <v>805</v>
      </c>
      <c r="I270" s="600" t="s">
        <v>82</v>
      </c>
      <c r="J270" s="649"/>
      <c r="K270" s="360" t="s">
        <v>80</v>
      </c>
      <c r="L270" s="378" t="s">
        <v>81</v>
      </c>
      <c r="M270" s="124">
        <v>2317</v>
      </c>
      <c r="N270" s="124">
        <v>2500</v>
      </c>
      <c r="O270" s="124">
        <f>+M270+46</f>
        <v>2363</v>
      </c>
      <c r="P270" s="124">
        <f>+O270+46</f>
        <v>2409</v>
      </c>
      <c r="Q270" s="124">
        <f>+P270+46</f>
        <v>2455</v>
      </c>
      <c r="R270" s="277">
        <v>2500</v>
      </c>
      <c r="S270" s="187"/>
      <c r="T270" s="124">
        <v>2836</v>
      </c>
      <c r="U270" s="124"/>
      <c r="V270" s="124"/>
      <c r="W270" s="124"/>
      <c r="X270" s="124"/>
      <c r="Y270" s="124"/>
      <c r="Z270" s="124">
        <f t="shared" si="88"/>
        <v>2836</v>
      </c>
      <c r="AA270" s="124"/>
      <c r="AB270" s="124">
        <v>2891</v>
      </c>
      <c r="AC270" s="124"/>
      <c r="AD270" s="124"/>
      <c r="AE270" s="124"/>
      <c r="AF270" s="124"/>
      <c r="AG270" s="124"/>
      <c r="AH270" s="124">
        <f t="shared" ref="AH270:AH277" si="89">SUM(AA270:AG270)</f>
        <v>2891</v>
      </c>
      <c r="AI270" s="124"/>
      <c r="AJ270" s="124">
        <v>2946</v>
      </c>
      <c r="AK270" s="124"/>
      <c r="AL270" s="124"/>
      <c r="AM270" s="124"/>
      <c r="AN270" s="124"/>
      <c r="AO270" s="124"/>
      <c r="AP270" s="124">
        <f t="shared" ref="AP270:AP277" si="90">SUM(AI270:AO270)</f>
        <v>2946</v>
      </c>
      <c r="AQ270" s="124"/>
      <c r="AR270" s="124">
        <v>3000</v>
      </c>
      <c r="AS270" s="124"/>
      <c r="AT270" s="124"/>
      <c r="AU270" s="124"/>
      <c r="AV270" s="124"/>
      <c r="AW270" s="124"/>
      <c r="AX270" s="124">
        <f t="shared" ref="AX270:AX277" si="91">SUM(AQ270:AW270)</f>
        <v>3000</v>
      </c>
      <c r="AY270" s="124">
        <f t="shared" ref="AY270:BE279" si="92">+S270+AA270+AI270+AQ270</f>
        <v>0</v>
      </c>
      <c r="AZ270" s="124">
        <f t="shared" si="92"/>
        <v>11673</v>
      </c>
      <c r="BA270" s="124">
        <f t="shared" si="92"/>
        <v>0</v>
      </c>
      <c r="BB270" s="124">
        <f t="shared" si="92"/>
        <v>0</v>
      </c>
      <c r="BC270" s="124">
        <f t="shared" si="92"/>
        <v>0</v>
      </c>
      <c r="BD270" s="124">
        <f t="shared" si="92"/>
        <v>0</v>
      </c>
      <c r="BE270" s="124">
        <f t="shared" si="92"/>
        <v>0</v>
      </c>
      <c r="BF270" s="125">
        <f>+AY270+AZ270+BA270+BB270+BC270+BD270+BE270:BE271</f>
        <v>11673</v>
      </c>
      <c r="BG270" s="47"/>
      <c r="BH270" s="47"/>
      <c r="BI270" s="90"/>
      <c r="BJ270" s="90"/>
      <c r="BK270" s="90"/>
      <c r="BL270" s="90"/>
      <c r="BM270" s="90"/>
      <c r="BN270" s="90"/>
      <c r="BO270" s="90"/>
      <c r="BP270" s="90"/>
      <c r="BQ270" s="90"/>
      <c r="BR270" s="90"/>
      <c r="BS270" s="90"/>
      <c r="BT270" s="90"/>
      <c r="BU270" s="90"/>
    </row>
    <row r="271" spans="1:73" s="91" customFormat="1" ht="67.5" x14ac:dyDescent="0.25">
      <c r="A271" s="707"/>
      <c r="B271" s="627"/>
      <c r="C271" s="627"/>
      <c r="D271" s="603"/>
      <c r="E271" s="603"/>
      <c r="F271" s="612"/>
      <c r="G271" s="612"/>
      <c r="H271" s="617"/>
      <c r="I271" s="601"/>
      <c r="J271" s="617"/>
      <c r="K271" s="355" t="s">
        <v>704</v>
      </c>
      <c r="L271" s="379" t="s">
        <v>705</v>
      </c>
      <c r="M271" s="44">
        <v>0</v>
      </c>
      <c r="N271" s="44">
        <v>1</v>
      </c>
      <c r="O271" s="44"/>
      <c r="P271" s="44">
        <v>1</v>
      </c>
      <c r="Q271" s="44"/>
      <c r="R271" s="45"/>
      <c r="S271" s="185"/>
      <c r="T271" s="44"/>
      <c r="U271" s="44"/>
      <c r="V271" s="44"/>
      <c r="W271" s="44"/>
      <c r="X271" s="44"/>
      <c r="Y271" s="44"/>
      <c r="Z271" s="44">
        <f t="shared" si="88"/>
        <v>0</v>
      </c>
      <c r="AA271" s="44"/>
      <c r="AB271" s="44"/>
      <c r="AC271" s="44">
        <v>16</v>
      </c>
      <c r="AD271" s="44"/>
      <c r="AE271" s="44"/>
      <c r="AF271" s="44"/>
      <c r="AG271" s="44"/>
      <c r="AH271" s="44">
        <f t="shared" si="89"/>
        <v>16</v>
      </c>
      <c r="AI271" s="44"/>
      <c r="AJ271" s="44"/>
      <c r="AK271" s="44"/>
      <c r="AL271" s="44"/>
      <c r="AM271" s="44"/>
      <c r="AN271" s="44"/>
      <c r="AO271" s="44"/>
      <c r="AP271" s="44">
        <f t="shared" si="90"/>
        <v>0</v>
      </c>
      <c r="AQ271" s="44"/>
      <c r="AR271" s="44"/>
      <c r="AS271" s="44"/>
      <c r="AT271" s="44"/>
      <c r="AU271" s="44"/>
      <c r="AV271" s="44"/>
      <c r="AW271" s="44"/>
      <c r="AX271" s="44">
        <f t="shared" si="91"/>
        <v>0</v>
      </c>
      <c r="AY271" s="44">
        <f t="shared" si="92"/>
        <v>0</v>
      </c>
      <c r="AZ271" s="44">
        <f t="shared" si="92"/>
        <v>0</v>
      </c>
      <c r="BA271" s="44">
        <f t="shared" si="92"/>
        <v>16</v>
      </c>
      <c r="BB271" s="44">
        <f t="shared" si="92"/>
        <v>0</v>
      </c>
      <c r="BC271" s="44">
        <f t="shared" si="92"/>
        <v>0</v>
      </c>
      <c r="BD271" s="44">
        <f t="shared" si="92"/>
        <v>0</v>
      </c>
      <c r="BE271" s="44">
        <f t="shared" si="92"/>
        <v>0</v>
      </c>
      <c r="BF271" s="83">
        <f>+AY271+AZ271+BA271+BB271+BC271+BD271+BE271:BE272</f>
        <v>16</v>
      </c>
      <c r="BG271" s="47"/>
      <c r="BH271" s="47"/>
      <c r="BI271" s="90"/>
      <c r="BJ271" s="90"/>
      <c r="BK271" s="90"/>
      <c r="BL271" s="90"/>
      <c r="BM271" s="90"/>
      <c r="BN271" s="90"/>
      <c r="BO271" s="90"/>
      <c r="BP271" s="90"/>
      <c r="BQ271" s="90"/>
      <c r="BR271" s="90"/>
      <c r="BS271" s="90"/>
      <c r="BT271" s="90"/>
      <c r="BU271" s="90"/>
    </row>
    <row r="272" spans="1:73" s="91" customFormat="1" ht="54" x14ac:dyDescent="0.25">
      <c r="A272" s="707"/>
      <c r="B272" s="627"/>
      <c r="C272" s="627"/>
      <c r="D272" s="603"/>
      <c r="E272" s="603"/>
      <c r="F272" s="612"/>
      <c r="G272" s="612"/>
      <c r="H272" s="617"/>
      <c r="I272" s="601"/>
      <c r="J272" s="617"/>
      <c r="K272" s="355" t="s">
        <v>112</v>
      </c>
      <c r="L272" s="379" t="s">
        <v>113</v>
      </c>
      <c r="M272" s="79">
        <v>0</v>
      </c>
      <c r="N272" s="79">
        <v>3</v>
      </c>
      <c r="O272" s="50">
        <v>3</v>
      </c>
      <c r="P272" s="44"/>
      <c r="Q272" s="44"/>
      <c r="R272" s="45"/>
      <c r="S272" s="185"/>
      <c r="T272" s="44">
        <v>20</v>
      </c>
      <c r="U272" s="44"/>
      <c r="V272" s="44"/>
      <c r="W272" s="44"/>
      <c r="X272" s="44"/>
      <c r="Y272" s="44"/>
      <c r="Z272" s="44">
        <f t="shared" si="88"/>
        <v>20</v>
      </c>
      <c r="AA272" s="44"/>
      <c r="AB272" s="44"/>
      <c r="AC272" s="44"/>
      <c r="AD272" s="44"/>
      <c r="AE272" s="44"/>
      <c r="AF272" s="44"/>
      <c r="AG272" s="44"/>
      <c r="AH272" s="44">
        <f t="shared" si="89"/>
        <v>0</v>
      </c>
      <c r="AI272" s="44"/>
      <c r="AJ272" s="44"/>
      <c r="AK272" s="44"/>
      <c r="AL272" s="44"/>
      <c r="AM272" s="44"/>
      <c r="AN272" s="44"/>
      <c r="AO272" s="44"/>
      <c r="AP272" s="44">
        <f t="shared" si="90"/>
        <v>0</v>
      </c>
      <c r="AQ272" s="44"/>
      <c r="AR272" s="44"/>
      <c r="AS272" s="44"/>
      <c r="AT272" s="44"/>
      <c r="AU272" s="44"/>
      <c r="AV272" s="44"/>
      <c r="AW272" s="44"/>
      <c r="AX272" s="44">
        <f t="shared" si="91"/>
        <v>0</v>
      </c>
      <c r="AY272" s="44">
        <f t="shared" si="92"/>
        <v>0</v>
      </c>
      <c r="AZ272" s="44">
        <f t="shared" si="92"/>
        <v>20</v>
      </c>
      <c r="BA272" s="44">
        <f t="shared" si="92"/>
        <v>0</v>
      </c>
      <c r="BB272" s="44">
        <f t="shared" si="92"/>
        <v>0</v>
      </c>
      <c r="BC272" s="44">
        <f t="shared" si="92"/>
        <v>0</v>
      </c>
      <c r="BD272" s="44">
        <f t="shared" si="92"/>
        <v>0</v>
      </c>
      <c r="BE272" s="44">
        <f t="shared" si="92"/>
        <v>0</v>
      </c>
      <c r="BF272" s="83">
        <f>+AY272+AZ272+BA272+BB272+BC272+BD272+BE272:BE275</f>
        <v>20</v>
      </c>
      <c r="BG272" s="47"/>
      <c r="BH272" s="47"/>
      <c r="BI272" s="90"/>
      <c r="BJ272" s="90"/>
      <c r="BK272" s="90"/>
      <c r="BL272" s="90"/>
      <c r="BM272" s="90"/>
      <c r="BN272" s="90"/>
      <c r="BO272" s="90"/>
      <c r="BP272" s="90"/>
      <c r="BQ272" s="90"/>
      <c r="BR272" s="90"/>
      <c r="BS272" s="90"/>
      <c r="BT272" s="90"/>
      <c r="BU272" s="90"/>
    </row>
    <row r="273" spans="1:73" s="91" customFormat="1" ht="121.5" x14ac:dyDescent="0.25">
      <c r="A273" s="707"/>
      <c r="B273" s="627"/>
      <c r="C273" s="627"/>
      <c r="D273" s="603"/>
      <c r="E273" s="603"/>
      <c r="F273" s="612"/>
      <c r="G273" s="612"/>
      <c r="H273" s="617"/>
      <c r="I273" s="601"/>
      <c r="J273" s="617"/>
      <c r="K273" s="355" t="s">
        <v>1031</v>
      </c>
      <c r="L273" s="379" t="s">
        <v>1032</v>
      </c>
      <c r="M273" s="79">
        <v>0</v>
      </c>
      <c r="N273" s="79">
        <v>1</v>
      </c>
      <c r="O273" s="50"/>
      <c r="P273" s="44">
        <v>1</v>
      </c>
      <c r="Q273" s="44"/>
      <c r="R273" s="45"/>
      <c r="S273" s="185"/>
      <c r="T273" s="44"/>
      <c r="U273" s="44"/>
      <c r="V273" s="44"/>
      <c r="W273" s="44"/>
      <c r="X273" s="44"/>
      <c r="Y273" s="44"/>
      <c r="Z273" s="44">
        <f t="shared" si="88"/>
        <v>0</v>
      </c>
      <c r="AA273" s="44">
        <v>15</v>
      </c>
      <c r="AB273" s="44"/>
      <c r="AC273" s="44"/>
      <c r="AD273" s="44">
        <v>20</v>
      </c>
      <c r="AE273" s="44"/>
      <c r="AF273" s="44"/>
      <c r="AG273" s="44"/>
      <c r="AH273" s="44">
        <f t="shared" si="89"/>
        <v>35</v>
      </c>
      <c r="AI273" s="44"/>
      <c r="AJ273" s="44"/>
      <c r="AK273" s="44"/>
      <c r="AL273" s="44"/>
      <c r="AM273" s="44"/>
      <c r="AN273" s="44"/>
      <c r="AO273" s="44"/>
      <c r="AP273" s="44">
        <f t="shared" si="90"/>
        <v>0</v>
      </c>
      <c r="AQ273" s="44"/>
      <c r="AR273" s="44"/>
      <c r="AS273" s="44"/>
      <c r="AT273" s="44"/>
      <c r="AU273" s="44"/>
      <c r="AV273" s="44"/>
      <c r="AW273" s="44"/>
      <c r="AX273" s="44">
        <f t="shared" si="91"/>
        <v>0</v>
      </c>
      <c r="AY273" s="44">
        <f t="shared" ref="AY273:BE274" si="93">+S273+AA273+AI273+AQ273</f>
        <v>15</v>
      </c>
      <c r="AZ273" s="44">
        <f t="shared" si="93"/>
        <v>0</v>
      </c>
      <c r="BA273" s="44">
        <f t="shared" si="93"/>
        <v>0</v>
      </c>
      <c r="BB273" s="44">
        <f t="shared" si="93"/>
        <v>20</v>
      </c>
      <c r="BC273" s="44">
        <f t="shared" si="93"/>
        <v>0</v>
      </c>
      <c r="BD273" s="44">
        <f t="shared" si="93"/>
        <v>0</v>
      </c>
      <c r="BE273" s="44">
        <f t="shared" si="93"/>
        <v>0</v>
      </c>
      <c r="BF273" s="83">
        <f>+AY273+AZ273+BA273+BB273+BC273+BD273+BE273:BE277</f>
        <v>35</v>
      </c>
      <c r="BG273" s="47"/>
      <c r="BH273" s="47"/>
      <c r="BI273" s="90"/>
      <c r="BJ273" s="90"/>
      <c r="BK273" s="90"/>
      <c r="BL273" s="90"/>
      <c r="BM273" s="90"/>
      <c r="BN273" s="90"/>
      <c r="BO273" s="90"/>
      <c r="BP273" s="90"/>
      <c r="BQ273" s="90"/>
      <c r="BR273" s="90"/>
      <c r="BS273" s="90"/>
      <c r="BT273" s="90"/>
      <c r="BU273" s="90"/>
    </row>
    <row r="274" spans="1:73" s="91" customFormat="1" ht="67.5" x14ac:dyDescent="0.25">
      <c r="A274" s="707"/>
      <c r="B274" s="627"/>
      <c r="C274" s="627"/>
      <c r="D274" s="603"/>
      <c r="E274" s="603"/>
      <c r="F274" s="612"/>
      <c r="G274" s="612"/>
      <c r="H274" s="618"/>
      <c r="I274" s="602"/>
      <c r="J274" s="618"/>
      <c r="K274" s="355" t="s">
        <v>1035</v>
      </c>
      <c r="L274" s="379" t="s">
        <v>1036</v>
      </c>
      <c r="M274" s="79">
        <v>0</v>
      </c>
      <c r="N274" s="79">
        <v>3</v>
      </c>
      <c r="O274" s="50"/>
      <c r="P274" s="44">
        <v>1</v>
      </c>
      <c r="Q274" s="44">
        <v>2</v>
      </c>
      <c r="R274" s="45">
        <v>3</v>
      </c>
      <c r="S274" s="185"/>
      <c r="T274" s="44"/>
      <c r="U274" s="44"/>
      <c r="V274" s="44"/>
      <c r="W274" s="44"/>
      <c r="X274" s="44"/>
      <c r="Y274" s="44"/>
      <c r="Z274" s="44">
        <f t="shared" si="88"/>
        <v>0</v>
      </c>
      <c r="AA274" s="44"/>
      <c r="AB274" s="44"/>
      <c r="AC274" s="44"/>
      <c r="AD274" s="44"/>
      <c r="AE274" s="44"/>
      <c r="AF274" s="44"/>
      <c r="AG274" s="44"/>
      <c r="AH274" s="44">
        <f t="shared" si="89"/>
        <v>0</v>
      </c>
      <c r="AI274" s="44">
        <v>50</v>
      </c>
      <c r="AJ274" s="44"/>
      <c r="AK274" s="44"/>
      <c r="AL274" s="44"/>
      <c r="AM274" s="44"/>
      <c r="AN274" s="44"/>
      <c r="AO274" s="44"/>
      <c r="AP274" s="44">
        <f t="shared" si="90"/>
        <v>50</v>
      </c>
      <c r="AQ274" s="44">
        <v>100</v>
      </c>
      <c r="AR274" s="44"/>
      <c r="AS274" s="44"/>
      <c r="AT274" s="44"/>
      <c r="AU274" s="44"/>
      <c r="AV274" s="44"/>
      <c r="AW274" s="44"/>
      <c r="AX274" s="44">
        <f t="shared" si="91"/>
        <v>100</v>
      </c>
      <c r="AY274" s="44">
        <f t="shared" si="93"/>
        <v>150</v>
      </c>
      <c r="AZ274" s="44">
        <f t="shared" si="93"/>
        <v>0</v>
      </c>
      <c r="BA274" s="44">
        <f t="shared" si="93"/>
        <v>0</v>
      </c>
      <c r="BB274" s="44">
        <f t="shared" si="93"/>
        <v>0</v>
      </c>
      <c r="BC274" s="44">
        <f t="shared" si="93"/>
        <v>0</v>
      </c>
      <c r="BD274" s="44">
        <f t="shared" si="93"/>
        <v>0</v>
      </c>
      <c r="BE274" s="44">
        <f t="shared" si="93"/>
        <v>0</v>
      </c>
      <c r="BF274" s="83">
        <f>+AY274+AZ274+BA274+BB274+BC274+BD274+BE274:BE278</f>
        <v>150</v>
      </c>
      <c r="BG274" s="47"/>
      <c r="BH274" s="47"/>
      <c r="BI274" s="90"/>
      <c r="BJ274" s="90"/>
      <c r="BK274" s="90"/>
      <c r="BL274" s="90"/>
      <c r="BM274" s="90"/>
      <c r="BN274" s="90"/>
      <c r="BO274" s="90"/>
      <c r="BP274" s="90"/>
      <c r="BQ274" s="90"/>
      <c r="BR274" s="90"/>
      <c r="BS274" s="90"/>
      <c r="BT274" s="90"/>
      <c r="BU274" s="90"/>
    </row>
    <row r="275" spans="1:73" s="91" customFormat="1" ht="54" x14ac:dyDescent="0.25">
      <c r="A275" s="707"/>
      <c r="B275" s="627"/>
      <c r="C275" s="627"/>
      <c r="D275" s="603"/>
      <c r="E275" s="603"/>
      <c r="F275" s="612"/>
      <c r="G275" s="612"/>
      <c r="H275" s="616" t="s">
        <v>806</v>
      </c>
      <c r="I275" s="652" t="s">
        <v>760</v>
      </c>
      <c r="J275" s="616"/>
      <c r="K275" s="355" t="s">
        <v>530</v>
      </c>
      <c r="L275" s="379" t="s">
        <v>559</v>
      </c>
      <c r="M275" s="44"/>
      <c r="N275" s="44">
        <v>150</v>
      </c>
      <c r="O275" s="44"/>
      <c r="P275" s="44">
        <v>150</v>
      </c>
      <c r="Q275" s="44"/>
      <c r="R275" s="45"/>
      <c r="S275" s="185"/>
      <c r="T275" s="44"/>
      <c r="U275" s="44"/>
      <c r="V275" s="44"/>
      <c r="W275" s="44"/>
      <c r="X275" s="44"/>
      <c r="Y275" s="44"/>
      <c r="Z275" s="44">
        <f t="shared" si="88"/>
        <v>0</v>
      </c>
      <c r="AA275" s="44"/>
      <c r="AB275" s="44"/>
      <c r="AC275" s="44"/>
      <c r="AD275" s="44"/>
      <c r="AE275" s="44"/>
      <c r="AF275" s="44"/>
      <c r="AG275" s="44">
        <v>125</v>
      </c>
      <c r="AH275" s="44">
        <f t="shared" si="89"/>
        <v>125</v>
      </c>
      <c r="AI275" s="44"/>
      <c r="AJ275" s="44"/>
      <c r="AK275" s="44"/>
      <c r="AL275" s="44"/>
      <c r="AM275" s="44"/>
      <c r="AN275" s="44"/>
      <c r="AO275" s="44"/>
      <c r="AP275" s="44">
        <f t="shared" si="90"/>
        <v>0</v>
      </c>
      <c r="AQ275" s="44"/>
      <c r="AR275" s="44"/>
      <c r="AS275" s="44"/>
      <c r="AT275" s="44"/>
      <c r="AU275" s="44"/>
      <c r="AV275" s="44"/>
      <c r="AW275" s="44"/>
      <c r="AX275" s="44">
        <f t="shared" si="91"/>
        <v>0</v>
      </c>
      <c r="AY275" s="44">
        <f t="shared" si="92"/>
        <v>0</v>
      </c>
      <c r="AZ275" s="44">
        <f t="shared" si="92"/>
        <v>0</v>
      </c>
      <c r="BA275" s="44">
        <f t="shared" si="92"/>
        <v>0</v>
      </c>
      <c r="BB275" s="44">
        <f t="shared" si="92"/>
        <v>0</v>
      </c>
      <c r="BC275" s="44">
        <f t="shared" si="92"/>
        <v>0</v>
      </c>
      <c r="BD275" s="44">
        <f t="shared" si="92"/>
        <v>0</v>
      </c>
      <c r="BE275" s="44">
        <f t="shared" si="92"/>
        <v>125</v>
      </c>
      <c r="BF275" s="83">
        <f>+AY275+AZ275+BA275+BB275+BC275+BD275+BE275:BE277</f>
        <v>125</v>
      </c>
      <c r="BG275" s="47"/>
      <c r="BH275" s="47"/>
      <c r="BI275" s="90"/>
      <c r="BJ275" s="90"/>
      <c r="BK275" s="90"/>
      <c r="BL275" s="90"/>
      <c r="BM275" s="90"/>
      <c r="BN275" s="90"/>
      <c r="BO275" s="90"/>
      <c r="BP275" s="90"/>
      <c r="BQ275" s="90"/>
      <c r="BR275" s="90"/>
      <c r="BS275" s="90"/>
      <c r="BT275" s="90"/>
      <c r="BU275" s="90"/>
    </row>
    <row r="276" spans="1:73" s="91" customFormat="1" ht="121.5" x14ac:dyDescent="0.25">
      <c r="A276" s="707"/>
      <c r="B276" s="627"/>
      <c r="C276" s="627"/>
      <c r="D276" s="603"/>
      <c r="E276" s="603"/>
      <c r="F276" s="612"/>
      <c r="G276" s="612"/>
      <c r="H276" s="617"/>
      <c r="I276" s="601"/>
      <c r="J276" s="617"/>
      <c r="K276" s="355" t="s">
        <v>1034</v>
      </c>
      <c r="L276" s="379" t="s">
        <v>1037</v>
      </c>
      <c r="M276" s="44">
        <v>0</v>
      </c>
      <c r="N276" s="44">
        <v>6</v>
      </c>
      <c r="O276" s="44"/>
      <c r="P276" s="44">
        <v>2</v>
      </c>
      <c r="Q276" s="44">
        <v>4</v>
      </c>
      <c r="R276" s="45">
        <v>6</v>
      </c>
      <c r="S276" s="185"/>
      <c r="T276" s="44"/>
      <c r="U276" s="44"/>
      <c r="V276" s="44"/>
      <c r="W276" s="44"/>
      <c r="X276" s="44"/>
      <c r="Y276" s="44"/>
      <c r="Z276" s="44">
        <f t="shared" si="88"/>
        <v>0</v>
      </c>
      <c r="AA276" s="44">
        <v>40</v>
      </c>
      <c r="AB276" s="44"/>
      <c r="AC276" s="44"/>
      <c r="AD276" s="44"/>
      <c r="AE276" s="44"/>
      <c r="AF276" s="44"/>
      <c r="AG276" s="44"/>
      <c r="AH276" s="44">
        <f t="shared" si="89"/>
        <v>40</v>
      </c>
      <c r="AI276" s="44">
        <v>50</v>
      </c>
      <c r="AJ276" s="44"/>
      <c r="AK276" s="44"/>
      <c r="AL276" s="44"/>
      <c r="AM276" s="44"/>
      <c r="AN276" s="44"/>
      <c r="AO276" s="44"/>
      <c r="AP276" s="44">
        <f t="shared" si="90"/>
        <v>50</v>
      </c>
      <c r="AQ276" s="44">
        <v>50</v>
      </c>
      <c r="AR276" s="44"/>
      <c r="AS276" s="44"/>
      <c r="AT276" s="44"/>
      <c r="AU276" s="44"/>
      <c r="AV276" s="44"/>
      <c r="AW276" s="44"/>
      <c r="AX276" s="44">
        <f t="shared" si="91"/>
        <v>50</v>
      </c>
      <c r="AY276" s="44">
        <f t="shared" ref="AY276:BE276" si="94">+S276+AA276+AI276+AQ276</f>
        <v>140</v>
      </c>
      <c r="AZ276" s="44">
        <f t="shared" si="94"/>
        <v>0</v>
      </c>
      <c r="BA276" s="44">
        <f t="shared" si="94"/>
        <v>0</v>
      </c>
      <c r="BB276" s="44">
        <f t="shared" si="94"/>
        <v>0</v>
      </c>
      <c r="BC276" s="44">
        <f t="shared" si="94"/>
        <v>0</v>
      </c>
      <c r="BD276" s="44">
        <f t="shared" si="94"/>
        <v>0</v>
      </c>
      <c r="BE276" s="44">
        <f t="shared" si="94"/>
        <v>0</v>
      </c>
      <c r="BF276" s="83">
        <f>+AY276+AZ276+BA276+BB276+BC276+BD276+BE276:BE278</f>
        <v>140</v>
      </c>
      <c r="BG276" s="47"/>
      <c r="BH276" s="47"/>
      <c r="BI276" s="90"/>
      <c r="BJ276" s="90"/>
      <c r="BK276" s="90"/>
      <c r="BL276" s="90"/>
      <c r="BM276" s="90"/>
      <c r="BN276" s="90"/>
      <c r="BO276" s="90"/>
      <c r="BP276" s="90"/>
      <c r="BQ276" s="90"/>
      <c r="BR276" s="90"/>
      <c r="BS276" s="90"/>
      <c r="BT276" s="90"/>
      <c r="BU276" s="90"/>
    </row>
    <row r="277" spans="1:73" s="91" customFormat="1" ht="84.75" customHeight="1" x14ac:dyDescent="0.25">
      <c r="A277" s="707"/>
      <c r="B277" s="627"/>
      <c r="C277" s="627"/>
      <c r="D277" s="603"/>
      <c r="E277" s="603"/>
      <c r="F277" s="612"/>
      <c r="G277" s="612"/>
      <c r="H277" s="616" t="s">
        <v>807</v>
      </c>
      <c r="I277" s="652" t="s">
        <v>761</v>
      </c>
      <c r="J277" s="616"/>
      <c r="K277" s="355" t="s">
        <v>1030</v>
      </c>
      <c r="L277" s="379" t="s">
        <v>1038</v>
      </c>
      <c r="M277" s="46"/>
      <c r="N277" s="46">
        <v>20</v>
      </c>
      <c r="O277" s="46">
        <v>5</v>
      </c>
      <c r="P277" s="46">
        <v>10</v>
      </c>
      <c r="Q277" s="46">
        <v>15</v>
      </c>
      <c r="R277" s="198">
        <v>20</v>
      </c>
      <c r="S277" s="185"/>
      <c r="T277" s="44"/>
      <c r="U277" s="44"/>
      <c r="V277" s="44">
        <v>10</v>
      </c>
      <c r="W277" s="44"/>
      <c r="X277" s="44"/>
      <c r="Y277" s="44"/>
      <c r="Z277" s="44">
        <f t="shared" si="88"/>
        <v>10</v>
      </c>
      <c r="AA277" s="44"/>
      <c r="AB277" s="44"/>
      <c r="AC277" s="44"/>
      <c r="AD277" s="44">
        <v>10</v>
      </c>
      <c r="AE277" s="44"/>
      <c r="AF277" s="44"/>
      <c r="AG277" s="44"/>
      <c r="AH277" s="44">
        <f t="shared" si="89"/>
        <v>10</v>
      </c>
      <c r="AI277" s="44">
        <v>10</v>
      </c>
      <c r="AJ277" s="44"/>
      <c r="AK277" s="44"/>
      <c r="AL277" s="44">
        <v>10</v>
      </c>
      <c r="AM277" s="44"/>
      <c r="AN277" s="44"/>
      <c r="AO277" s="44"/>
      <c r="AP277" s="44">
        <f t="shared" si="90"/>
        <v>20</v>
      </c>
      <c r="AQ277" s="44">
        <v>10</v>
      </c>
      <c r="AR277" s="44"/>
      <c r="AS277" s="44"/>
      <c r="AT277" s="44">
        <v>10</v>
      </c>
      <c r="AU277" s="44"/>
      <c r="AV277" s="44"/>
      <c r="AW277" s="44"/>
      <c r="AX277" s="44">
        <f t="shared" si="91"/>
        <v>20</v>
      </c>
      <c r="AY277" s="44">
        <f t="shared" si="92"/>
        <v>20</v>
      </c>
      <c r="AZ277" s="44">
        <f t="shared" si="92"/>
        <v>0</v>
      </c>
      <c r="BA277" s="44">
        <f t="shared" si="92"/>
        <v>0</v>
      </c>
      <c r="BB277" s="44">
        <f t="shared" si="92"/>
        <v>40</v>
      </c>
      <c r="BC277" s="44">
        <f t="shared" si="92"/>
        <v>0</v>
      </c>
      <c r="BD277" s="44">
        <f t="shared" si="92"/>
        <v>0</v>
      </c>
      <c r="BE277" s="44">
        <f t="shared" si="92"/>
        <v>0</v>
      </c>
      <c r="BF277" s="83">
        <f>+AY277+AZ277+BA277+BB277+BC277+BD277+BE277:BE280</f>
        <v>60</v>
      </c>
      <c r="BG277" s="47"/>
      <c r="BH277" s="47"/>
      <c r="BI277" s="90"/>
      <c r="BJ277" s="90"/>
      <c r="BK277" s="90"/>
      <c r="BL277" s="90"/>
      <c r="BM277" s="90"/>
      <c r="BN277" s="90"/>
      <c r="BO277" s="90"/>
      <c r="BP277" s="90"/>
      <c r="BQ277" s="90"/>
      <c r="BR277" s="90"/>
      <c r="BS277" s="90"/>
      <c r="BT277" s="90"/>
      <c r="BU277" s="90"/>
    </row>
    <row r="278" spans="1:73" s="91" customFormat="1" ht="81" x14ac:dyDescent="0.25">
      <c r="A278" s="707"/>
      <c r="B278" s="627"/>
      <c r="C278" s="627"/>
      <c r="D278" s="603"/>
      <c r="E278" s="603"/>
      <c r="F278" s="612"/>
      <c r="G278" s="612"/>
      <c r="H278" s="617"/>
      <c r="I278" s="601"/>
      <c r="J278" s="617"/>
      <c r="K278" s="355" t="s">
        <v>1039</v>
      </c>
      <c r="L278" s="379" t="s">
        <v>1040</v>
      </c>
      <c r="M278" s="46"/>
      <c r="N278" s="46">
        <v>1</v>
      </c>
      <c r="O278" s="46"/>
      <c r="P278" s="46">
        <v>1</v>
      </c>
      <c r="Q278" s="46"/>
      <c r="R278" s="198"/>
      <c r="S278" s="185"/>
      <c r="T278" s="44"/>
      <c r="U278" s="44"/>
      <c r="V278" s="44"/>
      <c r="W278" s="44"/>
      <c r="X278" s="44"/>
      <c r="Y278" s="44"/>
      <c r="Z278" s="44">
        <f t="shared" si="88"/>
        <v>0</v>
      </c>
      <c r="AA278" s="44"/>
      <c r="AB278" s="44"/>
      <c r="AC278" s="44"/>
      <c r="AD278" s="44"/>
      <c r="AE278" s="44"/>
      <c r="AF278" s="44"/>
      <c r="AG278" s="44"/>
      <c r="AH278" s="44">
        <f>SUM(AA278:AG278)</f>
        <v>0</v>
      </c>
      <c r="AI278" s="44"/>
      <c r="AJ278" s="44"/>
      <c r="AK278" s="44"/>
      <c r="AL278" s="44"/>
      <c r="AM278" s="44"/>
      <c r="AN278" s="44"/>
      <c r="AO278" s="44"/>
      <c r="AP278" s="44">
        <f>SUM(AI278:AO278)</f>
        <v>0</v>
      </c>
      <c r="AQ278" s="44"/>
      <c r="AR278" s="44"/>
      <c r="AS278" s="44"/>
      <c r="AT278" s="44"/>
      <c r="AU278" s="44"/>
      <c r="AV278" s="44"/>
      <c r="AW278" s="44"/>
      <c r="AX278" s="44">
        <f>SUM(AQ278:AW278)</f>
        <v>0</v>
      </c>
      <c r="AY278" s="44">
        <f t="shared" si="92"/>
        <v>0</v>
      </c>
      <c r="AZ278" s="44">
        <f t="shared" si="92"/>
        <v>0</v>
      </c>
      <c r="BA278" s="44">
        <f t="shared" si="92"/>
        <v>0</v>
      </c>
      <c r="BB278" s="44">
        <f t="shared" si="92"/>
        <v>0</v>
      </c>
      <c r="BC278" s="44">
        <f t="shared" si="92"/>
        <v>0</v>
      </c>
      <c r="BD278" s="44">
        <f t="shared" si="92"/>
        <v>0</v>
      </c>
      <c r="BE278" s="44">
        <f t="shared" si="92"/>
        <v>0</v>
      </c>
      <c r="BF278" s="83">
        <f>+AY278+AZ278+BA278+BB278+BC278+BD278+BE278:BE281</f>
        <v>0</v>
      </c>
      <c r="BG278" s="47"/>
      <c r="BH278" s="47"/>
      <c r="BI278" s="90"/>
      <c r="BJ278" s="90"/>
      <c r="BK278" s="90"/>
      <c r="BL278" s="90"/>
      <c r="BM278" s="90"/>
      <c r="BN278" s="90"/>
      <c r="BO278" s="90"/>
      <c r="BP278" s="90"/>
      <c r="BQ278" s="90"/>
      <c r="BR278" s="90"/>
      <c r="BS278" s="90"/>
      <c r="BT278" s="90"/>
      <c r="BU278" s="90"/>
    </row>
    <row r="279" spans="1:73" s="91" customFormat="1" ht="81" x14ac:dyDescent="0.25">
      <c r="A279" s="707"/>
      <c r="B279" s="627"/>
      <c r="C279" s="627"/>
      <c r="D279" s="603"/>
      <c r="E279" s="603"/>
      <c r="F279" s="612"/>
      <c r="G279" s="612"/>
      <c r="H279" s="618"/>
      <c r="I279" s="602"/>
      <c r="J279" s="618"/>
      <c r="K279" s="355" t="s">
        <v>1041</v>
      </c>
      <c r="L279" s="379" t="s">
        <v>1042</v>
      </c>
      <c r="M279" s="46"/>
      <c r="N279" s="46">
        <v>1</v>
      </c>
      <c r="O279" s="46"/>
      <c r="P279" s="46">
        <v>1</v>
      </c>
      <c r="Q279" s="46"/>
      <c r="R279" s="198"/>
      <c r="S279" s="185"/>
      <c r="T279" s="44"/>
      <c r="U279" s="44"/>
      <c r="V279" s="44"/>
      <c r="W279" s="44"/>
      <c r="X279" s="44"/>
      <c r="Y279" s="44"/>
      <c r="Z279" s="44">
        <f t="shared" si="88"/>
        <v>0</v>
      </c>
      <c r="AA279" s="44"/>
      <c r="AB279" s="44"/>
      <c r="AC279" s="44"/>
      <c r="AD279" s="44"/>
      <c r="AE279" s="44"/>
      <c r="AF279" s="44"/>
      <c r="AG279" s="44"/>
      <c r="AH279" s="44">
        <f>SUM(AA279:AG279)</f>
        <v>0</v>
      </c>
      <c r="AI279" s="44"/>
      <c r="AJ279" s="44"/>
      <c r="AK279" s="44"/>
      <c r="AL279" s="44"/>
      <c r="AM279" s="44"/>
      <c r="AN279" s="44"/>
      <c r="AO279" s="44"/>
      <c r="AP279" s="44">
        <f>SUM(AI279:AO279)</f>
        <v>0</v>
      </c>
      <c r="AQ279" s="44"/>
      <c r="AR279" s="44"/>
      <c r="AS279" s="44"/>
      <c r="AT279" s="44"/>
      <c r="AU279" s="44"/>
      <c r="AV279" s="44"/>
      <c r="AW279" s="44"/>
      <c r="AX279" s="44">
        <f>SUM(AQ279:AW279)</f>
        <v>0</v>
      </c>
      <c r="AY279" s="44">
        <f t="shared" si="92"/>
        <v>0</v>
      </c>
      <c r="AZ279" s="44">
        <f t="shared" si="92"/>
        <v>0</v>
      </c>
      <c r="BA279" s="44">
        <f t="shared" si="92"/>
        <v>0</v>
      </c>
      <c r="BB279" s="44">
        <f t="shared" si="92"/>
        <v>0</v>
      </c>
      <c r="BC279" s="44">
        <f t="shared" si="92"/>
        <v>0</v>
      </c>
      <c r="BD279" s="44">
        <f t="shared" si="92"/>
        <v>0</v>
      </c>
      <c r="BE279" s="44">
        <f t="shared" si="92"/>
        <v>0</v>
      </c>
      <c r="BF279" s="83">
        <f>+AY279+AZ279+BA279+BB279+BC279+BD279+BE279:BE282</f>
        <v>0</v>
      </c>
      <c r="BG279" s="47"/>
      <c r="BH279" s="47"/>
      <c r="BI279" s="90"/>
      <c r="BJ279" s="90"/>
      <c r="BK279" s="90"/>
      <c r="BL279" s="90"/>
      <c r="BM279" s="90"/>
      <c r="BN279" s="90"/>
      <c r="BO279" s="90"/>
      <c r="BP279" s="90"/>
      <c r="BQ279" s="90"/>
      <c r="BR279" s="90"/>
      <c r="BS279" s="90"/>
      <c r="BT279" s="90"/>
      <c r="BU279" s="90"/>
    </row>
    <row r="280" spans="1:73" s="91" customFormat="1" ht="40.5" x14ac:dyDescent="0.25">
      <c r="A280" s="707"/>
      <c r="B280" s="627"/>
      <c r="C280" s="627"/>
      <c r="D280" s="603"/>
      <c r="E280" s="603"/>
      <c r="F280" s="612"/>
      <c r="G280" s="612"/>
      <c r="H280" s="616" t="s">
        <v>808</v>
      </c>
      <c r="I280" s="652" t="s">
        <v>762</v>
      </c>
      <c r="J280" s="616"/>
      <c r="K280" s="355" t="s">
        <v>83</v>
      </c>
      <c r="L280" s="379" t="s">
        <v>84</v>
      </c>
      <c r="M280" s="44">
        <v>7974</v>
      </c>
      <c r="N280" s="44">
        <v>9000</v>
      </c>
      <c r="O280" s="44">
        <v>8100</v>
      </c>
      <c r="P280" s="44">
        <v>8300</v>
      </c>
      <c r="Q280" s="44">
        <v>8500</v>
      </c>
      <c r="R280" s="45">
        <v>9000</v>
      </c>
      <c r="S280" s="185"/>
      <c r="T280" s="44">
        <f>+O280*1.2</f>
        <v>9720</v>
      </c>
      <c r="U280" s="44"/>
      <c r="V280" s="44"/>
      <c r="W280" s="44"/>
      <c r="X280" s="44"/>
      <c r="Y280" s="44"/>
      <c r="Z280" s="44">
        <f t="shared" si="88"/>
        <v>9720</v>
      </c>
      <c r="AA280" s="44"/>
      <c r="AB280" s="44">
        <f>+P280*1.2</f>
        <v>9960</v>
      </c>
      <c r="AC280" s="44"/>
      <c r="AD280" s="44"/>
      <c r="AE280" s="44"/>
      <c r="AF280" s="44"/>
      <c r="AG280" s="44"/>
      <c r="AH280" s="44">
        <f t="shared" ref="AH280:AH317" si="95">SUM(AA280:AG280)</f>
        <v>9960</v>
      </c>
      <c r="AI280" s="44"/>
      <c r="AJ280" s="44">
        <f>+Q280*1.2</f>
        <v>10200</v>
      </c>
      <c r="AK280" s="44"/>
      <c r="AL280" s="44"/>
      <c r="AM280" s="44"/>
      <c r="AN280" s="44"/>
      <c r="AO280" s="44"/>
      <c r="AP280" s="44">
        <f t="shared" ref="AP280:AP317" si="96">SUM(AI280:AO280)</f>
        <v>10200</v>
      </c>
      <c r="AQ280" s="44"/>
      <c r="AR280" s="44">
        <f>+R280*1.2</f>
        <v>10800</v>
      </c>
      <c r="AS280" s="44"/>
      <c r="AT280" s="44"/>
      <c r="AU280" s="44"/>
      <c r="AV280" s="44"/>
      <c r="AW280" s="44"/>
      <c r="AX280" s="44">
        <f t="shared" ref="AX280:AX317" si="97">SUM(AQ280:AW280)</f>
        <v>10800</v>
      </c>
      <c r="AY280" s="44">
        <f t="shared" ref="AY280:AY317" si="98">+S280+AA280+AI280+AQ280</f>
        <v>0</v>
      </c>
      <c r="AZ280" s="44">
        <f t="shared" ref="AZ280:AZ317" si="99">+T280+AB280+AJ280+AR280</f>
        <v>40680</v>
      </c>
      <c r="BA280" s="44">
        <f t="shared" ref="BA280:BA317" si="100">+U280+AC280+AK280+AS280</f>
        <v>0</v>
      </c>
      <c r="BB280" s="44">
        <f t="shared" ref="BB280:BB317" si="101">+V280+AD280+AL280+AT280</f>
        <v>0</v>
      </c>
      <c r="BC280" s="44">
        <f t="shared" ref="BC280:BC317" si="102">+W280+AE280+AM280+AU280</f>
        <v>0</v>
      </c>
      <c r="BD280" s="44">
        <f t="shared" ref="BD280:BD317" si="103">+X280+AF280+AN280+AV280</f>
        <v>0</v>
      </c>
      <c r="BE280" s="44">
        <f t="shared" ref="BE280:BE317" si="104">+Y280+AG280+AO280+AW280</f>
        <v>0</v>
      </c>
      <c r="BF280" s="83">
        <f>+AY280+AZ280+BA280+BB280+BC280+BD280+BE280:BE281</f>
        <v>40680</v>
      </c>
      <c r="BG280" s="47"/>
      <c r="BH280" s="47"/>
      <c r="BI280" s="90"/>
      <c r="BJ280" s="90"/>
      <c r="BK280" s="90"/>
      <c r="BL280" s="90"/>
      <c r="BM280" s="90"/>
      <c r="BN280" s="90"/>
      <c r="BO280" s="90"/>
      <c r="BP280" s="90"/>
      <c r="BQ280" s="90"/>
      <c r="BR280" s="90"/>
      <c r="BS280" s="90"/>
      <c r="BT280" s="90"/>
      <c r="BU280" s="90"/>
    </row>
    <row r="281" spans="1:73" s="91" customFormat="1" ht="40.5" x14ac:dyDescent="0.25">
      <c r="A281" s="707"/>
      <c r="B281" s="627"/>
      <c r="C281" s="627"/>
      <c r="D281" s="603"/>
      <c r="E281" s="603"/>
      <c r="F281" s="612"/>
      <c r="G281" s="612"/>
      <c r="H281" s="617"/>
      <c r="I281" s="601"/>
      <c r="J281" s="617"/>
      <c r="K281" s="355" t="s">
        <v>1053</v>
      </c>
      <c r="L281" s="379" t="s">
        <v>698</v>
      </c>
      <c r="M281" s="44">
        <v>0</v>
      </c>
      <c r="N281" s="44">
        <v>1</v>
      </c>
      <c r="O281" s="44"/>
      <c r="P281" s="44"/>
      <c r="Q281" s="44">
        <v>1</v>
      </c>
      <c r="R281" s="45"/>
      <c r="S281" s="185"/>
      <c r="T281" s="44"/>
      <c r="U281" s="44"/>
      <c r="V281" s="44"/>
      <c r="W281" s="44"/>
      <c r="X281" s="44"/>
      <c r="Y281" s="44"/>
      <c r="Z281" s="44">
        <f t="shared" si="88"/>
        <v>0</v>
      </c>
      <c r="AA281" s="44"/>
      <c r="AB281" s="44"/>
      <c r="AC281" s="44"/>
      <c r="AD281" s="44"/>
      <c r="AE281" s="44"/>
      <c r="AF281" s="44"/>
      <c r="AG281" s="44"/>
      <c r="AH281" s="44">
        <f t="shared" si="95"/>
        <v>0</v>
      </c>
      <c r="AI281" s="44"/>
      <c r="AJ281" s="44"/>
      <c r="AK281" s="44">
        <v>16</v>
      </c>
      <c r="AL281" s="44"/>
      <c r="AM281" s="44"/>
      <c r="AN281" s="44"/>
      <c r="AO281" s="44">
        <v>100</v>
      </c>
      <c r="AP281" s="44">
        <f t="shared" si="96"/>
        <v>116</v>
      </c>
      <c r="AQ281" s="44"/>
      <c r="AR281" s="44"/>
      <c r="AS281" s="44"/>
      <c r="AT281" s="44"/>
      <c r="AU281" s="44"/>
      <c r="AV281" s="44"/>
      <c r="AW281" s="44"/>
      <c r="AX281" s="44">
        <f t="shared" si="97"/>
        <v>0</v>
      </c>
      <c r="AY281" s="44">
        <f t="shared" si="98"/>
        <v>0</v>
      </c>
      <c r="AZ281" s="44">
        <f t="shared" si="99"/>
        <v>0</v>
      </c>
      <c r="BA281" s="44">
        <f t="shared" si="100"/>
        <v>16</v>
      </c>
      <c r="BB281" s="44">
        <f t="shared" si="101"/>
        <v>0</v>
      </c>
      <c r="BC281" s="44">
        <f t="shared" si="102"/>
        <v>0</v>
      </c>
      <c r="BD281" s="44">
        <f t="shared" si="103"/>
        <v>0</v>
      </c>
      <c r="BE281" s="44">
        <f t="shared" si="104"/>
        <v>100</v>
      </c>
      <c r="BF281" s="83">
        <f>+AY281+AZ281+BA281+BB281+BC281+BD281+BE281:BE286</f>
        <v>116</v>
      </c>
      <c r="BG281" s="47"/>
      <c r="BH281" s="47"/>
      <c r="BI281" s="90"/>
      <c r="BJ281" s="90"/>
      <c r="BK281" s="90"/>
      <c r="BL281" s="90"/>
      <c r="BM281" s="90"/>
      <c r="BN281" s="90"/>
      <c r="BO281" s="90"/>
      <c r="BP281" s="90"/>
      <c r="BQ281" s="90"/>
      <c r="BR281" s="90"/>
      <c r="BS281" s="90"/>
      <c r="BT281" s="90"/>
      <c r="BU281" s="90"/>
    </row>
    <row r="282" spans="1:73" s="91" customFormat="1" ht="67.5" x14ac:dyDescent="0.25">
      <c r="A282" s="707"/>
      <c r="B282" s="627"/>
      <c r="C282" s="627"/>
      <c r="D282" s="603"/>
      <c r="E282" s="603"/>
      <c r="F282" s="612"/>
      <c r="G282" s="612"/>
      <c r="H282" s="617"/>
      <c r="I282" s="601"/>
      <c r="J282" s="617"/>
      <c r="K282" s="355" t="s">
        <v>1054</v>
      </c>
      <c r="L282" s="379" t="s">
        <v>1055</v>
      </c>
      <c r="M282" s="44" t="s">
        <v>1056</v>
      </c>
      <c r="N282" s="44">
        <v>1</v>
      </c>
      <c r="O282" s="44"/>
      <c r="P282" s="44"/>
      <c r="Q282" s="44">
        <v>1</v>
      </c>
      <c r="R282" s="45"/>
      <c r="S282" s="185"/>
      <c r="T282" s="44"/>
      <c r="U282" s="44"/>
      <c r="V282" s="44"/>
      <c r="W282" s="44"/>
      <c r="X282" s="44"/>
      <c r="Y282" s="44"/>
      <c r="Z282" s="44">
        <f t="shared" si="88"/>
        <v>0</v>
      </c>
      <c r="AA282" s="44"/>
      <c r="AB282" s="44"/>
      <c r="AC282" s="44"/>
      <c r="AD282" s="44"/>
      <c r="AE282" s="44"/>
      <c r="AF282" s="44"/>
      <c r="AG282" s="44"/>
      <c r="AH282" s="44">
        <f t="shared" si="95"/>
        <v>0</v>
      </c>
      <c r="AI282" s="44">
        <v>30</v>
      </c>
      <c r="AJ282" s="44"/>
      <c r="AK282" s="44"/>
      <c r="AL282" s="44"/>
      <c r="AM282" s="44"/>
      <c r="AN282" s="44"/>
      <c r="AO282" s="44">
        <v>30</v>
      </c>
      <c r="AP282" s="44">
        <f t="shared" si="96"/>
        <v>60</v>
      </c>
      <c r="AQ282" s="44"/>
      <c r="AR282" s="44"/>
      <c r="AS282" s="44"/>
      <c r="AT282" s="44"/>
      <c r="AU282" s="44"/>
      <c r="AV282" s="44"/>
      <c r="AW282" s="44"/>
      <c r="AX282" s="44">
        <f t="shared" si="97"/>
        <v>0</v>
      </c>
      <c r="AY282" s="44">
        <f t="shared" si="98"/>
        <v>30</v>
      </c>
      <c r="AZ282" s="44">
        <f t="shared" si="99"/>
        <v>0</v>
      </c>
      <c r="BA282" s="44">
        <f t="shared" si="100"/>
        <v>0</v>
      </c>
      <c r="BB282" s="44">
        <f t="shared" si="101"/>
        <v>0</v>
      </c>
      <c r="BC282" s="44">
        <f t="shared" si="102"/>
        <v>0</v>
      </c>
      <c r="BD282" s="44">
        <f t="shared" si="103"/>
        <v>0</v>
      </c>
      <c r="BE282" s="44">
        <f t="shared" si="104"/>
        <v>30</v>
      </c>
      <c r="BF282" s="83">
        <f>+AY282+AZ282+BA282+BB282+BC282+BD282+BE282:BE287</f>
        <v>60</v>
      </c>
      <c r="BG282" s="47"/>
      <c r="BH282" s="47"/>
      <c r="BI282" s="90"/>
      <c r="BJ282" s="90"/>
      <c r="BK282" s="90"/>
      <c r="BL282" s="90"/>
      <c r="BM282" s="90"/>
      <c r="BN282" s="90"/>
      <c r="BO282" s="90"/>
      <c r="BP282" s="90"/>
      <c r="BQ282" s="90"/>
      <c r="BR282" s="90"/>
      <c r="BS282" s="90"/>
      <c r="BT282" s="90"/>
      <c r="BU282" s="90"/>
    </row>
    <row r="283" spans="1:73" s="91" customFormat="1" ht="67.5" x14ac:dyDescent="0.25">
      <c r="A283" s="707"/>
      <c r="B283" s="627"/>
      <c r="C283" s="627"/>
      <c r="D283" s="603"/>
      <c r="E283" s="603"/>
      <c r="F283" s="612"/>
      <c r="G283" s="612"/>
      <c r="H283" s="617"/>
      <c r="I283" s="601"/>
      <c r="J283" s="617"/>
      <c r="K283" s="355" t="s">
        <v>1057</v>
      </c>
      <c r="L283" s="379" t="s">
        <v>1058</v>
      </c>
      <c r="M283" s="44">
        <v>1</v>
      </c>
      <c r="N283" s="44">
        <v>10</v>
      </c>
      <c r="O283" s="44"/>
      <c r="P283" s="44"/>
      <c r="Q283" s="44"/>
      <c r="R283" s="45"/>
      <c r="S283" s="185"/>
      <c r="T283" s="44"/>
      <c r="U283" s="44"/>
      <c r="V283" s="44"/>
      <c r="W283" s="44"/>
      <c r="X283" s="44"/>
      <c r="Y283" s="44"/>
      <c r="Z283" s="44">
        <f t="shared" si="88"/>
        <v>0</v>
      </c>
      <c r="AA283" s="44"/>
      <c r="AB283" s="44"/>
      <c r="AC283" s="44"/>
      <c r="AD283" s="44"/>
      <c r="AE283" s="44"/>
      <c r="AF283" s="44"/>
      <c r="AG283" s="44"/>
      <c r="AH283" s="44">
        <f t="shared" si="95"/>
        <v>0</v>
      </c>
      <c r="AI283" s="44"/>
      <c r="AJ283" s="44"/>
      <c r="AK283" s="44"/>
      <c r="AL283" s="44"/>
      <c r="AM283" s="44"/>
      <c r="AN283" s="44"/>
      <c r="AO283" s="44"/>
      <c r="AP283" s="44">
        <f t="shared" si="96"/>
        <v>0</v>
      </c>
      <c r="AQ283" s="44"/>
      <c r="AR283" s="44"/>
      <c r="AS283" s="44"/>
      <c r="AT283" s="44"/>
      <c r="AU283" s="44"/>
      <c r="AV283" s="44"/>
      <c r="AW283" s="44"/>
      <c r="AX283" s="44">
        <f t="shared" si="97"/>
        <v>0</v>
      </c>
      <c r="AY283" s="44">
        <f t="shared" si="98"/>
        <v>0</v>
      </c>
      <c r="AZ283" s="44">
        <f t="shared" si="99"/>
        <v>0</v>
      </c>
      <c r="BA283" s="44">
        <f t="shared" si="100"/>
        <v>0</v>
      </c>
      <c r="BB283" s="44">
        <f t="shared" si="101"/>
        <v>0</v>
      </c>
      <c r="BC283" s="44">
        <f t="shared" si="102"/>
        <v>0</v>
      </c>
      <c r="BD283" s="44">
        <f t="shared" si="103"/>
        <v>0</v>
      </c>
      <c r="BE283" s="44">
        <f t="shared" si="104"/>
        <v>0</v>
      </c>
      <c r="BF283" s="83">
        <f>+AY283+AZ283+BA283+BB283+BC283+BD283+BE283:BE288</f>
        <v>0</v>
      </c>
      <c r="BG283" s="47"/>
      <c r="BH283" s="47"/>
      <c r="BI283" s="90"/>
      <c r="BJ283" s="90"/>
      <c r="BK283" s="90"/>
      <c r="BL283" s="90"/>
      <c r="BM283" s="90"/>
      <c r="BN283" s="90"/>
      <c r="BO283" s="90"/>
      <c r="BP283" s="90"/>
      <c r="BQ283" s="90"/>
      <c r="BR283" s="90"/>
      <c r="BS283" s="90"/>
      <c r="BT283" s="90"/>
      <c r="BU283" s="90"/>
    </row>
    <row r="284" spans="1:73" s="91" customFormat="1" ht="40.5" x14ac:dyDescent="0.25">
      <c r="A284" s="707"/>
      <c r="B284" s="627"/>
      <c r="C284" s="627"/>
      <c r="D284" s="603"/>
      <c r="E284" s="603"/>
      <c r="F284" s="612"/>
      <c r="G284" s="612"/>
      <c r="H284" s="617"/>
      <c r="I284" s="601"/>
      <c r="J284" s="617"/>
      <c r="K284" s="355" t="s">
        <v>1059</v>
      </c>
      <c r="L284" s="379" t="s">
        <v>1060</v>
      </c>
      <c r="M284" s="44"/>
      <c r="N284" s="44">
        <v>1</v>
      </c>
      <c r="O284" s="44"/>
      <c r="P284" s="44">
        <v>1</v>
      </c>
      <c r="Q284" s="44"/>
      <c r="R284" s="45"/>
      <c r="S284" s="185"/>
      <c r="T284" s="44"/>
      <c r="U284" s="44"/>
      <c r="V284" s="44"/>
      <c r="W284" s="44"/>
      <c r="X284" s="44"/>
      <c r="Y284" s="44"/>
      <c r="Z284" s="44">
        <f t="shared" si="88"/>
        <v>0</v>
      </c>
      <c r="AA284" s="44"/>
      <c r="AB284" s="44"/>
      <c r="AC284" s="44"/>
      <c r="AD284" s="44"/>
      <c r="AE284" s="44"/>
      <c r="AF284" s="44"/>
      <c r="AG284" s="44"/>
      <c r="AH284" s="44">
        <f t="shared" si="95"/>
        <v>0</v>
      </c>
      <c r="AI284" s="44"/>
      <c r="AJ284" s="44"/>
      <c r="AK284" s="44"/>
      <c r="AL284" s="44"/>
      <c r="AM284" s="44"/>
      <c r="AN284" s="44"/>
      <c r="AO284" s="44"/>
      <c r="AP284" s="44">
        <f t="shared" si="96"/>
        <v>0</v>
      </c>
      <c r="AQ284" s="44"/>
      <c r="AR284" s="44"/>
      <c r="AS284" s="44"/>
      <c r="AT284" s="44"/>
      <c r="AU284" s="44"/>
      <c r="AV284" s="44"/>
      <c r="AW284" s="44"/>
      <c r="AX284" s="44">
        <f t="shared" si="97"/>
        <v>0</v>
      </c>
      <c r="AY284" s="44">
        <f t="shared" si="98"/>
        <v>0</v>
      </c>
      <c r="AZ284" s="44">
        <f t="shared" si="99"/>
        <v>0</v>
      </c>
      <c r="BA284" s="44">
        <f t="shared" si="100"/>
        <v>0</v>
      </c>
      <c r="BB284" s="44">
        <f t="shared" si="101"/>
        <v>0</v>
      </c>
      <c r="BC284" s="44">
        <f t="shared" si="102"/>
        <v>0</v>
      </c>
      <c r="BD284" s="44">
        <f t="shared" si="103"/>
        <v>0</v>
      </c>
      <c r="BE284" s="44">
        <f t="shared" si="104"/>
        <v>0</v>
      </c>
      <c r="BF284" s="83">
        <f>+AY284+AZ284+BA284+BB284+BC284+BD284+BE284:BE289</f>
        <v>0</v>
      </c>
      <c r="BG284" s="47"/>
      <c r="BH284" s="47"/>
      <c r="BI284" s="90"/>
      <c r="BJ284" s="90"/>
      <c r="BK284" s="90"/>
      <c r="BL284" s="90"/>
      <c r="BM284" s="90"/>
      <c r="BN284" s="90"/>
      <c r="BO284" s="90"/>
      <c r="BP284" s="90"/>
      <c r="BQ284" s="90"/>
      <c r="BR284" s="90"/>
      <c r="BS284" s="90"/>
      <c r="BT284" s="90"/>
      <c r="BU284" s="90"/>
    </row>
    <row r="285" spans="1:73" s="91" customFormat="1" ht="54.75" thickBot="1" x14ac:dyDescent="0.3">
      <c r="A285" s="707"/>
      <c r="B285" s="627"/>
      <c r="C285" s="627"/>
      <c r="D285" s="603"/>
      <c r="E285" s="603"/>
      <c r="F285" s="612"/>
      <c r="G285" s="612"/>
      <c r="H285" s="650"/>
      <c r="I285" s="651"/>
      <c r="J285" s="650"/>
      <c r="K285" s="356" t="s">
        <v>1061</v>
      </c>
      <c r="L285" s="380" t="s">
        <v>1062</v>
      </c>
      <c r="M285" s="123"/>
      <c r="N285" s="123">
        <v>151</v>
      </c>
      <c r="O285" s="123"/>
      <c r="P285" s="123"/>
      <c r="Q285" s="123"/>
      <c r="R285" s="199">
        <v>151</v>
      </c>
      <c r="S285" s="186"/>
      <c r="T285" s="123"/>
      <c r="U285" s="123"/>
      <c r="V285" s="123"/>
      <c r="W285" s="123"/>
      <c r="X285" s="123"/>
      <c r="Y285" s="123"/>
      <c r="Z285" s="123">
        <f t="shared" si="88"/>
        <v>0</v>
      </c>
      <c r="AA285" s="123"/>
      <c r="AB285" s="123"/>
      <c r="AC285" s="123"/>
      <c r="AD285" s="123"/>
      <c r="AE285" s="123"/>
      <c r="AF285" s="123"/>
      <c r="AG285" s="123"/>
      <c r="AH285" s="123">
        <f t="shared" si="95"/>
        <v>0</v>
      </c>
      <c r="AI285" s="123"/>
      <c r="AJ285" s="123"/>
      <c r="AK285" s="123"/>
      <c r="AL285" s="123"/>
      <c r="AM285" s="123"/>
      <c r="AN285" s="123"/>
      <c r="AO285" s="123"/>
      <c r="AP285" s="123">
        <f t="shared" si="96"/>
        <v>0</v>
      </c>
      <c r="AQ285" s="123"/>
      <c r="AR285" s="123">
        <v>151</v>
      </c>
      <c r="AS285" s="123"/>
      <c r="AT285" s="123"/>
      <c r="AU285" s="123"/>
      <c r="AV285" s="123"/>
      <c r="AW285" s="123"/>
      <c r="AX285" s="123">
        <f t="shared" si="97"/>
        <v>151</v>
      </c>
      <c r="AY285" s="123">
        <f t="shared" si="98"/>
        <v>0</v>
      </c>
      <c r="AZ285" s="123">
        <f t="shared" si="99"/>
        <v>151</v>
      </c>
      <c r="BA285" s="123">
        <f t="shared" si="100"/>
        <v>0</v>
      </c>
      <c r="BB285" s="123">
        <f t="shared" si="101"/>
        <v>0</v>
      </c>
      <c r="BC285" s="123">
        <f t="shared" si="102"/>
        <v>0</v>
      </c>
      <c r="BD285" s="123">
        <f t="shared" si="103"/>
        <v>0</v>
      </c>
      <c r="BE285" s="123">
        <f t="shared" si="104"/>
        <v>0</v>
      </c>
      <c r="BF285" s="128">
        <f>+AY285+AZ285+BA285+BB285+BC285+BD285+BE285:BE290</f>
        <v>151</v>
      </c>
      <c r="BG285" s="47"/>
      <c r="BH285" s="47"/>
      <c r="BI285" s="90"/>
      <c r="BJ285" s="90"/>
      <c r="BK285" s="90"/>
      <c r="BL285" s="90"/>
      <c r="BM285" s="90"/>
      <c r="BN285" s="90"/>
      <c r="BO285" s="90"/>
      <c r="BP285" s="90"/>
      <c r="BQ285" s="90"/>
      <c r="BR285" s="90"/>
      <c r="BS285" s="90"/>
      <c r="BT285" s="90"/>
      <c r="BU285" s="90"/>
    </row>
    <row r="286" spans="1:73" s="91" customFormat="1" ht="41.25" thickBot="1" x14ac:dyDescent="0.3">
      <c r="A286" s="707"/>
      <c r="B286" s="628"/>
      <c r="C286" s="628"/>
      <c r="D286" s="604"/>
      <c r="E286" s="604"/>
      <c r="F286" s="625"/>
      <c r="G286" s="625"/>
      <c r="H286" s="427" t="s">
        <v>1033</v>
      </c>
      <c r="I286" s="427" t="s">
        <v>763</v>
      </c>
      <c r="J286" s="427"/>
      <c r="K286" s="355" t="s">
        <v>1398</v>
      </c>
      <c r="L286" s="365" t="s">
        <v>1044</v>
      </c>
      <c r="M286" s="352">
        <v>0</v>
      </c>
      <c r="N286" s="428">
        <v>1</v>
      </c>
      <c r="O286" s="428"/>
      <c r="P286" s="428"/>
      <c r="Q286" s="428"/>
      <c r="R286" s="429">
        <v>1</v>
      </c>
      <c r="S286" s="430"/>
      <c r="T286" s="352"/>
      <c r="U286" s="352"/>
      <c r="V286" s="352"/>
      <c r="W286" s="352"/>
      <c r="X286" s="352"/>
      <c r="Y286" s="352"/>
      <c r="Z286" s="352">
        <f t="shared" si="88"/>
        <v>0</v>
      </c>
      <c r="AA286" s="352"/>
      <c r="AB286" s="352"/>
      <c r="AC286" s="352"/>
      <c r="AD286" s="352"/>
      <c r="AE286" s="352"/>
      <c r="AF286" s="352"/>
      <c r="AG286" s="352"/>
      <c r="AH286" s="352">
        <f t="shared" si="95"/>
        <v>0</v>
      </c>
      <c r="AI286" s="352"/>
      <c r="AJ286" s="352"/>
      <c r="AK286" s="352"/>
      <c r="AL286" s="352"/>
      <c r="AM286" s="352"/>
      <c r="AN286" s="352"/>
      <c r="AO286" s="352"/>
      <c r="AP286" s="352">
        <f t="shared" si="96"/>
        <v>0</v>
      </c>
      <c r="AQ286" s="352"/>
      <c r="AR286" s="352"/>
      <c r="AS286" s="352"/>
      <c r="AT286" s="352"/>
      <c r="AU286" s="352"/>
      <c r="AV286" s="352"/>
      <c r="AW286" s="352"/>
      <c r="AX286" s="352">
        <f t="shared" si="97"/>
        <v>0</v>
      </c>
      <c r="AY286" s="352">
        <f t="shared" si="98"/>
        <v>0</v>
      </c>
      <c r="AZ286" s="352">
        <f t="shared" si="99"/>
        <v>0</v>
      </c>
      <c r="BA286" s="352">
        <f t="shared" si="100"/>
        <v>0</v>
      </c>
      <c r="BB286" s="352">
        <f t="shared" si="101"/>
        <v>0</v>
      </c>
      <c r="BC286" s="352">
        <f t="shared" si="102"/>
        <v>0</v>
      </c>
      <c r="BD286" s="352">
        <f t="shared" si="103"/>
        <v>0</v>
      </c>
      <c r="BE286" s="352">
        <f t="shared" si="104"/>
        <v>0</v>
      </c>
      <c r="BF286" s="431">
        <f>+AY286+AZ286+BA286+BB286+BC286+BD286+BE286:BE287</f>
        <v>0</v>
      </c>
      <c r="BG286" s="47"/>
      <c r="BH286" s="47"/>
      <c r="BI286" s="90"/>
      <c r="BJ286" s="90"/>
      <c r="BK286" s="90"/>
      <c r="BL286" s="90"/>
      <c r="BM286" s="90"/>
      <c r="BN286" s="90"/>
      <c r="BO286" s="90"/>
      <c r="BP286" s="90"/>
      <c r="BQ286" s="90"/>
      <c r="BR286" s="90"/>
      <c r="BS286" s="90"/>
      <c r="BT286" s="90"/>
      <c r="BU286" s="90"/>
    </row>
    <row r="287" spans="1:73" s="91" customFormat="1" ht="94.5" x14ac:dyDescent="0.25">
      <c r="A287" s="707"/>
      <c r="B287" s="626" t="s">
        <v>783</v>
      </c>
      <c r="C287" s="626" t="s">
        <v>158</v>
      </c>
      <c r="D287" s="649"/>
      <c r="E287" s="649"/>
      <c r="F287" s="653"/>
      <c r="G287" s="653"/>
      <c r="H287" s="360" t="s">
        <v>809</v>
      </c>
      <c r="I287" s="360" t="s">
        <v>765</v>
      </c>
      <c r="J287" s="360"/>
      <c r="K287" s="360" t="s">
        <v>1045</v>
      </c>
      <c r="L287" s="378" t="s">
        <v>1046</v>
      </c>
      <c r="M287" s="124">
        <v>0</v>
      </c>
      <c r="N287" s="118">
        <v>1</v>
      </c>
      <c r="O287" s="118">
        <v>1</v>
      </c>
      <c r="P287" s="118"/>
      <c r="Q287" s="118"/>
      <c r="R287" s="408"/>
      <c r="S287" s="187"/>
      <c r="T287" s="124"/>
      <c r="U287" s="124"/>
      <c r="V287" s="124"/>
      <c r="W287" s="124"/>
      <c r="X287" s="124"/>
      <c r="Y287" s="124"/>
      <c r="Z287" s="124">
        <f t="shared" si="88"/>
        <v>0</v>
      </c>
      <c r="AA287" s="124"/>
      <c r="AB287" s="124"/>
      <c r="AC287" s="124"/>
      <c r="AD287" s="124"/>
      <c r="AE287" s="124"/>
      <c r="AF287" s="124"/>
      <c r="AG287" s="124"/>
      <c r="AH287" s="124">
        <f t="shared" si="95"/>
        <v>0</v>
      </c>
      <c r="AI287" s="124"/>
      <c r="AJ287" s="124"/>
      <c r="AK287" s="124"/>
      <c r="AL287" s="124"/>
      <c r="AM287" s="124"/>
      <c r="AN287" s="124"/>
      <c r="AO287" s="124"/>
      <c r="AP287" s="124">
        <f t="shared" si="96"/>
        <v>0</v>
      </c>
      <c r="AQ287" s="124"/>
      <c r="AR287" s="124"/>
      <c r="AS287" s="124"/>
      <c r="AT287" s="124"/>
      <c r="AU287" s="124"/>
      <c r="AV287" s="124"/>
      <c r="AW287" s="124"/>
      <c r="AX287" s="124">
        <f t="shared" si="97"/>
        <v>0</v>
      </c>
      <c r="AY287" s="124">
        <f t="shared" si="98"/>
        <v>0</v>
      </c>
      <c r="AZ287" s="124">
        <f t="shared" si="99"/>
        <v>0</v>
      </c>
      <c r="BA287" s="124">
        <f t="shared" si="100"/>
        <v>0</v>
      </c>
      <c r="BB287" s="124">
        <f t="shared" si="101"/>
        <v>0</v>
      </c>
      <c r="BC287" s="124">
        <f t="shared" si="102"/>
        <v>0</v>
      </c>
      <c r="BD287" s="124">
        <f t="shared" si="103"/>
        <v>0</v>
      </c>
      <c r="BE287" s="124">
        <f t="shared" si="104"/>
        <v>0</v>
      </c>
      <c r="BF287" s="125">
        <f>+AY287+AZ287+BA287+BB287+BC287+BD287+BE287:BE288</f>
        <v>0</v>
      </c>
      <c r="BG287" s="47"/>
      <c r="BH287" s="47"/>
      <c r="BI287" s="90"/>
      <c r="BJ287" s="90"/>
      <c r="BK287" s="90"/>
      <c r="BL287" s="90"/>
      <c r="BM287" s="90"/>
      <c r="BN287" s="90"/>
      <c r="BO287" s="90"/>
      <c r="BP287" s="90"/>
      <c r="BQ287" s="90"/>
      <c r="BR287" s="90"/>
      <c r="BS287" s="90"/>
      <c r="BT287" s="90"/>
      <c r="BU287" s="90"/>
    </row>
    <row r="288" spans="1:73" s="91" customFormat="1" ht="54" x14ac:dyDescent="0.25">
      <c r="A288" s="707"/>
      <c r="B288" s="627"/>
      <c r="C288" s="627"/>
      <c r="D288" s="617"/>
      <c r="E288" s="617"/>
      <c r="F288" s="599"/>
      <c r="G288" s="599"/>
      <c r="H288" s="616" t="s">
        <v>810</v>
      </c>
      <c r="I288" s="652" t="s">
        <v>1047</v>
      </c>
      <c r="J288" s="616"/>
      <c r="K288" s="355" t="s">
        <v>1048</v>
      </c>
      <c r="L288" s="379" t="s">
        <v>1049</v>
      </c>
      <c r="M288" s="46"/>
      <c r="N288" s="46">
        <v>1</v>
      </c>
      <c r="O288" s="46">
        <v>1</v>
      </c>
      <c r="P288" s="46">
        <v>1</v>
      </c>
      <c r="Q288" s="46">
        <v>1</v>
      </c>
      <c r="R288" s="198">
        <v>1</v>
      </c>
      <c r="S288" s="185">
        <v>20</v>
      </c>
      <c r="T288" s="44"/>
      <c r="U288" s="44"/>
      <c r="V288" s="44"/>
      <c r="W288" s="44"/>
      <c r="X288" s="44"/>
      <c r="Y288" s="44"/>
      <c r="Z288" s="44">
        <f t="shared" si="88"/>
        <v>20</v>
      </c>
      <c r="AA288" s="44">
        <v>20</v>
      </c>
      <c r="AB288" s="44"/>
      <c r="AC288" s="44"/>
      <c r="AD288" s="44"/>
      <c r="AE288" s="44"/>
      <c r="AF288" s="44"/>
      <c r="AG288" s="44"/>
      <c r="AH288" s="44">
        <f t="shared" si="95"/>
        <v>20</v>
      </c>
      <c r="AI288" s="44">
        <v>20</v>
      </c>
      <c r="AJ288" s="44"/>
      <c r="AK288" s="44"/>
      <c r="AL288" s="44"/>
      <c r="AM288" s="44"/>
      <c r="AN288" s="44"/>
      <c r="AO288" s="44"/>
      <c r="AP288" s="44">
        <f t="shared" si="96"/>
        <v>20</v>
      </c>
      <c r="AQ288" s="44">
        <v>20</v>
      </c>
      <c r="AR288" s="44"/>
      <c r="AS288" s="44"/>
      <c r="AT288" s="44"/>
      <c r="AU288" s="44"/>
      <c r="AV288" s="44"/>
      <c r="AW288" s="44"/>
      <c r="AX288" s="44">
        <f t="shared" si="97"/>
        <v>20</v>
      </c>
      <c r="AY288" s="44">
        <f t="shared" si="98"/>
        <v>80</v>
      </c>
      <c r="AZ288" s="44">
        <f t="shared" si="99"/>
        <v>0</v>
      </c>
      <c r="BA288" s="44">
        <f t="shared" si="100"/>
        <v>0</v>
      </c>
      <c r="BB288" s="44">
        <f t="shared" si="101"/>
        <v>0</v>
      </c>
      <c r="BC288" s="44">
        <f t="shared" si="102"/>
        <v>0</v>
      </c>
      <c r="BD288" s="44">
        <f t="shared" si="103"/>
        <v>0</v>
      </c>
      <c r="BE288" s="44">
        <f t="shared" si="104"/>
        <v>0</v>
      </c>
      <c r="BF288" s="83">
        <f t="shared" ref="BF288:BF293" si="105">+AY288+AZ288+BA288+BB288+BC288+BD288+BE288:BE293</f>
        <v>80</v>
      </c>
      <c r="BG288" s="47"/>
      <c r="BH288" s="47"/>
      <c r="BI288" s="90"/>
      <c r="BJ288" s="90"/>
      <c r="BK288" s="90"/>
      <c r="BL288" s="90"/>
      <c r="BM288" s="90"/>
      <c r="BN288" s="90"/>
      <c r="BO288" s="90"/>
      <c r="BP288" s="90"/>
      <c r="BQ288" s="90"/>
      <c r="BR288" s="90"/>
      <c r="BS288" s="90"/>
      <c r="BT288" s="90"/>
      <c r="BU288" s="90"/>
    </row>
    <row r="289" spans="1:73" s="91" customFormat="1" ht="54" x14ac:dyDescent="0.25">
      <c r="A289" s="707"/>
      <c r="B289" s="627"/>
      <c r="C289" s="627"/>
      <c r="D289" s="617"/>
      <c r="E289" s="617"/>
      <c r="F289" s="599"/>
      <c r="G289" s="599"/>
      <c r="H289" s="617"/>
      <c r="I289" s="601"/>
      <c r="J289" s="617"/>
      <c r="K289" s="355" t="s">
        <v>1050</v>
      </c>
      <c r="L289" s="379" t="s">
        <v>556</v>
      </c>
      <c r="M289" s="46"/>
      <c r="N289" s="46">
        <v>30</v>
      </c>
      <c r="O289" s="46">
        <v>30</v>
      </c>
      <c r="P289" s="46">
        <v>30</v>
      </c>
      <c r="Q289" s="46">
        <v>30</v>
      </c>
      <c r="R289" s="198">
        <v>30</v>
      </c>
      <c r="S289" s="185"/>
      <c r="T289" s="44"/>
      <c r="U289" s="44"/>
      <c r="V289" s="44"/>
      <c r="W289" s="44"/>
      <c r="X289" s="44"/>
      <c r="Y289" s="44"/>
      <c r="Z289" s="44">
        <f t="shared" si="88"/>
        <v>0</v>
      </c>
      <c r="AA289" s="44">
        <v>1</v>
      </c>
      <c r="AB289" s="44"/>
      <c r="AC289" s="44"/>
      <c r="AD289" s="44"/>
      <c r="AE289" s="44"/>
      <c r="AF289" s="44"/>
      <c r="AG289" s="44"/>
      <c r="AH289" s="44">
        <f t="shared" si="95"/>
        <v>1</v>
      </c>
      <c r="AI289" s="44">
        <v>1</v>
      </c>
      <c r="AJ289" s="44"/>
      <c r="AK289" s="44"/>
      <c r="AL289" s="44"/>
      <c r="AM289" s="44"/>
      <c r="AN289" s="44"/>
      <c r="AO289" s="44"/>
      <c r="AP289" s="44">
        <f t="shared" si="96"/>
        <v>1</v>
      </c>
      <c r="AQ289" s="44">
        <v>1</v>
      </c>
      <c r="AR289" s="44"/>
      <c r="AS289" s="44"/>
      <c r="AT289" s="44"/>
      <c r="AU289" s="44"/>
      <c r="AV289" s="44"/>
      <c r="AW289" s="44"/>
      <c r="AX289" s="44">
        <f t="shared" si="97"/>
        <v>1</v>
      </c>
      <c r="AY289" s="44">
        <f t="shared" ref="AY289:BE293" si="106">+S289+AA289+AI289+AQ289</f>
        <v>3</v>
      </c>
      <c r="AZ289" s="44">
        <f t="shared" si="106"/>
        <v>0</v>
      </c>
      <c r="BA289" s="44">
        <f t="shared" si="106"/>
        <v>0</v>
      </c>
      <c r="BB289" s="44">
        <f t="shared" si="106"/>
        <v>0</v>
      </c>
      <c r="BC289" s="44">
        <f t="shared" si="106"/>
        <v>0</v>
      </c>
      <c r="BD289" s="44">
        <f t="shared" si="106"/>
        <v>0</v>
      </c>
      <c r="BE289" s="44">
        <f t="shared" si="106"/>
        <v>0</v>
      </c>
      <c r="BF289" s="83">
        <f t="shared" si="105"/>
        <v>3</v>
      </c>
      <c r="BG289" s="47"/>
      <c r="BH289" s="47"/>
      <c r="BI289" s="90"/>
      <c r="BJ289" s="90"/>
      <c r="BK289" s="90"/>
      <c r="BL289" s="90"/>
      <c r="BM289" s="90"/>
      <c r="BN289" s="90"/>
      <c r="BO289" s="90"/>
      <c r="BP289" s="90"/>
      <c r="BQ289" s="90"/>
      <c r="BR289" s="90"/>
      <c r="BS289" s="90"/>
      <c r="BT289" s="90"/>
      <c r="BU289" s="90"/>
    </row>
    <row r="290" spans="1:73" s="91" customFormat="1" ht="67.5" x14ac:dyDescent="0.25">
      <c r="A290" s="707"/>
      <c r="B290" s="627"/>
      <c r="C290" s="627"/>
      <c r="D290" s="617"/>
      <c r="E290" s="617"/>
      <c r="F290" s="599"/>
      <c r="G290" s="599"/>
      <c r="H290" s="617"/>
      <c r="I290" s="601"/>
      <c r="J290" s="617"/>
      <c r="K290" s="355" t="s">
        <v>1063</v>
      </c>
      <c r="L290" s="379" t="s">
        <v>1064</v>
      </c>
      <c r="M290" s="46"/>
      <c r="N290" s="46">
        <v>1</v>
      </c>
      <c r="O290" s="46"/>
      <c r="P290" s="46">
        <v>1</v>
      </c>
      <c r="Q290" s="46"/>
      <c r="R290" s="198"/>
      <c r="S290" s="185"/>
      <c r="T290" s="44"/>
      <c r="U290" s="44"/>
      <c r="V290" s="44"/>
      <c r="W290" s="44"/>
      <c r="X290" s="44"/>
      <c r="Y290" s="44"/>
      <c r="Z290" s="44">
        <f t="shared" si="88"/>
        <v>0</v>
      </c>
      <c r="AA290" s="44"/>
      <c r="AB290" s="44"/>
      <c r="AC290" s="44"/>
      <c r="AD290" s="44"/>
      <c r="AE290" s="44"/>
      <c r="AF290" s="44"/>
      <c r="AG290" s="44"/>
      <c r="AH290" s="44">
        <f t="shared" si="95"/>
        <v>0</v>
      </c>
      <c r="AI290" s="44"/>
      <c r="AJ290" s="44"/>
      <c r="AK290" s="44"/>
      <c r="AL290" s="44"/>
      <c r="AM290" s="44"/>
      <c r="AN290" s="44"/>
      <c r="AO290" s="44"/>
      <c r="AP290" s="44">
        <f t="shared" si="96"/>
        <v>0</v>
      </c>
      <c r="AQ290" s="44"/>
      <c r="AR290" s="44"/>
      <c r="AS290" s="44"/>
      <c r="AT290" s="44"/>
      <c r="AU290" s="44"/>
      <c r="AV290" s="44"/>
      <c r="AW290" s="44"/>
      <c r="AX290" s="44">
        <f t="shared" si="97"/>
        <v>0</v>
      </c>
      <c r="AY290" s="44">
        <f t="shared" si="106"/>
        <v>0</v>
      </c>
      <c r="AZ290" s="44">
        <f t="shared" si="106"/>
        <v>0</v>
      </c>
      <c r="BA290" s="44">
        <f t="shared" si="106"/>
        <v>0</v>
      </c>
      <c r="BB290" s="44">
        <f t="shared" si="106"/>
        <v>0</v>
      </c>
      <c r="BC290" s="44">
        <f t="shared" si="106"/>
        <v>0</v>
      </c>
      <c r="BD290" s="44">
        <f t="shared" si="106"/>
        <v>0</v>
      </c>
      <c r="BE290" s="44">
        <f t="shared" si="106"/>
        <v>0</v>
      </c>
      <c r="BF290" s="83">
        <f t="shared" si="105"/>
        <v>0</v>
      </c>
      <c r="BG290" s="47"/>
      <c r="BH290" s="47"/>
      <c r="BI290" s="90"/>
      <c r="BJ290" s="90"/>
      <c r="BK290" s="90"/>
      <c r="BL290" s="90"/>
      <c r="BM290" s="90"/>
      <c r="BN290" s="90"/>
      <c r="BO290" s="90"/>
      <c r="BP290" s="90"/>
      <c r="BQ290" s="90"/>
      <c r="BR290" s="90"/>
      <c r="BS290" s="90"/>
      <c r="BT290" s="90"/>
      <c r="BU290" s="90"/>
    </row>
    <row r="291" spans="1:73" s="91" customFormat="1" ht="67.5" x14ac:dyDescent="0.25">
      <c r="A291" s="707"/>
      <c r="B291" s="627"/>
      <c r="C291" s="627"/>
      <c r="D291" s="617"/>
      <c r="E291" s="617"/>
      <c r="F291" s="599"/>
      <c r="G291" s="599"/>
      <c r="H291" s="618"/>
      <c r="I291" s="602"/>
      <c r="J291" s="618"/>
      <c r="K291" s="355" t="s">
        <v>1051</v>
      </c>
      <c r="L291" s="379" t="s">
        <v>1052</v>
      </c>
      <c r="M291" s="46"/>
      <c r="N291" s="46">
        <v>400</v>
      </c>
      <c r="O291" s="46">
        <v>100</v>
      </c>
      <c r="P291" s="46">
        <v>200</v>
      </c>
      <c r="Q291" s="46">
        <v>300</v>
      </c>
      <c r="R291" s="198">
        <v>400</v>
      </c>
      <c r="S291" s="185"/>
      <c r="T291" s="44"/>
      <c r="U291" s="44"/>
      <c r="V291" s="44">
        <v>20</v>
      </c>
      <c r="W291" s="44"/>
      <c r="X291" s="44"/>
      <c r="Y291" s="44"/>
      <c r="Z291" s="44">
        <f t="shared" si="88"/>
        <v>20</v>
      </c>
      <c r="AA291" s="44"/>
      <c r="AB291" s="44"/>
      <c r="AC291" s="44"/>
      <c r="AD291" s="44">
        <v>20</v>
      </c>
      <c r="AE291" s="44"/>
      <c r="AF291" s="44"/>
      <c r="AG291" s="44"/>
      <c r="AH291" s="44">
        <f t="shared" si="95"/>
        <v>20</v>
      </c>
      <c r="AI291" s="44">
        <v>3</v>
      </c>
      <c r="AJ291" s="44"/>
      <c r="AK291" s="44"/>
      <c r="AL291" s="44">
        <v>20</v>
      </c>
      <c r="AM291" s="44"/>
      <c r="AN291" s="44"/>
      <c r="AO291" s="44"/>
      <c r="AP291" s="44">
        <f t="shared" si="96"/>
        <v>23</v>
      </c>
      <c r="AQ291" s="44">
        <v>3</v>
      </c>
      <c r="AR291" s="44"/>
      <c r="AS291" s="44"/>
      <c r="AT291" s="44">
        <v>20</v>
      </c>
      <c r="AU291" s="44"/>
      <c r="AV291" s="44"/>
      <c r="AW291" s="44"/>
      <c r="AX291" s="44">
        <f t="shared" si="97"/>
        <v>23</v>
      </c>
      <c r="AY291" s="44">
        <f t="shared" si="106"/>
        <v>6</v>
      </c>
      <c r="AZ291" s="44">
        <f t="shared" si="106"/>
        <v>0</v>
      </c>
      <c r="BA291" s="44">
        <f t="shared" si="106"/>
        <v>0</v>
      </c>
      <c r="BB291" s="44">
        <f t="shared" si="106"/>
        <v>80</v>
      </c>
      <c r="BC291" s="44">
        <f t="shared" si="106"/>
        <v>0</v>
      </c>
      <c r="BD291" s="44">
        <f t="shared" si="106"/>
        <v>0</v>
      </c>
      <c r="BE291" s="44">
        <f t="shared" si="106"/>
        <v>0</v>
      </c>
      <c r="BF291" s="83">
        <f t="shared" si="105"/>
        <v>86</v>
      </c>
      <c r="BG291" s="47"/>
      <c r="BH291" s="47"/>
      <c r="BI291" s="90"/>
      <c r="BJ291" s="90"/>
      <c r="BK291" s="90"/>
      <c r="BL291" s="90"/>
      <c r="BM291" s="90"/>
      <c r="BN291" s="90"/>
      <c r="BO291" s="90"/>
      <c r="BP291" s="90"/>
      <c r="BQ291" s="90"/>
      <c r="BR291" s="90"/>
      <c r="BS291" s="90"/>
      <c r="BT291" s="90"/>
      <c r="BU291" s="90"/>
    </row>
    <row r="292" spans="1:73" s="91" customFormat="1" ht="40.5" customHeight="1" x14ac:dyDescent="0.25">
      <c r="A292" s="707"/>
      <c r="B292" s="627"/>
      <c r="C292" s="627"/>
      <c r="D292" s="617"/>
      <c r="E292" s="617"/>
      <c r="F292" s="599"/>
      <c r="G292" s="599"/>
      <c r="H292" s="616" t="s">
        <v>811</v>
      </c>
      <c r="I292" s="652" t="s">
        <v>766</v>
      </c>
      <c r="J292" s="616"/>
      <c r="K292" s="355" t="s">
        <v>1065</v>
      </c>
      <c r="L292" s="379" t="s">
        <v>1066</v>
      </c>
      <c r="M292" s="46"/>
      <c r="N292" s="46">
        <v>4</v>
      </c>
      <c r="O292" s="46">
        <v>4</v>
      </c>
      <c r="P292" s="46">
        <v>4</v>
      </c>
      <c r="Q292" s="46">
        <v>4</v>
      </c>
      <c r="R292" s="198">
        <v>4</v>
      </c>
      <c r="S292" s="185"/>
      <c r="T292" s="44"/>
      <c r="U292" s="44"/>
      <c r="V292" s="44">
        <v>5</v>
      </c>
      <c r="W292" s="44"/>
      <c r="X292" s="44"/>
      <c r="Y292" s="44"/>
      <c r="Z292" s="44">
        <f t="shared" si="88"/>
        <v>5</v>
      </c>
      <c r="AA292" s="44"/>
      <c r="AB292" s="44"/>
      <c r="AC292" s="44"/>
      <c r="AD292" s="44">
        <v>5</v>
      </c>
      <c r="AE292" s="44"/>
      <c r="AF292" s="44"/>
      <c r="AG292" s="44"/>
      <c r="AH292" s="44">
        <f t="shared" si="95"/>
        <v>5</v>
      </c>
      <c r="AI292" s="44"/>
      <c r="AJ292" s="44"/>
      <c r="AK292" s="44"/>
      <c r="AL292" s="44">
        <v>5</v>
      </c>
      <c r="AM292" s="44"/>
      <c r="AN292" s="44"/>
      <c r="AO292" s="44"/>
      <c r="AP292" s="44">
        <f t="shared" si="96"/>
        <v>5</v>
      </c>
      <c r="AQ292" s="44"/>
      <c r="AR292" s="44"/>
      <c r="AS292" s="44"/>
      <c r="AT292" s="44">
        <v>5</v>
      </c>
      <c r="AU292" s="44"/>
      <c r="AV292" s="44"/>
      <c r="AW292" s="44"/>
      <c r="AX292" s="44">
        <f t="shared" si="97"/>
        <v>5</v>
      </c>
      <c r="AY292" s="44">
        <f t="shared" si="106"/>
        <v>0</v>
      </c>
      <c r="AZ292" s="44">
        <f t="shared" si="106"/>
        <v>0</v>
      </c>
      <c r="BA292" s="44">
        <f t="shared" si="106"/>
        <v>0</v>
      </c>
      <c r="BB292" s="44">
        <f t="shared" si="106"/>
        <v>20</v>
      </c>
      <c r="BC292" s="44">
        <f t="shared" si="106"/>
        <v>0</v>
      </c>
      <c r="BD292" s="44">
        <f t="shared" si="106"/>
        <v>0</v>
      </c>
      <c r="BE292" s="44">
        <f t="shared" si="106"/>
        <v>0</v>
      </c>
      <c r="BF292" s="83">
        <f t="shared" si="105"/>
        <v>20</v>
      </c>
      <c r="BG292" s="47"/>
      <c r="BH292" s="47"/>
      <c r="BI292" s="90"/>
      <c r="BJ292" s="90"/>
      <c r="BK292" s="90"/>
      <c r="BL292" s="90"/>
      <c r="BM292" s="90"/>
      <c r="BN292" s="90"/>
      <c r="BO292" s="90"/>
      <c r="BP292" s="90"/>
      <c r="BQ292" s="90"/>
      <c r="BR292" s="90"/>
      <c r="BS292" s="90"/>
      <c r="BT292" s="90"/>
      <c r="BU292" s="90"/>
    </row>
    <row r="293" spans="1:73" s="91" customFormat="1" ht="27" x14ac:dyDescent="0.25">
      <c r="A293" s="707"/>
      <c r="B293" s="627"/>
      <c r="C293" s="627"/>
      <c r="D293" s="617"/>
      <c r="E293" s="617"/>
      <c r="F293" s="599"/>
      <c r="G293" s="599"/>
      <c r="H293" s="617"/>
      <c r="I293" s="601"/>
      <c r="J293" s="617"/>
      <c r="K293" s="355" t="s">
        <v>1067</v>
      </c>
      <c r="L293" s="379" t="s">
        <v>1068</v>
      </c>
      <c r="M293" s="46"/>
      <c r="N293" s="46">
        <v>10</v>
      </c>
      <c r="O293" s="46">
        <v>2</v>
      </c>
      <c r="P293" s="46">
        <v>4</v>
      </c>
      <c r="Q293" s="46">
        <v>6</v>
      </c>
      <c r="R293" s="198">
        <v>10</v>
      </c>
      <c r="S293" s="185">
        <v>80</v>
      </c>
      <c r="T293" s="44"/>
      <c r="U293" s="44"/>
      <c r="V293" s="44"/>
      <c r="W293" s="44"/>
      <c r="X293" s="44"/>
      <c r="Y293" s="44"/>
      <c r="Z293" s="44">
        <f t="shared" si="88"/>
        <v>80</v>
      </c>
      <c r="AA293" s="44">
        <f>10*3</f>
        <v>30</v>
      </c>
      <c r="AB293" s="44"/>
      <c r="AC293" s="44"/>
      <c r="AD293" s="44">
        <v>70</v>
      </c>
      <c r="AE293" s="44"/>
      <c r="AF293" s="44"/>
      <c r="AG293" s="44"/>
      <c r="AH293" s="44">
        <f t="shared" si="95"/>
        <v>100</v>
      </c>
      <c r="AI293" s="44">
        <v>100</v>
      </c>
      <c r="AJ293" s="44"/>
      <c r="AK293" s="44"/>
      <c r="AL293" s="44">
        <v>150</v>
      </c>
      <c r="AM293" s="44"/>
      <c r="AN293" s="44"/>
      <c r="AO293" s="44"/>
      <c r="AP293" s="44">
        <f t="shared" si="96"/>
        <v>250</v>
      </c>
      <c r="AQ293" s="44">
        <v>100</v>
      </c>
      <c r="AR293" s="44"/>
      <c r="AS293" s="44"/>
      <c r="AT293" s="44">
        <v>150</v>
      </c>
      <c r="AU293" s="44"/>
      <c r="AV293" s="44"/>
      <c r="AW293" s="44"/>
      <c r="AX293" s="44">
        <f t="shared" si="97"/>
        <v>250</v>
      </c>
      <c r="AY293" s="44">
        <f t="shared" si="106"/>
        <v>310</v>
      </c>
      <c r="AZ293" s="44">
        <f t="shared" si="106"/>
        <v>0</v>
      </c>
      <c r="BA293" s="44">
        <f t="shared" si="106"/>
        <v>0</v>
      </c>
      <c r="BB293" s="44">
        <f t="shared" si="106"/>
        <v>370</v>
      </c>
      <c r="BC293" s="44">
        <f t="shared" si="106"/>
        <v>0</v>
      </c>
      <c r="BD293" s="44">
        <f t="shared" si="106"/>
        <v>0</v>
      </c>
      <c r="BE293" s="44">
        <f t="shared" si="106"/>
        <v>0</v>
      </c>
      <c r="BF293" s="83">
        <f t="shared" si="105"/>
        <v>680</v>
      </c>
      <c r="BG293" s="47"/>
      <c r="BH293" s="47"/>
      <c r="BI293" s="90"/>
      <c r="BJ293" s="90"/>
      <c r="BK293" s="90"/>
      <c r="BL293" s="90"/>
      <c r="BM293" s="90"/>
      <c r="BN293" s="90"/>
      <c r="BO293" s="90"/>
      <c r="BP293" s="90"/>
      <c r="BQ293" s="90"/>
      <c r="BR293" s="90"/>
      <c r="BS293" s="90"/>
      <c r="BT293" s="90"/>
      <c r="BU293" s="90"/>
    </row>
    <row r="294" spans="1:73" s="91" customFormat="1" ht="54" x14ac:dyDescent="0.25">
      <c r="A294" s="707"/>
      <c r="B294" s="627"/>
      <c r="C294" s="627"/>
      <c r="D294" s="620" t="s">
        <v>580</v>
      </c>
      <c r="E294" s="620" t="s">
        <v>581</v>
      </c>
      <c r="F294" s="704">
        <v>7</v>
      </c>
      <c r="G294" s="704">
        <v>7</v>
      </c>
      <c r="H294" s="603" t="s">
        <v>812</v>
      </c>
      <c r="I294" s="603" t="s">
        <v>154</v>
      </c>
      <c r="J294" s="616"/>
      <c r="K294" s="354" t="s">
        <v>209</v>
      </c>
      <c r="L294" s="82" t="s">
        <v>696</v>
      </c>
      <c r="M294" s="7">
        <v>1</v>
      </c>
      <c r="N294" s="7">
        <v>1</v>
      </c>
      <c r="O294" s="7">
        <v>1</v>
      </c>
      <c r="P294" s="7">
        <v>1</v>
      </c>
      <c r="Q294" s="7">
        <v>1</v>
      </c>
      <c r="R294" s="41">
        <v>1</v>
      </c>
      <c r="S294" s="184"/>
      <c r="T294" s="3">
        <v>50</v>
      </c>
      <c r="U294" s="3"/>
      <c r="V294" s="3"/>
      <c r="W294" s="3"/>
      <c r="X294" s="3"/>
      <c r="Y294" s="3"/>
      <c r="Z294" s="44">
        <f t="shared" si="88"/>
        <v>50</v>
      </c>
      <c r="AA294" s="3"/>
      <c r="AB294" s="3">
        <v>50</v>
      </c>
      <c r="AC294" s="3"/>
      <c r="AD294" s="3"/>
      <c r="AE294" s="3"/>
      <c r="AF294" s="3"/>
      <c r="AG294" s="3"/>
      <c r="AH294" s="44">
        <f t="shared" si="95"/>
        <v>50</v>
      </c>
      <c r="AI294" s="3"/>
      <c r="AJ294" s="3">
        <v>50</v>
      </c>
      <c r="AK294" s="3"/>
      <c r="AL294" s="3"/>
      <c r="AM294" s="3"/>
      <c r="AN294" s="3"/>
      <c r="AO294" s="3"/>
      <c r="AP294" s="44">
        <f t="shared" si="96"/>
        <v>50</v>
      </c>
      <c r="AQ294" s="3"/>
      <c r="AR294" s="3">
        <v>50</v>
      </c>
      <c r="AS294" s="3"/>
      <c r="AT294" s="3"/>
      <c r="AU294" s="3"/>
      <c r="AV294" s="3"/>
      <c r="AW294" s="3"/>
      <c r="AX294" s="44">
        <f t="shared" si="97"/>
        <v>50</v>
      </c>
      <c r="AY294" s="44">
        <f t="shared" si="98"/>
        <v>0</v>
      </c>
      <c r="AZ294" s="44">
        <f t="shared" si="99"/>
        <v>200</v>
      </c>
      <c r="BA294" s="44">
        <f t="shared" si="100"/>
        <v>0</v>
      </c>
      <c r="BB294" s="44">
        <f t="shared" si="101"/>
        <v>0</v>
      </c>
      <c r="BC294" s="44">
        <f t="shared" si="102"/>
        <v>0</v>
      </c>
      <c r="BD294" s="44">
        <f t="shared" si="103"/>
        <v>0</v>
      </c>
      <c r="BE294" s="44">
        <f t="shared" si="104"/>
        <v>0</v>
      </c>
      <c r="BF294" s="83">
        <f t="shared" ref="BF294:BF299" si="107">+AY294+AZ294+BA294+BB294+BC294+BD294+BE294:BE295</f>
        <v>200</v>
      </c>
      <c r="BG294" s="47"/>
      <c r="BH294" s="47"/>
      <c r="BI294" s="90"/>
      <c r="BJ294" s="90"/>
      <c r="BK294" s="90"/>
      <c r="BL294" s="90"/>
      <c r="BM294" s="90"/>
      <c r="BN294" s="90"/>
      <c r="BO294" s="90"/>
      <c r="BP294" s="90"/>
      <c r="BQ294" s="90"/>
      <c r="BR294" s="90"/>
      <c r="BS294" s="90"/>
      <c r="BT294" s="90"/>
      <c r="BU294" s="90"/>
    </row>
    <row r="295" spans="1:73" s="91" customFormat="1" ht="54.75" thickBot="1" x14ac:dyDescent="0.3">
      <c r="A295" s="707"/>
      <c r="B295" s="628"/>
      <c r="C295" s="628"/>
      <c r="D295" s="703"/>
      <c r="E295" s="703"/>
      <c r="F295" s="705"/>
      <c r="G295" s="705"/>
      <c r="H295" s="604"/>
      <c r="I295" s="604"/>
      <c r="J295" s="650"/>
      <c r="K295" s="361" t="s">
        <v>210</v>
      </c>
      <c r="L295" s="129" t="s">
        <v>1229</v>
      </c>
      <c r="M295" s="130">
        <v>1</v>
      </c>
      <c r="N295" s="130">
        <v>1</v>
      </c>
      <c r="O295" s="130">
        <v>1</v>
      </c>
      <c r="P295" s="130">
        <v>1</v>
      </c>
      <c r="Q295" s="130">
        <v>1</v>
      </c>
      <c r="R295" s="131">
        <v>1</v>
      </c>
      <c r="S295" s="191"/>
      <c r="T295" s="132">
        <v>6</v>
      </c>
      <c r="U295" s="132"/>
      <c r="V295" s="132"/>
      <c r="W295" s="132"/>
      <c r="X295" s="132"/>
      <c r="Y295" s="132"/>
      <c r="Z295" s="123">
        <f t="shared" si="88"/>
        <v>6</v>
      </c>
      <c r="AA295" s="132"/>
      <c r="AB295" s="132">
        <v>6</v>
      </c>
      <c r="AC295" s="132"/>
      <c r="AD295" s="132"/>
      <c r="AE295" s="132"/>
      <c r="AF295" s="132"/>
      <c r="AG295" s="132"/>
      <c r="AH295" s="123">
        <f t="shared" si="95"/>
        <v>6</v>
      </c>
      <c r="AI295" s="132"/>
      <c r="AJ295" s="132">
        <v>6</v>
      </c>
      <c r="AK295" s="132"/>
      <c r="AL295" s="132"/>
      <c r="AM295" s="132"/>
      <c r="AN295" s="132"/>
      <c r="AO295" s="132"/>
      <c r="AP295" s="123">
        <f t="shared" si="96"/>
        <v>6</v>
      </c>
      <c r="AQ295" s="132"/>
      <c r="AR295" s="132">
        <v>6</v>
      </c>
      <c r="AS295" s="132"/>
      <c r="AT295" s="132"/>
      <c r="AU295" s="132"/>
      <c r="AV295" s="132"/>
      <c r="AW295" s="132"/>
      <c r="AX295" s="123">
        <f t="shared" si="97"/>
        <v>6</v>
      </c>
      <c r="AY295" s="123">
        <f t="shared" si="98"/>
        <v>0</v>
      </c>
      <c r="AZ295" s="123">
        <f t="shared" si="99"/>
        <v>24</v>
      </c>
      <c r="BA295" s="123">
        <f t="shared" si="100"/>
        <v>0</v>
      </c>
      <c r="BB295" s="123">
        <f t="shared" si="101"/>
        <v>0</v>
      </c>
      <c r="BC295" s="123">
        <f t="shared" si="102"/>
        <v>0</v>
      </c>
      <c r="BD295" s="123">
        <f t="shared" si="103"/>
        <v>0</v>
      </c>
      <c r="BE295" s="123">
        <f t="shared" si="104"/>
        <v>0</v>
      </c>
      <c r="BF295" s="128">
        <f t="shared" si="107"/>
        <v>24</v>
      </c>
      <c r="BG295" s="47"/>
      <c r="BH295" s="47"/>
      <c r="BI295" s="90"/>
      <c r="BJ295" s="90"/>
      <c r="BK295" s="90"/>
      <c r="BL295" s="90"/>
      <c r="BM295" s="90"/>
      <c r="BN295" s="90"/>
      <c r="BO295" s="90"/>
      <c r="BP295" s="90"/>
      <c r="BQ295" s="90"/>
      <c r="BR295" s="90"/>
      <c r="BS295" s="90"/>
      <c r="BT295" s="90"/>
      <c r="BU295" s="90"/>
    </row>
    <row r="296" spans="1:73" s="91" customFormat="1" ht="40.5" x14ac:dyDescent="0.25">
      <c r="A296" s="707"/>
      <c r="B296" s="711" t="s">
        <v>784</v>
      </c>
      <c r="C296" s="711" t="s">
        <v>159</v>
      </c>
      <c r="D296" s="606"/>
      <c r="E296" s="606"/>
      <c r="F296" s="624"/>
      <c r="G296" s="624"/>
      <c r="H296" s="606" t="s">
        <v>813</v>
      </c>
      <c r="I296" s="606" t="s">
        <v>155</v>
      </c>
      <c r="J296" s="360" t="s">
        <v>109</v>
      </c>
      <c r="K296" s="360" t="s">
        <v>992</v>
      </c>
      <c r="L296" s="378" t="s">
        <v>77</v>
      </c>
      <c r="M296" s="124">
        <v>1884</v>
      </c>
      <c r="N296" s="124">
        <v>2500</v>
      </c>
      <c r="O296" s="124">
        <f>+M296+154</f>
        <v>2038</v>
      </c>
      <c r="P296" s="124">
        <f>+O296+154</f>
        <v>2192</v>
      </c>
      <c r="Q296" s="124">
        <f>+P296+154</f>
        <v>2346</v>
      </c>
      <c r="R296" s="277">
        <v>2500</v>
      </c>
      <c r="S296" s="187"/>
      <c r="T296" s="124">
        <v>3057</v>
      </c>
      <c r="U296" s="124"/>
      <c r="V296" s="124"/>
      <c r="W296" s="124"/>
      <c r="X296" s="124"/>
      <c r="Y296" s="124"/>
      <c r="Z296" s="124">
        <f t="shared" si="88"/>
        <v>3057</v>
      </c>
      <c r="AA296" s="124"/>
      <c r="AB296" s="124">
        <v>3288</v>
      </c>
      <c r="AC296" s="124"/>
      <c r="AD296" s="124"/>
      <c r="AE296" s="124"/>
      <c r="AF296" s="124"/>
      <c r="AG296" s="124"/>
      <c r="AH296" s="124">
        <f t="shared" si="95"/>
        <v>3288</v>
      </c>
      <c r="AI296" s="124"/>
      <c r="AJ296" s="124">
        <v>3519</v>
      </c>
      <c r="AK296" s="124"/>
      <c r="AL296" s="124"/>
      <c r="AM296" s="124"/>
      <c r="AN296" s="124"/>
      <c r="AO296" s="124"/>
      <c r="AP296" s="124">
        <f t="shared" si="96"/>
        <v>3519</v>
      </c>
      <c r="AQ296" s="124"/>
      <c r="AR296" s="124">
        <v>3750</v>
      </c>
      <c r="AS296" s="124"/>
      <c r="AT296" s="124"/>
      <c r="AU296" s="124"/>
      <c r="AV296" s="124"/>
      <c r="AW296" s="124"/>
      <c r="AX296" s="124">
        <f t="shared" si="97"/>
        <v>3750</v>
      </c>
      <c r="AY296" s="124">
        <f t="shared" si="98"/>
        <v>0</v>
      </c>
      <c r="AZ296" s="124">
        <f t="shared" si="99"/>
        <v>13614</v>
      </c>
      <c r="BA296" s="124">
        <f t="shared" si="100"/>
        <v>0</v>
      </c>
      <c r="BB296" s="124">
        <f t="shared" si="101"/>
        <v>0</v>
      </c>
      <c r="BC296" s="124">
        <f t="shared" si="102"/>
        <v>0</v>
      </c>
      <c r="BD296" s="124">
        <f t="shared" si="103"/>
        <v>0</v>
      </c>
      <c r="BE296" s="124">
        <f t="shared" si="104"/>
        <v>0</v>
      </c>
      <c r="BF296" s="125">
        <f t="shared" si="107"/>
        <v>13614</v>
      </c>
      <c r="BG296" s="47"/>
      <c r="BH296" s="47"/>
      <c r="BI296" s="90"/>
      <c r="BJ296" s="90"/>
      <c r="BK296" s="90"/>
      <c r="BL296" s="90"/>
      <c r="BM296" s="90"/>
      <c r="BN296" s="90"/>
      <c r="BO296" s="90"/>
      <c r="BP296" s="90"/>
      <c r="BQ296" s="90"/>
      <c r="BR296" s="90"/>
      <c r="BS296" s="90"/>
      <c r="BT296" s="90"/>
      <c r="BU296" s="90"/>
    </row>
    <row r="297" spans="1:73" s="91" customFormat="1" ht="54" x14ac:dyDescent="0.25">
      <c r="A297" s="707"/>
      <c r="B297" s="712"/>
      <c r="C297" s="712"/>
      <c r="D297" s="603"/>
      <c r="E297" s="603"/>
      <c r="F297" s="612"/>
      <c r="G297" s="612"/>
      <c r="H297" s="603"/>
      <c r="I297" s="603"/>
      <c r="J297" s="616" t="s">
        <v>110</v>
      </c>
      <c r="K297" s="355" t="s">
        <v>699</v>
      </c>
      <c r="L297" s="379" t="s">
        <v>102</v>
      </c>
      <c r="M297" s="50">
        <v>5</v>
      </c>
      <c r="N297" s="50">
        <v>29</v>
      </c>
      <c r="O297" s="50">
        <v>10</v>
      </c>
      <c r="P297" s="50">
        <v>15</v>
      </c>
      <c r="Q297" s="50">
        <v>20</v>
      </c>
      <c r="R297" s="203">
        <v>29</v>
      </c>
      <c r="S297" s="185"/>
      <c r="T297" s="44"/>
      <c r="U297" s="44">
        <v>16</v>
      </c>
      <c r="V297" s="44"/>
      <c r="W297" s="44"/>
      <c r="X297" s="44"/>
      <c r="Y297" s="44"/>
      <c r="Z297" s="44">
        <f t="shared" si="88"/>
        <v>16</v>
      </c>
      <c r="AA297" s="44"/>
      <c r="AB297" s="44"/>
      <c r="AC297" s="44">
        <v>16</v>
      </c>
      <c r="AD297" s="44"/>
      <c r="AE297" s="44"/>
      <c r="AF297" s="44"/>
      <c r="AG297" s="44"/>
      <c r="AH297" s="44">
        <f t="shared" si="95"/>
        <v>16</v>
      </c>
      <c r="AI297" s="44"/>
      <c r="AJ297" s="44"/>
      <c r="AK297" s="44">
        <v>16</v>
      </c>
      <c r="AL297" s="44"/>
      <c r="AM297" s="44"/>
      <c r="AN297" s="44"/>
      <c r="AO297" s="44"/>
      <c r="AP297" s="44">
        <f t="shared" si="96"/>
        <v>16</v>
      </c>
      <c r="AQ297" s="44"/>
      <c r="AR297" s="44"/>
      <c r="AS297" s="44">
        <v>16</v>
      </c>
      <c r="AT297" s="44"/>
      <c r="AU297" s="44"/>
      <c r="AV297" s="44"/>
      <c r="AW297" s="44"/>
      <c r="AX297" s="44">
        <f t="shared" si="97"/>
        <v>16</v>
      </c>
      <c r="AY297" s="44">
        <f t="shared" si="98"/>
        <v>0</v>
      </c>
      <c r="AZ297" s="44">
        <f t="shared" si="99"/>
        <v>0</v>
      </c>
      <c r="BA297" s="44">
        <f t="shared" si="100"/>
        <v>64</v>
      </c>
      <c r="BB297" s="44">
        <f t="shared" si="101"/>
        <v>0</v>
      </c>
      <c r="BC297" s="44">
        <f t="shared" si="102"/>
        <v>0</v>
      </c>
      <c r="BD297" s="44">
        <f t="shared" si="103"/>
        <v>0</v>
      </c>
      <c r="BE297" s="44">
        <f t="shared" si="104"/>
        <v>0</v>
      </c>
      <c r="BF297" s="83">
        <f t="shared" si="107"/>
        <v>64</v>
      </c>
      <c r="BG297" s="47"/>
      <c r="BH297" s="47"/>
      <c r="BI297" s="90"/>
      <c r="BJ297" s="90"/>
      <c r="BK297" s="90"/>
      <c r="BL297" s="90"/>
      <c r="BM297" s="90"/>
      <c r="BN297" s="90"/>
      <c r="BO297" s="90"/>
      <c r="BP297" s="90"/>
      <c r="BQ297" s="90"/>
      <c r="BR297" s="90"/>
      <c r="BS297" s="90"/>
      <c r="BT297" s="90"/>
      <c r="BU297" s="90"/>
    </row>
    <row r="298" spans="1:73" s="91" customFormat="1" ht="40.5" x14ac:dyDescent="0.25">
      <c r="A298" s="707"/>
      <c r="B298" s="712"/>
      <c r="C298" s="712"/>
      <c r="D298" s="603"/>
      <c r="E298" s="603"/>
      <c r="F298" s="612"/>
      <c r="G298" s="612"/>
      <c r="H298" s="603"/>
      <c r="I298" s="603"/>
      <c r="J298" s="617"/>
      <c r="K298" s="355" t="s">
        <v>103</v>
      </c>
      <c r="L298" s="379" t="s">
        <v>104</v>
      </c>
      <c r="M298" s="50">
        <v>450</v>
      </c>
      <c r="N298" s="50">
        <v>500</v>
      </c>
      <c r="O298" s="50">
        <v>500</v>
      </c>
      <c r="P298" s="50">
        <v>500</v>
      </c>
      <c r="Q298" s="50">
        <v>500</v>
      </c>
      <c r="R298" s="203">
        <v>500</v>
      </c>
      <c r="S298" s="185"/>
      <c r="T298" s="44"/>
      <c r="U298" s="44"/>
      <c r="V298" s="44">
        <v>400</v>
      </c>
      <c r="W298" s="44"/>
      <c r="X298" s="44"/>
      <c r="Y298" s="44"/>
      <c r="Z298" s="44">
        <f t="shared" si="88"/>
        <v>400</v>
      </c>
      <c r="AA298" s="44"/>
      <c r="AB298" s="44"/>
      <c r="AC298" s="44"/>
      <c r="AD298" s="44">
        <v>400</v>
      </c>
      <c r="AE298" s="44"/>
      <c r="AF298" s="44"/>
      <c r="AG298" s="44"/>
      <c r="AH298" s="44">
        <f t="shared" si="95"/>
        <v>400</v>
      </c>
      <c r="AI298" s="44"/>
      <c r="AJ298" s="44"/>
      <c r="AK298" s="44"/>
      <c r="AL298" s="44">
        <v>400</v>
      </c>
      <c r="AM298" s="44"/>
      <c r="AN298" s="44"/>
      <c r="AO298" s="44"/>
      <c r="AP298" s="44">
        <f t="shared" si="96"/>
        <v>400</v>
      </c>
      <c r="AQ298" s="44"/>
      <c r="AR298" s="44"/>
      <c r="AS298" s="44"/>
      <c r="AT298" s="44">
        <v>400</v>
      </c>
      <c r="AU298" s="44"/>
      <c r="AV298" s="44"/>
      <c r="AW298" s="44"/>
      <c r="AX298" s="44">
        <f t="shared" si="97"/>
        <v>400</v>
      </c>
      <c r="AY298" s="44">
        <f t="shared" si="98"/>
        <v>0</v>
      </c>
      <c r="AZ298" s="44">
        <f t="shared" si="99"/>
        <v>0</v>
      </c>
      <c r="BA298" s="44">
        <f t="shared" si="100"/>
        <v>0</v>
      </c>
      <c r="BB298" s="44">
        <f t="shared" si="101"/>
        <v>1600</v>
      </c>
      <c r="BC298" s="44">
        <f t="shared" si="102"/>
        <v>0</v>
      </c>
      <c r="BD298" s="44">
        <f t="shared" si="103"/>
        <v>0</v>
      </c>
      <c r="BE298" s="44">
        <f t="shared" si="104"/>
        <v>0</v>
      </c>
      <c r="BF298" s="83">
        <f t="shared" si="107"/>
        <v>1600</v>
      </c>
      <c r="BG298" s="47"/>
      <c r="BH298" s="47"/>
      <c r="BI298" s="90"/>
      <c r="BJ298" s="90"/>
      <c r="BK298" s="90"/>
      <c r="BL298" s="90"/>
      <c r="BM298" s="90"/>
      <c r="BN298" s="90"/>
      <c r="BO298" s="90"/>
      <c r="BP298" s="90"/>
      <c r="BQ298" s="90"/>
      <c r="BR298" s="90"/>
      <c r="BS298" s="90"/>
      <c r="BT298" s="90"/>
      <c r="BU298" s="90"/>
    </row>
    <row r="299" spans="1:73" s="91" customFormat="1" ht="40.5" x14ac:dyDescent="0.25">
      <c r="A299" s="707"/>
      <c r="B299" s="712"/>
      <c r="C299" s="712"/>
      <c r="D299" s="603"/>
      <c r="E299" s="603"/>
      <c r="F299" s="612"/>
      <c r="G299" s="612"/>
      <c r="H299" s="603"/>
      <c r="I299" s="603"/>
      <c r="J299" s="617"/>
      <c r="K299" s="355" t="s">
        <v>105</v>
      </c>
      <c r="L299" s="379" t="s">
        <v>106</v>
      </c>
      <c r="M299" s="79">
        <v>5</v>
      </c>
      <c r="N299" s="79">
        <v>29</v>
      </c>
      <c r="O299" s="50">
        <v>10</v>
      </c>
      <c r="P299" s="50">
        <v>15</v>
      </c>
      <c r="Q299" s="50">
        <v>20</v>
      </c>
      <c r="R299" s="203">
        <v>29</v>
      </c>
      <c r="S299" s="185"/>
      <c r="T299" s="44"/>
      <c r="U299" s="44">
        <v>20</v>
      </c>
      <c r="V299" s="44"/>
      <c r="W299" s="44"/>
      <c r="X299" s="44"/>
      <c r="Y299" s="44"/>
      <c r="Z299" s="44">
        <f t="shared" si="88"/>
        <v>20</v>
      </c>
      <c r="AA299" s="44"/>
      <c r="AB299" s="44"/>
      <c r="AC299" s="44">
        <v>16</v>
      </c>
      <c r="AD299" s="44"/>
      <c r="AE299" s="44"/>
      <c r="AF299" s="44"/>
      <c r="AG299" s="44"/>
      <c r="AH299" s="44">
        <f t="shared" si="95"/>
        <v>16</v>
      </c>
      <c r="AI299" s="44"/>
      <c r="AJ299" s="44"/>
      <c r="AK299" s="44">
        <v>16</v>
      </c>
      <c r="AL299" s="44"/>
      <c r="AM299" s="44"/>
      <c r="AN299" s="44"/>
      <c r="AO299" s="44"/>
      <c r="AP299" s="44">
        <f t="shared" si="96"/>
        <v>16</v>
      </c>
      <c r="AQ299" s="44"/>
      <c r="AR299" s="44"/>
      <c r="AS299" s="44">
        <v>16</v>
      </c>
      <c r="AT299" s="44"/>
      <c r="AU299" s="44"/>
      <c r="AV299" s="44"/>
      <c r="AW299" s="44"/>
      <c r="AX299" s="44">
        <f t="shared" si="97"/>
        <v>16</v>
      </c>
      <c r="AY299" s="44">
        <f t="shared" si="98"/>
        <v>0</v>
      </c>
      <c r="AZ299" s="44">
        <f t="shared" si="99"/>
        <v>0</v>
      </c>
      <c r="BA299" s="44">
        <f t="shared" si="100"/>
        <v>68</v>
      </c>
      <c r="BB299" s="44">
        <f t="shared" si="101"/>
        <v>0</v>
      </c>
      <c r="BC299" s="44">
        <f t="shared" si="102"/>
        <v>0</v>
      </c>
      <c r="BD299" s="44">
        <f t="shared" si="103"/>
        <v>0</v>
      </c>
      <c r="BE299" s="44">
        <f t="shared" si="104"/>
        <v>0</v>
      </c>
      <c r="BF299" s="83">
        <f t="shared" si="107"/>
        <v>68</v>
      </c>
      <c r="BG299" s="47"/>
      <c r="BH299" s="47"/>
      <c r="BI299" s="90"/>
      <c r="BJ299" s="90"/>
      <c r="BK299" s="90"/>
      <c r="BL299" s="90"/>
      <c r="BM299" s="90"/>
      <c r="BN299" s="90"/>
      <c r="BO299" s="90"/>
      <c r="BP299" s="90"/>
      <c r="BQ299" s="90"/>
      <c r="BR299" s="90"/>
      <c r="BS299" s="90"/>
      <c r="BT299" s="90"/>
      <c r="BU299" s="90"/>
    </row>
    <row r="300" spans="1:73" s="91" customFormat="1" ht="54" x14ac:dyDescent="0.25">
      <c r="A300" s="707"/>
      <c r="B300" s="712"/>
      <c r="C300" s="712"/>
      <c r="D300" s="603"/>
      <c r="E300" s="603"/>
      <c r="F300" s="612"/>
      <c r="G300" s="612"/>
      <c r="H300" s="603"/>
      <c r="I300" s="603"/>
      <c r="J300" s="617"/>
      <c r="K300" s="355" t="s">
        <v>107</v>
      </c>
      <c r="L300" s="379" t="s">
        <v>108</v>
      </c>
      <c r="M300" s="79">
        <v>8</v>
      </c>
      <c r="N300" s="79">
        <v>29</v>
      </c>
      <c r="O300" s="50">
        <v>8</v>
      </c>
      <c r="P300" s="50">
        <v>15</v>
      </c>
      <c r="Q300" s="50">
        <v>22</v>
      </c>
      <c r="R300" s="203">
        <v>29</v>
      </c>
      <c r="S300" s="185"/>
      <c r="T300" s="44"/>
      <c r="U300" s="44"/>
      <c r="V300" s="44">
        <v>130</v>
      </c>
      <c r="W300" s="44"/>
      <c r="X300" s="44"/>
      <c r="Y300" s="44"/>
      <c r="Z300" s="44">
        <f t="shared" si="88"/>
        <v>130</v>
      </c>
      <c r="AA300" s="44"/>
      <c r="AB300" s="44"/>
      <c r="AC300" s="44"/>
      <c r="AD300" s="44">
        <v>130</v>
      </c>
      <c r="AE300" s="44"/>
      <c r="AF300" s="44"/>
      <c r="AG300" s="44"/>
      <c r="AH300" s="44">
        <f t="shared" si="95"/>
        <v>130</v>
      </c>
      <c r="AI300" s="44"/>
      <c r="AJ300" s="44"/>
      <c r="AK300" s="44"/>
      <c r="AL300" s="44">
        <v>130</v>
      </c>
      <c r="AM300" s="44"/>
      <c r="AN300" s="44"/>
      <c r="AO300" s="44"/>
      <c r="AP300" s="44">
        <f t="shared" si="96"/>
        <v>130</v>
      </c>
      <c r="AQ300" s="44"/>
      <c r="AR300" s="44"/>
      <c r="AS300" s="44"/>
      <c r="AT300" s="44">
        <v>130</v>
      </c>
      <c r="AU300" s="44"/>
      <c r="AV300" s="44"/>
      <c r="AW300" s="44"/>
      <c r="AX300" s="44">
        <f t="shared" si="97"/>
        <v>130</v>
      </c>
      <c r="AY300" s="44">
        <f t="shared" si="98"/>
        <v>0</v>
      </c>
      <c r="AZ300" s="44">
        <f t="shared" si="99"/>
        <v>0</v>
      </c>
      <c r="BA300" s="44">
        <f t="shared" si="100"/>
        <v>0</v>
      </c>
      <c r="BB300" s="44">
        <f t="shared" si="101"/>
        <v>520</v>
      </c>
      <c r="BC300" s="44">
        <f t="shared" si="102"/>
        <v>0</v>
      </c>
      <c r="BD300" s="44">
        <f t="shared" si="103"/>
        <v>0</v>
      </c>
      <c r="BE300" s="44">
        <f t="shared" si="104"/>
        <v>0</v>
      </c>
      <c r="BF300" s="83">
        <f>+AY300+AZ300+BA300+BB300+BC300+BD300+BE300:BE303</f>
        <v>520</v>
      </c>
      <c r="BG300" s="47"/>
      <c r="BH300" s="47"/>
      <c r="BI300" s="90"/>
      <c r="BJ300" s="90"/>
      <c r="BK300" s="90"/>
      <c r="BL300" s="90"/>
      <c r="BM300" s="90"/>
      <c r="BN300" s="90"/>
      <c r="BO300" s="90"/>
      <c r="BP300" s="90"/>
      <c r="BQ300" s="90"/>
      <c r="BR300" s="90"/>
      <c r="BS300" s="90"/>
      <c r="BT300" s="90"/>
      <c r="BU300" s="90"/>
    </row>
    <row r="301" spans="1:73" s="91" customFormat="1" ht="54" x14ac:dyDescent="0.25">
      <c r="A301" s="707"/>
      <c r="B301" s="712"/>
      <c r="C301" s="712"/>
      <c r="D301" s="652"/>
      <c r="E301" s="652"/>
      <c r="F301" s="695"/>
      <c r="G301" s="695"/>
      <c r="H301" s="652"/>
      <c r="I301" s="652"/>
      <c r="J301" s="86" t="s">
        <v>1290</v>
      </c>
      <c r="K301" s="261" t="s">
        <v>1295</v>
      </c>
      <c r="L301" s="364" t="s">
        <v>1296</v>
      </c>
      <c r="M301" s="264">
        <v>2</v>
      </c>
      <c r="N301" s="264">
        <v>2</v>
      </c>
      <c r="O301" s="265">
        <v>2</v>
      </c>
      <c r="P301" s="265">
        <v>2</v>
      </c>
      <c r="Q301" s="265">
        <v>2</v>
      </c>
      <c r="R301" s="266">
        <v>2</v>
      </c>
      <c r="S301" s="267"/>
      <c r="T301" s="268"/>
      <c r="U301" s="268"/>
      <c r="V301" s="268"/>
      <c r="W301" s="268">
        <v>40</v>
      </c>
      <c r="X301" s="268"/>
      <c r="Y301" s="268"/>
      <c r="Z301" s="44">
        <f t="shared" si="88"/>
        <v>40</v>
      </c>
      <c r="AA301" s="268"/>
      <c r="AB301" s="268"/>
      <c r="AC301" s="268"/>
      <c r="AD301" s="268"/>
      <c r="AE301" s="268">
        <v>41</v>
      </c>
      <c r="AF301" s="268"/>
      <c r="AG301" s="268"/>
      <c r="AH301" s="44">
        <f t="shared" si="95"/>
        <v>41</v>
      </c>
      <c r="AI301" s="268">
        <v>10</v>
      </c>
      <c r="AJ301" s="268"/>
      <c r="AK301" s="268"/>
      <c r="AL301" s="268"/>
      <c r="AM301" s="268">
        <v>43</v>
      </c>
      <c r="AN301" s="268"/>
      <c r="AO301" s="268"/>
      <c r="AP301" s="44">
        <f t="shared" si="96"/>
        <v>53</v>
      </c>
      <c r="AQ301" s="268">
        <v>10</v>
      </c>
      <c r="AR301" s="268"/>
      <c r="AS301" s="268"/>
      <c r="AT301" s="268"/>
      <c r="AU301" s="268">
        <v>45</v>
      </c>
      <c r="AV301" s="268"/>
      <c r="AW301" s="268"/>
      <c r="AX301" s="44">
        <f t="shared" si="97"/>
        <v>55</v>
      </c>
      <c r="AY301" s="44">
        <f t="shared" ref="AY301:BE302" si="108">+S301+AA301+AI301+AQ301</f>
        <v>20</v>
      </c>
      <c r="AZ301" s="44">
        <f t="shared" si="108"/>
        <v>0</v>
      </c>
      <c r="BA301" s="44">
        <f t="shared" si="108"/>
        <v>0</v>
      </c>
      <c r="BB301" s="44">
        <f t="shared" si="108"/>
        <v>0</v>
      </c>
      <c r="BC301" s="44">
        <f t="shared" si="108"/>
        <v>169</v>
      </c>
      <c r="BD301" s="44">
        <f t="shared" si="108"/>
        <v>0</v>
      </c>
      <c r="BE301" s="44">
        <f t="shared" si="108"/>
        <v>0</v>
      </c>
      <c r="BF301" s="83">
        <f>+AY301+AZ301+BA301+BB301+BC301+BD301+BE301:BE304</f>
        <v>189</v>
      </c>
      <c r="BG301" s="47"/>
      <c r="BH301" s="47"/>
      <c r="BI301" s="90"/>
      <c r="BJ301" s="90"/>
      <c r="BK301" s="90"/>
      <c r="BL301" s="90"/>
      <c r="BM301" s="90"/>
      <c r="BN301" s="90"/>
      <c r="BO301" s="90"/>
      <c r="BP301" s="90"/>
      <c r="BQ301" s="90"/>
      <c r="BR301" s="90"/>
      <c r="BS301" s="90"/>
      <c r="BT301" s="90"/>
      <c r="BU301" s="90"/>
    </row>
    <row r="302" spans="1:73" s="91" customFormat="1" ht="40.5" x14ac:dyDescent="0.25">
      <c r="A302" s="707"/>
      <c r="B302" s="712"/>
      <c r="C302" s="712"/>
      <c r="D302" s="652"/>
      <c r="E302" s="652"/>
      <c r="F302" s="695"/>
      <c r="G302" s="695"/>
      <c r="H302" s="652"/>
      <c r="I302" s="652"/>
      <c r="J302" s="86" t="s">
        <v>1293</v>
      </c>
      <c r="K302" s="261" t="s">
        <v>1297</v>
      </c>
      <c r="L302" s="364" t="s">
        <v>1298</v>
      </c>
      <c r="M302" s="264"/>
      <c r="N302" s="264">
        <v>1</v>
      </c>
      <c r="O302" s="265">
        <v>1</v>
      </c>
      <c r="P302" s="265">
        <v>1</v>
      </c>
      <c r="Q302" s="265">
        <v>1</v>
      </c>
      <c r="R302" s="266">
        <v>1</v>
      </c>
      <c r="S302" s="267"/>
      <c r="T302" s="268"/>
      <c r="U302" s="268"/>
      <c r="V302" s="268"/>
      <c r="W302" s="268">
        <v>40</v>
      </c>
      <c r="X302" s="268"/>
      <c r="Y302" s="268"/>
      <c r="Z302" s="44">
        <f t="shared" si="88"/>
        <v>40</v>
      </c>
      <c r="AA302" s="268"/>
      <c r="AB302" s="268"/>
      <c r="AC302" s="268"/>
      <c r="AD302" s="268"/>
      <c r="AE302" s="268">
        <v>41</v>
      </c>
      <c r="AF302" s="268"/>
      <c r="AG302" s="268"/>
      <c r="AH302" s="44">
        <f t="shared" si="95"/>
        <v>41</v>
      </c>
      <c r="AI302" s="268">
        <v>7</v>
      </c>
      <c r="AJ302" s="268"/>
      <c r="AK302" s="268"/>
      <c r="AL302" s="268"/>
      <c r="AM302" s="268">
        <v>43</v>
      </c>
      <c r="AN302" s="268"/>
      <c r="AO302" s="268"/>
      <c r="AP302" s="44">
        <f t="shared" si="96"/>
        <v>50</v>
      </c>
      <c r="AQ302" s="268">
        <v>5</v>
      </c>
      <c r="AR302" s="268"/>
      <c r="AS302" s="268"/>
      <c r="AT302" s="268"/>
      <c r="AU302" s="268">
        <v>45</v>
      </c>
      <c r="AV302" s="268"/>
      <c r="AW302" s="268"/>
      <c r="AX302" s="44">
        <f t="shared" si="97"/>
        <v>50</v>
      </c>
      <c r="AY302" s="44">
        <f t="shared" si="108"/>
        <v>12</v>
      </c>
      <c r="AZ302" s="44">
        <f t="shared" si="108"/>
        <v>0</v>
      </c>
      <c r="BA302" s="44">
        <f t="shared" si="108"/>
        <v>0</v>
      </c>
      <c r="BB302" s="44">
        <f t="shared" si="108"/>
        <v>0</v>
      </c>
      <c r="BC302" s="44">
        <f t="shared" si="108"/>
        <v>169</v>
      </c>
      <c r="BD302" s="44">
        <f t="shared" si="108"/>
        <v>0</v>
      </c>
      <c r="BE302" s="44">
        <f t="shared" si="108"/>
        <v>0</v>
      </c>
      <c r="BF302" s="83">
        <f>+AY302+AZ302+BA302+BB302+BC302+BD302+BE302:BE306</f>
        <v>181</v>
      </c>
      <c r="BG302" s="47"/>
      <c r="BH302" s="47"/>
      <c r="BI302" s="90"/>
      <c r="BJ302" s="90"/>
      <c r="BK302" s="90"/>
      <c r="BL302" s="90"/>
      <c r="BM302" s="90"/>
      <c r="BN302" s="90"/>
      <c r="BO302" s="90"/>
      <c r="BP302" s="90"/>
      <c r="BQ302" s="90"/>
      <c r="BR302" s="90"/>
      <c r="BS302" s="90"/>
      <c r="BT302" s="90"/>
      <c r="BU302" s="90"/>
    </row>
    <row r="303" spans="1:73" s="91" customFormat="1" ht="81.75" thickBot="1" x14ac:dyDescent="0.3">
      <c r="A303" s="707"/>
      <c r="B303" s="713"/>
      <c r="C303" s="713"/>
      <c r="D303" s="604"/>
      <c r="E303" s="604"/>
      <c r="F303" s="625"/>
      <c r="G303" s="625"/>
      <c r="H303" s="604"/>
      <c r="I303" s="604"/>
      <c r="J303" s="432" t="s">
        <v>1294</v>
      </c>
      <c r="K303" s="356" t="s">
        <v>700</v>
      </c>
      <c r="L303" s="380" t="s">
        <v>441</v>
      </c>
      <c r="M303" s="156">
        <v>2</v>
      </c>
      <c r="N303" s="156">
        <v>29</v>
      </c>
      <c r="O303" s="156">
        <v>7</v>
      </c>
      <c r="P303" s="156">
        <v>12</v>
      </c>
      <c r="Q303" s="156">
        <v>20</v>
      </c>
      <c r="R303" s="270">
        <v>29</v>
      </c>
      <c r="S303" s="186"/>
      <c r="T303" s="123"/>
      <c r="U303" s="123">
        <v>2</v>
      </c>
      <c r="V303" s="123"/>
      <c r="W303" s="123"/>
      <c r="X303" s="123"/>
      <c r="Y303" s="123"/>
      <c r="Z303" s="123">
        <f t="shared" si="88"/>
        <v>2</v>
      </c>
      <c r="AA303" s="123"/>
      <c r="AB303" s="123"/>
      <c r="AC303" s="123">
        <v>2</v>
      </c>
      <c r="AD303" s="123"/>
      <c r="AE303" s="123"/>
      <c r="AF303" s="123"/>
      <c r="AG303" s="123"/>
      <c r="AH303" s="123">
        <f t="shared" si="95"/>
        <v>2</v>
      </c>
      <c r="AI303" s="123">
        <v>10</v>
      </c>
      <c r="AJ303" s="123"/>
      <c r="AK303" s="123">
        <v>2</v>
      </c>
      <c r="AL303" s="123"/>
      <c r="AM303" s="123"/>
      <c r="AN303" s="123"/>
      <c r="AO303" s="123"/>
      <c r="AP303" s="123">
        <f t="shared" si="96"/>
        <v>12</v>
      </c>
      <c r="AQ303" s="123">
        <v>10</v>
      </c>
      <c r="AR303" s="123"/>
      <c r="AS303" s="123">
        <v>2</v>
      </c>
      <c r="AT303" s="123"/>
      <c r="AU303" s="123"/>
      <c r="AV303" s="123"/>
      <c r="AW303" s="123"/>
      <c r="AX303" s="123">
        <f t="shared" si="97"/>
        <v>12</v>
      </c>
      <c r="AY303" s="123">
        <f t="shared" si="98"/>
        <v>20</v>
      </c>
      <c r="AZ303" s="123">
        <f t="shared" si="99"/>
        <v>0</v>
      </c>
      <c r="BA303" s="123">
        <f t="shared" si="100"/>
        <v>8</v>
      </c>
      <c r="BB303" s="123">
        <f t="shared" si="101"/>
        <v>0</v>
      </c>
      <c r="BC303" s="123">
        <f t="shared" si="102"/>
        <v>0</v>
      </c>
      <c r="BD303" s="123">
        <f t="shared" si="103"/>
        <v>0</v>
      </c>
      <c r="BE303" s="123">
        <f t="shared" si="104"/>
        <v>0</v>
      </c>
      <c r="BF303" s="128">
        <f>+AY303+AZ303+BA303+BB303+BC303+BD303+BE303:BE304</f>
        <v>28</v>
      </c>
      <c r="BG303" s="47"/>
      <c r="BH303" s="47"/>
      <c r="BI303" s="90"/>
      <c r="BJ303" s="90"/>
      <c r="BK303" s="90"/>
      <c r="BL303" s="90"/>
      <c r="BM303" s="90"/>
      <c r="BN303" s="90"/>
      <c r="BO303" s="90"/>
      <c r="BP303" s="90"/>
      <c r="BQ303" s="90"/>
      <c r="BR303" s="90"/>
      <c r="BS303" s="90"/>
      <c r="BT303" s="90"/>
      <c r="BU303" s="90"/>
    </row>
    <row r="304" spans="1:73" s="91" customFormat="1" ht="54" x14ac:dyDescent="0.25">
      <c r="A304" s="707"/>
      <c r="B304" s="626" t="s">
        <v>785</v>
      </c>
      <c r="C304" s="711" t="s">
        <v>160</v>
      </c>
      <c r="D304" s="606"/>
      <c r="E304" s="606"/>
      <c r="F304" s="624"/>
      <c r="G304" s="624"/>
      <c r="H304" s="606" t="s">
        <v>814</v>
      </c>
      <c r="I304" s="606" t="s">
        <v>768</v>
      </c>
      <c r="J304" s="606"/>
      <c r="K304" s="360" t="s">
        <v>702</v>
      </c>
      <c r="L304" s="378" t="s">
        <v>701</v>
      </c>
      <c r="M304" s="433">
        <v>43561</v>
      </c>
      <c r="N304" s="434">
        <v>48701</v>
      </c>
      <c r="O304" s="155">
        <v>45000</v>
      </c>
      <c r="P304" s="155">
        <v>46000</v>
      </c>
      <c r="Q304" s="155">
        <v>47000</v>
      </c>
      <c r="R304" s="435">
        <v>48701</v>
      </c>
      <c r="S304" s="187"/>
      <c r="T304" s="124"/>
      <c r="U304" s="124"/>
      <c r="V304" s="124"/>
      <c r="W304" s="124"/>
      <c r="X304" s="124"/>
      <c r="Y304" s="124"/>
      <c r="Z304" s="124">
        <f t="shared" si="88"/>
        <v>0</v>
      </c>
      <c r="AA304" s="124"/>
      <c r="AB304" s="124"/>
      <c r="AC304" s="124"/>
      <c r="AD304" s="124"/>
      <c r="AE304" s="124"/>
      <c r="AF304" s="124"/>
      <c r="AG304" s="124"/>
      <c r="AH304" s="124">
        <f t="shared" si="95"/>
        <v>0</v>
      </c>
      <c r="AI304" s="124"/>
      <c r="AJ304" s="124"/>
      <c r="AK304" s="124"/>
      <c r="AL304" s="124"/>
      <c r="AM304" s="124"/>
      <c r="AN304" s="124"/>
      <c r="AO304" s="124"/>
      <c r="AP304" s="124">
        <f t="shared" si="96"/>
        <v>0</v>
      </c>
      <c r="AQ304" s="124"/>
      <c r="AR304" s="124"/>
      <c r="AS304" s="124"/>
      <c r="AT304" s="124"/>
      <c r="AU304" s="124"/>
      <c r="AV304" s="124"/>
      <c r="AW304" s="124"/>
      <c r="AX304" s="124">
        <f t="shared" si="97"/>
        <v>0</v>
      </c>
      <c r="AY304" s="124">
        <f t="shared" si="98"/>
        <v>0</v>
      </c>
      <c r="AZ304" s="124">
        <f t="shared" si="99"/>
        <v>0</v>
      </c>
      <c r="BA304" s="124">
        <f t="shared" si="100"/>
        <v>0</v>
      </c>
      <c r="BB304" s="124">
        <f t="shared" si="101"/>
        <v>0</v>
      </c>
      <c r="BC304" s="124">
        <f t="shared" si="102"/>
        <v>0</v>
      </c>
      <c r="BD304" s="124">
        <f t="shared" si="103"/>
        <v>0</v>
      </c>
      <c r="BE304" s="124">
        <f t="shared" si="104"/>
        <v>0</v>
      </c>
      <c r="BF304" s="125">
        <f>+AY304+AZ304+BA304+BB304+BC304+BD304+BE304:BE306</f>
        <v>0</v>
      </c>
      <c r="BG304" s="47"/>
      <c r="BH304" s="47"/>
      <c r="BI304" s="90"/>
      <c r="BJ304" s="90"/>
      <c r="BK304" s="90"/>
      <c r="BL304" s="90"/>
      <c r="BM304" s="90"/>
      <c r="BN304" s="90"/>
      <c r="BO304" s="90"/>
      <c r="BP304" s="90"/>
      <c r="BQ304" s="90"/>
      <c r="BR304" s="90"/>
      <c r="BS304" s="90"/>
      <c r="BT304" s="90"/>
      <c r="BU304" s="90"/>
    </row>
    <row r="305" spans="1:73" s="91" customFormat="1" ht="40.5" x14ac:dyDescent="0.25">
      <c r="A305" s="707"/>
      <c r="B305" s="712"/>
      <c r="C305" s="712"/>
      <c r="D305" s="601"/>
      <c r="E305" s="601"/>
      <c r="F305" s="599"/>
      <c r="G305" s="599"/>
      <c r="H305" s="601"/>
      <c r="I305" s="601"/>
      <c r="J305" s="601"/>
      <c r="K305" s="355" t="s">
        <v>703</v>
      </c>
      <c r="L305" s="379" t="s">
        <v>111</v>
      </c>
      <c r="M305" s="79">
        <v>240</v>
      </c>
      <c r="N305" s="79">
        <v>240</v>
      </c>
      <c r="O305" s="50">
        <v>240</v>
      </c>
      <c r="P305" s="50">
        <v>240</v>
      </c>
      <c r="Q305" s="50">
        <v>240</v>
      </c>
      <c r="R305" s="203">
        <v>240</v>
      </c>
      <c r="S305" s="185"/>
      <c r="T305" s="44"/>
      <c r="U305" s="44">
        <v>312</v>
      </c>
      <c r="V305" s="44"/>
      <c r="W305" s="44"/>
      <c r="X305" s="44"/>
      <c r="Y305" s="44"/>
      <c r="Z305" s="44">
        <f>SUM(S305:Y305)</f>
        <v>312</v>
      </c>
      <c r="AA305" s="44"/>
      <c r="AB305" s="44"/>
      <c r="AC305" s="44">
        <v>312</v>
      </c>
      <c r="AD305" s="44"/>
      <c r="AE305" s="44"/>
      <c r="AF305" s="44"/>
      <c r="AG305" s="44"/>
      <c r="AH305" s="44">
        <f>SUM(AA305:AG305)</f>
        <v>312</v>
      </c>
      <c r="AI305" s="44"/>
      <c r="AJ305" s="44"/>
      <c r="AK305" s="44">
        <v>312</v>
      </c>
      <c r="AL305" s="44"/>
      <c r="AM305" s="44"/>
      <c r="AN305" s="44"/>
      <c r="AO305" s="44"/>
      <c r="AP305" s="44">
        <f>SUM(AI305:AO305)</f>
        <v>312</v>
      </c>
      <c r="AQ305" s="44"/>
      <c r="AR305" s="44"/>
      <c r="AS305" s="44">
        <v>312</v>
      </c>
      <c r="AT305" s="44"/>
      <c r="AU305" s="44"/>
      <c r="AV305" s="44"/>
      <c r="AW305" s="44"/>
      <c r="AX305" s="44">
        <f>SUM(AQ305:AW305)</f>
        <v>312</v>
      </c>
      <c r="AY305" s="44">
        <f t="shared" ref="AY305:BE305" si="109">+S305+AA305+AI305+AQ305</f>
        <v>0</v>
      </c>
      <c r="AZ305" s="44">
        <f t="shared" si="109"/>
        <v>0</v>
      </c>
      <c r="BA305" s="44">
        <f t="shared" si="109"/>
        <v>1248</v>
      </c>
      <c r="BB305" s="44">
        <f t="shared" si="109"/>
        <v>0</v>
      </c>
      <c r="BC305" s="44">
        <f t="shared" si="109"/>
        <v>0</v>
      </c>
      <c r="BD305" s="44">
        <f t="shared" si="109"/>
        <v>0</v>
      </c>
      <c r="BE305" s="44">
        <f t="shared" si="109"/>
        <v>0</v>
      </c>
      <c r="BF305" s="83">
        <f t="shared" ref="BF305:BF317" si="110">+AY305+AZ305+BA305+BB305+BC305+BD305+BE305:BE306</f>
        <v>1248</v>
      </c>
      <c r="BG305" s="47"/>
      <c r="BH305" s="47"/>
      <c r="BI305" s="90"/>
      <c r="BJ305" s="90"/>
      <c r="BK305" s="90"/>
      <c r="BL305" s="90"/>
      <c r="BM305" s="90"/>
      <c r="BN305" s="90"/>
      <c r="BO305" s="90"/>
      <c r="BP305" s="90"/>
      <c r="BQ305" s="90"/>
      <c r="BR305" s="90"/>
      <c r="BS305" s="90"/>
      <c r="BT305" s="90"/>
      <c r="BU305" s="90"/>
    </row>
    <row r="306" spans="1:73" s="91" customFormat="1" ht="54.75" thickBot="1" x14ac:dyDescent="0.3">
      <c r="A306" s="707"/>
      <c r="B306" s="628"/>
      <c r="C306" s="713"/>
      <c r="D306" s="604"/>
      <c r="E306" s="604"/>
      <c r="F306" s="625"/>
      <c r="G306" s="625"/>
      <c r="H306" s="604"/>
      <c r="I306" s="604"/>
      <c r="J306" s="604"/>
      <c r="K306" s="356" t="s">
        <v>1299</v>
      </c>
      <c r="L306" s="380" t="s">
        <v>1300</v>
      </c>
      <c r="M306" s="269">
        <v>1</v>
      </c>
      <c r="N306" s="269">
        <v>1</v>
      </c>
      <c r="O306" s="156">
        <v>1</v>
      </c>
      <c r="P306" s="156">
        <v>1</v>
      </c>
      <c r="Q306" s="156">
        <v>1</v>
      </c>
      <c r="R306" s="270">
        <v>1</v>
      </c>
      <c r="S306" s="186"/>
      <c r="T306" s="123"/>
      <c r="U306" s="123"/>
      <c r="V306" s="123">
        <v>35</v>
      </c>
      <c r="W306" s="123"/>
      <c r="X306" s="123"/>
      <c r="Y306" s="123">
        <v>35</v>
      </c>
      <c r="Z306" s="123">
        <f t="shared" si="88"/>
        <v>70</v>
      </c>
      <c r="AA306" s="123"/>
      <c r="AB306" s="123"/>
      <c r="AC306" s="123"/>
      <c r="AD306" s="123">
        <v>36</v>
      </c>
      <c r="AE306" s="123"/>
      <c r="AF306" s="123"/>
      <c r="AG306" s="123">
        <v>36</v>
      </c>
      <c r="AH306" s="123">
        <f t="shared" si="95"/>
        <v>72</v>
      </c>
      <c r="AI306" s="123"/>
      <c r="AJ306" s="123"/>
      <c r="AK306" s="123"/>
      <c r="AL306" s="123">
        <v>37</v>
      </c>
      <c r="AM306" s="123"/>
      <c r="AN306" s="123"/>
      <c r="AO306" s="123">
        <v>37</v>
      </c>
      <c r="AP306" s="123">
        <f t="shared" si="96"/>
        <v>74</v>
      </c>
      <c r="AQ306" s="123"/>
      <c r="AR306" s="123"/>
      <c r="AS306" s="123"/>
      <c r="AT306" s="123">
        <v>38</v>
      </c>
      <c r="AU306" s="123"/>
      <c r="AV306" s="123"/>
      <c r="AW306" s="123">
        <v>38</v>
      </c>
      <c r="AX306" s="123">
        <f t="shared" si="97"/>
        <v>76</v>
      </c>
      <c r="AY306" s="123">
        <f t="shared" si="98"/>
        <v>0</v>
      </c>
      <c r="AZ306" s="123">
        <f t="shared" si="99"/>
        <v>0</v>
      </c>
      <c r="BA306" s="123">
        <f t="shared" si="100"/>
        <v>0</v>
      </c>
      <c r="BB306" s="123">
        <f t="shared" si="101"/>
        <v>146</v>
      </c>
      <c r="BC306" s="123">
        <f t="shared" si="102"/>
        <v>0</v>
      </c>
      <c r="BD306" s="123">
        <f t="shared" si="103"/>
        <v>0</v>
      </c>
      <c r="BE306" s="123">
        <f t="shared" si="104"/>
        <v>146</v>
      </c>
      <c r="BF306" s="128">
        <f t="shared" si="110"/>
        <v>292</v>
      </c>
      <c r="BG306" s="47"/>
      <c r="BH306" s="47"/>
      <c r="BI306" s="90"/>
      <c r="BJ306" s="90"/>
      <c r="BK306" s="90"/>
      <c r="BL306" s="90"/>
      <c r="BM306" s="90"/>
      <c r="BN306" s="90"/>
      <c r="BO306" s="90"/>
      <c r="BP306" s="90"/>
      <c r="BQ306" s="90"/>
      <c r="BR306" s="90"/>
      <c r="BS306" s="90"/>
      <c r="BT306" s="90"/>
      <c r="BU306" s="90"/>
    </row>
    <row r="307" spans="1:73" s="91" customFormat="1" ht="43.5" customHeight="1" x14ac:dyDescent="0.25">
      <c r="A307" s="707"/>
      <c r="B307" s="711" t="s">
        <v>786</v>
      </c>
      <c r="C307" s="711" t="s">
        <v>946</v>
      </c>
      <c r="D307" s="649"/>
      <c r="E307" s="649"/>
      <c r="F307" s="653"/>
      <c r="G307" s="653"/>
      <c r="H307" s="649" t="s">
        <v>1510</v>
      </c>
      <c r="I307" s="600" t="s">
        <v>1511</v>
      </c>
      <c r="J307" s="649"/>
      <c r="K307" s="360" t="s">
        <v>997</v>
      </c>
      <c r="L307" s="378" t="s">
        <v>998</v>
      </c>
      <c r="M307" s="134">
        <f>123+98</f>
        <v>221</v>
      </c>
      <c r="N307" s="134">
        <v>350</v>
      </c>
      <c r="O307" s="134">
        <f>+M307+32</f>
        <v>253</v>
      </c>
      <c r="P307" s="134">
        <f>+O307+32</f>
        <v>285</v>
      </c>
      <c r="Q307" s="134">
        <f>+P307+32</f>
        <v>317</v>
      </c>
      <c r="R307" s="135">
        <v>350</v>
      </c>
      <c r="S307" s="136"/>
      <c r="T307" s="134">
        <v>304</v>
      </c>
      <c r="U307" s="134"/>
      <c r="V307" s="134"/>
      <c r="W307" s="134"/>
      <c r="X307" s="134"/>
      <c r="Y307" s="134"/>
      <c r="Z307" s="124">
        <f t="shared" si="88"/>
        <v>304</v>
      </c>
      <c r="AA307" s="134"/>
      <c r="AB307" s="134">
        <v>342</v>
      </c>
      <c r="AC307" s="134"/>
      <c r="AD307" s="134"/>
      <c r="AE307" s="134"/>
      <c r="AF307" s="134"/>
      <c r="AG307" s="134"/>
      <c r="AH307" s="124">
        <f t="shared" si="95"/>
        <v>342</v>
      </c>
      <c r="AI307" s="134"/>
      <c r="AJ307" s="134">
        <v>380</v>
      </c>
      <c r="AK307" s="134"/>
      <c r="AL307" s="134"/>
      <c r="AM307" s="134"/>
      <c r="AN307" s="134"/>
      <c r="AO307" s="134"/>
      <c r="AP307" s="124">
        <f t="shared" si="96"/>
        <v>380</v>
      </c>
      <c r="AQ307" s="134"/>
      <c r="AR307" s="134">
        <v>420</v>
      </c>
      <c r="AS307" s="134"/>
      <c r="AT307" s="134"/>
      <c r="AU307" s="134"/>
      <c r="AV307" s="134"/>
      <c r="AW307" s="134"/>
      <c r="AX307" s="124">
        <f t="shared" si="97"/>
        <v>420</v>
      </c>
      <c r="AY307" s="124">
        <f t="shared" si="98"/>
        <v>0</v>
      </c>
      <c r="AZ307" s="124">
        <f t="shared" ref="AZ307:BE310" si="111">+T307+AB307+AJ307+AR307</f>
        <v>1446</v>
      </c>
      <c r="BA307" s="124">
        <f t="shared" si="111"/>
        <v>0</v>
      </c>
      <c r="BB307" s="124">
        <f t="shared" si="111"/>
        <v>0</v>
      </c>
      <c r="BC307" s="124">
        <f t="shared" si="111"/>
        <v>0</v>
      </c>
      <c r="BD307" s="124">
        <f t="shared" si="111"/>
        <v>0</v>
      </c>
      <c r="BE307" s="124">
        <f t="shared" si="111"/>
        <v>0</v>
      </c>
      <c r="BF307" s="125">
        <f t="shared" si="110"/>
        <v>1446</v>
      </c>
      <c r="BG307" s="47"/>
      <c r="BH307" s="47"/>
      <c r="BI307" s="90"/>
      <c r="BJ307" s="90"/>
      <c r="BK307" s="90"/>
      <c r="BL307" s="90"/>
      <c r="BM307" s="90"/>
      <c r="BN307" s="90"/>
      <c r="BO307" s="90"/>
      <c r="BP307" s="90"/>
      <c r="BQ307" s="90"/>
      <c r="BR307" s="90"/>
      <c r="BS307" s="90"/>
      <c r="BT307" s="90"/>
      <c r="BU307" s="90"/>
    </row>
    <row r="308" spans="1:73" s="91" customFormat="1" ht="54" x14ac:dyDescent="0.25">
      <c r="A308" s="707"/>
      <c r="B308" s="712"/>
      <c r="C308" s="712"/>
      <c r="D308" s="617"/>
      <c r="E308" s="617"/>
      <c r="F308" s="599"/>
      <c r="G308" s="599"/>
      <c r="H308" s="617"/>
      <c r="I308" s="601"/>
      <c r="J308" s="617"/>
      <c r="K308" s="355" t="s">
        <v>999</v>
      </c>
      <c r="L308" s="379" t="s">
        <v>1000</v>
      </c>
      <c r="M308" s="79" t="s">
        <v>527</v>
      </c>
      <c r="N308" s="79">
        <v>600</v>
      </c>
      <c r="O308" s="50">
        <v>150</v>
      </c>
      <c r="P308" s="50">
        <v>300</v>
      </c>
      <c r="Q308" s="50">
        <v>450</v>
      </c>
      <c r="R308" s="203">
        <v>600</v>
      </c>
      <c r="S308" s="185"/>
      <c r="T308" s="44"/>
      <c r="U308" s="44"/>
      <c r="V308" s="44"/>
      <c r="W308" s="44"/>
      <c r="X308" s="44"/>
      <c r="Y308" s="44"/>
      <c r="Z308" s="44">
        <f t="shared" si="88"/>
        <v>0</v>
      </c>
      <c r="AA308" s="44"/>
      <c r="AB308" s="44"/>
      <c r="AC308" s="44"/>
      <c r="AD308" s="44"/>
      <c r="AE308" s="44"/>
      <c r="AF308" s="44"/>
      <c r="AG308" s="44"/>
      <c r="AH308" s="44">
        <f t="shared" si="95"/>
        <v>0</v>
      </c>
      <c r="AI308" s="44"/>
      <c r="AJ308" s="44"/>
      <c r="AK308" s="44"/>
      <c r="AL308" s="44"/>
      <c r="AM308" s="44"/>
      <c r="AN308" s="44"/>
      <c r="AO308" s="44"/>
      <c r="AP308" s="44">
        <f t="shared" si="96"/>
        <v>0</v>
      </c>
      <c r="AQ308" s="44"/>
      <c r="AR308" s="44"/>
      <c r="AS308" s="44"/>
      <c r="AT308" s="44"/>
      <c r="AU308" s="44"/>
      <c r="AV308" s="44"/>
      <c r="AW308" s="44"/>
      <c r="AX308" s="44">
        <f t="shared" si="97"/>
        <v>0</v>
      </c>
      <c r="AY308" s="44">
        <f t="shared" si="98"/>
        <v>0</v>
      </c>
      <c r="AZ308" s="44">
        <f t="shared" si="111"/>
        <v>0</v>
      </c>
      <c r="BA308" s="44">
        <f t="shared" si="111"/>
        <v>0</v>
      </c>
      <c r="BB308" s="44">
        <f t="shared" si="111"/>
        <v>0</v>
      </c>
      <c r="BC308" s="44">
        <f t="shared" si="111"/>
        <v>0</v>
      </c>
      <c r="BD308" s="44">
        <f t="shared" si="111"/>
        <v>0</v>
      </c>
      <c r="BE308" s="44">
        <f t="shared" si="111"/>
        <v>0</v>
      </c>
      <c r="BF308" s="83">
        <f t="shared" si="110"/>
        <v>0</v>
      </c>
      <c r="BG308" s="47"/>
      <c r="BH308" s="47"/>
      <c r="BI308" s="90"/>
      <c r="BJ308" s="90"/>
      <c r="BK308" s="90"/>
      <c r="BL308" s="90"/>
      <c r="BM308" s="90"/>
      <c r="BN308" s="90"/>
      <c r="BO308" s="90"/>
      <c r="BP308" s="90"/>
      <c r="BQ308" s="90"/>
      <c r="BR308" s="90"/>
      <c r="BS308" s="90"/>
      <c r="BT308" s="90"/>
      <c r="BU308" s="90"/>
    </row>
    <row r="309" spans="1:73" s="91" customFormat="1" ht="54" x14ac:dyDescent="0.25">
      <c r="A309" s="707"/>
      <c r="B309" s="712"/>
      <c r="C309" s="712"/>
      <c r="D309" s="617"/>
      <c r="E309" s="617"/>
      <c r="F309" s="599"/>
      <c r="G309" s="599"/>
      <c r="H309" s="617"/>
      <c r="I309" s="601"/>
      <c r="J309" s="617"/>
      <c r="K309" s="355" t="s">
        <v>1001</v>
      </c>
      <c r="L309" s="379" t="s">
        <v>1002</v>
      </c>
      <c r="M309" s="79"/>
      <c r="N309" s="79">
        <v>200</v>
      </c>
      <c r="O309" s="50">
        <v>50</v>
      </c>
      <c r="P309" s="50">
        <v>100</v>
      </c>
      <c r="Q309" s="50">
        <v>150</v>
      </c>
      <c r="R309" s="203">
        <v>200</v>
      </c>
      <c r="S309" s="185"/>
      <c r="T309" s="44"/>
      <c r="U309" s="44"/>
      <c r="V309" s="44">
        <f>50*0.6</f>
        <v>30</v>
      </c>
      <c r="W309" s="44"/>
      <c r="X309" s="44"/>
      <c r="Y309" s="44"/>
      <c r="Z309" s="44">
        <f t="shared" si="88"/>
        <v>30</v>
      </c>
      <c r="AA309" s="44"/>
      <c r="AB309" s="44"/>
      <c r="AC309" s="44"/>
      <c r="AD309" s="44">
        <v>30</v>
      </c>
      <c r="AE309" s="44"/>
      <c r="AF309" s="44"/>
      <c r="AG309" s="44"/>
      <c r="AH309" s="44">
        <f t="shared" si="95"/>
        <v>30</v>
      </c>
      <c r="AI309" s="44">
        <v>30</v>
      </c>
      <c r="AJ309" s="44"/>
      <c r="AK309" s="44"/>
      <c r="AL309" s="44">
        <v>30</v>
      </c>
      <c r="AM309" s="44"/>
      <c r="AN309" s="44"/>
      <c r="AO309" s="44"/>
      <c r="AP309" s="44">
        <f t="shared" si="96"/>
        <v>60</v>
      </c>
      <c r="AQ309" s="44">
        <v>30</v>
      </c>
      <c r="AR309" s="44"/>
      <c r="AS309" s="44"/>
      <c r="AT309" s="44">
        <v>30</v>
      </c>
      <c r="AU309" s="44"/>
      <c r="AV309" s="44"/>
      <c r="AW309" s="44"/>
      <c r="AX309" s="44">
        <f t="shared" si="97"/>
        <v>60</v>
      </c>
      <c r="AY309" s="44">
        <f t="shared" si="98"/>
        <v>60</v>
      </c>
      <c r="AZ309" s="44">
        <f t="shared" si="111"/>
        <v>0</v>
      </c>
      <c r="BA309" s="44">
        <f t="shared" si="111"/>
        <v>0</v>
      </c>
      <c r="BB309" s="44">
        <f t="shared" si="111"/>
        <v>120</v>
      </c>
      <c r="BC309" s="44">
        <f t="shared" si="111"/>
        <v>0</v>
      </c>
      <c r="BD309" s="44">
        <f t="shared" si="111"/>
        <v>0</v>
      </c>
      <c r="BE309" s="44">
        <f t="shared" si="111"/>
        <v>0</v>
      </c>
      <c r="BF309" s="83">
        <f t="shared" si="110"/>
        <v>180</v>
      </c>
      <c r="BG309" s="47"/>
      <c r="BH309" s="47"/>
      <c r="BI309" s="90"/>
      <c r="BJ309" s="90"/>
      <c r="BK309" s="90"/>
      <c r="BL309" s="90"/>
      <c r="BM309" s="90"/>
      <c r="BN309" s="90"/>
      <c r="BO309" s="90"/>
      <c r="BP309" s="90"/>
      <c r="BQ309" s="90"/>
      <c r="BR309" s="90"/>
      <c r="BS309" s="90"/>
      <c r="BT309" s="90"/>
      <c r="BU309" s="90"/>
    </row>
    <row r="310" spans="1:73" s="91" customFormat="1" ht="68.25" thickBot="1" x14ac:dyDescent="0.3">
      <c r="A310" s="707"/>
      <c r="B310" s="713"/>
      <c r="C310" s="713"/>
      <c r="D310" s="650"/>
      <c r="E310" s="650"/>
      <c r="F310" s="654"/>
      <c r="G310" s="654"/>
      <c r="H310" s="650"/>
      <c r="I310" s="651"/>
      <c r="J310" s="650"/>
      <c r="K310" s="356" t="s">
        <v>1003</v>
      </c>
      <c r="L310" s="380" t="s">
        <v>875</v>
      </c>
      <c r="M310" s="269"/>
      <c r="N310" s="269">
        <v>400</v>
      </c>
      <c r="O310" s="156">
        <v>100</v>
      </c>
      <c r="P310" s="156">
        <v>200</v>
      </c>
      <c r="Q310" s="156">
        <v>300</v>
      </c>
      <c r="R310" s="270">
        <v>400</v>
      </c>
      <c r="S310" s="186">
        <v>5</v>
      </c>
      <c r="T310" s="123"/>
      <c r="U310" s="123"/>
      <c r="V310" s="123"/>
      <c r="W310" s="123"/>
      <c r="X310" s="123"/>
      <c r="Y310" s="123"/>
      <c r="Z310" s="123">
        <f t="shared" si="88"/>
        <v>5</v>
      </c>
      <c r="AA310" s="123">
        <v>5</v>
      </c>
      <c r="AB310" s="123"/>
      <c r="AC310" s="123"/>
      <c r="AD310" s="123"/>
      <c r="AE310" s="123"/>
      <c r="AF310" s="123"/>
      <c r="AG310" s="123"/>
      <c r="AH310" s="123">
        <f t="shared" si="95"/>
        <v>5</v>
      </c>
      <c r="AI310" s="123">
        <v>5</v>
      </c>
      <c r="AJ310" s="123"/>
      <c r="AK310" s="123"/>
      <c r="AL310" s="123"/>
      <c r="AM310" s="123"/>
      <c r="AN310" s="123"/>
      <c r="AO310" s="123"/>
      <c r="AP310" s="123">
        <f t="shared" si="96"/>
        <v>5</v>
      </c>
      <c r="AQ310" s="123">
        <v>5</v>
      </c>
      <c r="AR310" s="123"/>
      <c r="AS310" s="123"/>
      <c r="AT310" s="123"/>
      <c r="AU310" s="123"/>
      <c r="AV310" s="123"/>
      <c r="AW310" s="123"/>
      <c r="AX310" s="123">
        <f t="shared" si="97"/>
        <v>5</v>
      </c>
      <c r="AY310" s="123">
        <f t="shared" si="98"/>
        <v>20</v>
      </c>
      <c r="AZ310" s="123">
        <f t="shared" si="111"/>
        <v>0</v>
      </c>
      <c r="BA310" s="123">
        <f t="shared" si="111"/>
        <v>0</v>
      </c>
      <c r="BB310" s="123">
        <f t="shared" si="111"/>
        <v>0</v>
      </c>
      <c r="BC310" s="123">
        <f t="shared" si="111"/>
        <v>0</v>
      </c>
      <c r="BD310" s="123">
        <f t="shared" si="111"/>
        <v>0</v>
      </c>
      <c r="BE310" s="123">
        <f t="shared" si="111"/>
        <v>0</v>
      </c>
      <c r="BF310" s="128">
        <f t="shared" si="110"/>
        <v>20</v>
      </c>
      <c r="BG310" s="47"/>
      <c r="BH310" s="47"/>
      <c r="BI310" s="90"/>
      <c r="BJ310" s="90"/>
      <c r="BK310" s="90"/>
      <c r="BL310" s="90"/>
      <c r="BM310" s="90"/>
      <c r="BN310" s="90"/>
      <c r="BO310" s="90"/>
      <c r="BP310" s="90"/>
      <c r="BQ310" s="90"/>
      <c r="BR310" s="90"/>
      <c r="BS310" s="90"/>
      <c r="BT310" s="90"/>
      <c r="BU310" s="90"/>
    </row>
    <row r="311" spans="1:73" s="91" customFormat="1" ht="54" x14ac:dyDescent="0.25">
      <c r="A311" s="707"/>
      <c r="B311" s="626" t="s">
        <v>787</v>
      </c>
      <c r="C311" s="626" t="s">
        <v>769</v>
      </c>
      <c r="D311" s="606"/>
      <c r="E311" s="606"/>
      <c r="F311" s="624"/>
      <c r="G311" s="624"/>
      <c r="H311" s="360" t="s">
        <v>815</v>
      </c>
      <c r="I311" s="360" t="s">
        <v>770</v>
      </c>
      <c r="J311" s="360"/>
      <c r="K311" s="360" t="s">
        <v>1069</v>
      </c>
      <c r="L311" s="378" t="s">
        <v>1071</v>
      </c>
      <c r="M311" s="118">
        <v>0</v>
      </c>
      <c r="N311" s="118">
        <v>1</v>
      </c>
      <c r="O311" s="118"/>
      <c r="P311" s="118"/>
      <c r="Q311" s="118">
        <v>1</v>
      </c>
      <c r="R311" s="408"/>
      <c r="S311" s="187"/>
      <c r="T311" s="124"/>
      <c r="U311" s="124"/>
      <c r="V311" s="124"/>
      <c r="W311" s="124"/>
      <c r="X311" s="124"/>
      <c r="Y311" s="124"/>
      <c r="Z311" s="124">
        <f t="shared" si="88"/>
        <v>0</v>
      </c>
      <c r="AA311" s="124"/>
      <c r="AB311" s="124"/>
      <c r="AC311" s="124"/>
      <c r="AD311" s="124"/>
      <c r="AE311" s="124"/>
      <c r="AF311" s="124"/>
      <c r="AG311" s="124"/>
      <c r="AH311" s="124">
        <f t="shared" si="95"/>
        <v>0</v>
      </c>
      <c r="AI311" s="124">
        <v>25</v>
      </c>
      <c r="AJ311" s="124"/>
      <c r="AK311" s="124"/>
      <c r="AL311" s="124"/>
      <c r="AM311" s="124"/>
      <c r="AN311" s="124"/>
      <c r="AO311" s="124"/>
      <c r="AP311" s="124">
        <f t="shared" si="96"/>
        <v>25</v>
      </c>
      <c r="AQ311" s="124"/>
      <c r="AR311" s="124"/>
      <c r="AS311" s="124"/>
      <c r="AT311" s="124"/>
      <c r="AU311" s="124"/>
      <c r="AV311" s="124"/>
      <c r="AW311" s="124"/>
      <c r="AX311" s="124">
        <f t="shared" si="97"/>
        <v>0</v>
      </c>
      <c r="AY311" s="124">
        <f t="shared" si="98"/>
        <v>25</v>
      </c>
      <c r="AZ311" s="124">
        <f t="shared" si="99"/>
        <v>0</v>
      </c>
      <c r="BA311" s="124">
        <f t="shared" si="100"/>
        <v>0</v>
      </c>
      <c r="BB311" s="124">
        <f t="shared" si="101"/>
        <v>0</v>
      </c>
      <c r="BC311" s="124">
        <f t="shared" si="102"/>
        <v>0</v>
      </c>
      <c r="BD311" s="124">
        <f t="shared" si="103"/>
        <v>0</v>
      </c>
      <c r="BE311" s="124">
        <f t="shared" si="104"/>
        <v>0</v>
      </c>
      <c r="BF311" s="125">
        <f t="shared" si="110"/>
        <v>25</v>
      </c>
      <c r="BG311" s="47"/>
      <c r="BH311" s="47"/>
      <c r="BI311" s="90"/>
      <c r="BJ311" s="90"/>
      <c r="BK311" s="90"/>
      <c r="BL311" s="90"/>
      <c r="BM311" s="90"/>
      <c r="BN311" s="90"/>
      <c r="BO311" s="90"/>
      <c r="BP311" s="90"/>
      <c r="BQ311" s="90"/>
      <c r="BR311" s="90"/>
      <c r="BS311" s="90"/>
      <c r="BT311" s="90"/>
      <c r="BU311" s="90"/>
    </row>
    <row r="312" spans="1:73" s="91" customFormat="1" ht="54" x14ac:dyDescent="0.25">
      <c r="A312" s="707"/>
      <c r="B312" s="627"/>
      <c r="C312" s="627"/>
      <c r="D312" s="603"/>
      <c r="E312" s="603"/>
      <c r="F312" s="612"/>
      <c r="G312" s="612"/>
      <c r="H312" s="355" t="s">
        <v>816</v>
      </c>
      <c r="I312" s="355" t="s">
        <v>771</v>
      </c>
      <c r="J312" s="355"/>
      <c r="K312" s="355" t="s">
        <v>1070</v>
      </c>
      <c r="L312" s="379" t="s">
        <v>1072</v>
      </c>
      <c r="M312" s="46">
        <v>0</v>
      </c>
      <c r="N312" s="46">
        <v>1</v>
      </c>
      <c r="O312" s="46"/>
      <c r="P312" s="46">
        <v>1</v>
      </c>
      <c r="Q312" s="46">
        <v>1</v>
      </c>
      <c r="R312" s="198">
        <v>1</v>
      </c>
      <c r="S312" s="185"/>
      <c r="T312" s="44"/>
      <c r="U312" s="44"/>
      <c r="V312" s="44"/>
      <c r="W312" s="44"/>
      <c r="X312" s="44"/>
      <c r="Y312" s="44"/>
      <c r="Z312" s="44">
        <f t="shared" si="88"/>
        <v>0</v>
      </c>
      <c r="AA312" s="44"/>
      <c r="AB312" s="44"/>
      <c r="AC312" s="44"/>
      <c r="AD312" s="44"/>
      <c r="AE312" s="44"/>
      <c r="AF312" s="44"/>
      <c r="AG312" s="44"/>
      <c r="AH312" s="44">
        <f t="shared" si="95"/>
        <v>0</v>
      </c>
      <c r="AI312" s="44">
        <v>5</v>
      </c>
      <c r="AJ312" s="44"/>
      <c r="AK312" s="44"/>
      <c r="AL312" s="44"/>
      <c r="AM312" s="44"/>
      <c r="AN312" s="44"/>
      <c r="AO312" s="44"/>
      <c r="AP312" s="44">
        <f t="shared" si="96"/>
        <v>5</v>
      </c>
      <c r="AQ312" s="44">
        <v>5</v>
      </c>
      <c r="AR312" s="44"/>
      <c r="AS312" s="44"/>
      <c r="AT312" s="44"/>
      <c r="AU312" s="44"/>
      <c r="AV312" s="44"/>
      <c r="AW312" s="44"/>
      <c r="AX312" s="44">
        <f t="shared" si="97"/>
        <v>5</v>
      </c>
      <c r="AY312" s="44">
        <f t="shared" si="98"/>
        <v>10</v>
      </c>
      <c r="AZ312" s="44">
        <f t="shared" si="99"/>
        <v>0</v>
      </c>
      <c r="BA312" s="44">
        <f t="shared" si="100"/>
        <v>0</v>
      </c>
      <c r="BB312" s="44">
        <f t="shared" si="101"/>
        <v>0</v>
      </c>
      <c r="BC312" s="44">
        <f t="shared" si="102"/>
        <v>0</v>
      </c>
      <c r="BD312" s="44">
        <f t="shared" si="103"/>
        <v>0</v>
      </c>
      <c r="BE312" s="44">
        <f t="shared" si="104"/>
        <v>0</v>
      </c>
      <c r="BF312" s="83">
        <f t="shared" si="110"/>
        <v>10</v>
      </c>
      <c r="BG312" s="47"/>
      <c r="BH312" s="47"/>
      <c r="BI312" s="90"/>
      <c r="BJ312" s="90"/>
      <c r="BK312" s="90"/>
      <c r="BL312" s="90"/>
      <c r="BM312" s="90"/>
      <c r="BN312" s="90"/>
      <c r="BO312" s="90"/>
      <c r="BP312" s="90"/>
      <c r="BQ312" s="90"/>
      <c r="BR312" s="90"/>
      <c r="BS312" s="90"/>
      <c r="BT312" s="90"/>
      <c r="BU312" s="90"/>
    </row>
    <row r="313" spans="1:73" s="91" customFormat="1" ht="27.75" thickBot="1" x14ac:dyDescent="0.3">
      <c r="A313" s="707"/>
      <c r="B313" s="628"/>
      <c r="C313" s="628"/>
      <c r="D313" s="604"/>
      <c r="E313" s="604"/>
      <c r="F313" s="625"/>
      <c r="G313" s="625"/>
      <c r="H313" s="356" t="s">
        <v>817</v>
      </c>
      <c r="I313" s="356" t="s">
        <v>772</v>
      </c>
      <c r="J313" s="356"/>
      <c r="K313" s="356" t="s">
        <v>1073</v>
      </c>
      <c r="L313" s="380" t="s">
        <v>664</v>
      </c>
      <c r="M313" s="137">
        <v>0</v>
      </c>
      <c r="N313" s="137">
        <v>1</v>
      </c>
      <c r="O313" s="137">
        <v>1</v>
      </c>
      <c r="P313" s="137">
        <v>1</v>
      </c>
      <c r="Q313" s="137">
        <v>1</v>
      </c>
      <c r="R313" s="138">
        <v>1</v>
      </c>
      <c r="S313" s="186"/>
      <c r="T313" s="123">
        <v>2</v>
      </c>
      <c r="U313" s="123"/>
      <c r="V313" s="123"/>
      <c r="W313" s="123"/>
      <c r="X313" s="123"/>
      <c r="Y313" s="123"/>
      <c r="Z313" s="123">
        <f t="shared" si="88"/>
        <v>2</v>
      </c>
      <c r="AA313" s="123"/>
      <c r="AB313" s="123">
        <v>2</v>
      </c>
      <c r="AC313" s="123"/>
      <c r="AD313" s="123"/>
      <c r="AE313" s="123"/>
      <c r="AF313" s="123"/>
      <c r="AG313" s="123"/>
      <c r="AH313" s="123">
        <f t="shared" si="95"/>
        <v>2</v>
      </c>
      <c r="AI313" s="123">
        <v>2</v>
      </c>
      <c r="AJ313" s="123">
        <v>2</v>
      </c>
      <c r="AK313" s="123"/>
      <c r="AL313" s="123"/>
      <c r="AM313" s="123"/>
      <c r="AN313" s="123"/>
      <c r="AO313" s="123"/>
      <c r="AP313" s="123">
        <f t="shared" si="96"/>
        <v>4</v>
      </c>
      <c r="AQ313" s="123">
        <v>2</v>
      </c>
      <c r="AR313" s="123">
        <v>2</v>
      </c>
      <c r="AS313" s="123"/>
      <c r="AT313" s="123"/>
      <c r="AU313" s="123"/>
      <c r="AV313" s="123"/>
      <c r="AW313" s="123"/>
      <c r="AX313" s="123">
        <f t="shared" si="97"/>
        <v>4</v>
      </c>
      <c r="AY313" s="123">
        <f t="shared" si="98"/>
        <v>4</v>
      </c>
      <c r="AZ313" s="123">
        <f t="shared" si="99"/>
        <v>8</v>
      </c>
      <c r="BA313" s="123">
        <f t="shared" si="100"/>
        <v>0</v>
      </c>
      <c r="BB313" s="123">
        <f t="shared" si="101"/>
        <v>0</v>
      </c>
      <c r="BC313" s="123">
        <f t="shared" si="102"/>
        <v>0</v>
      </c>
      <c r="BD313" s="123">
        <f t="shared" si="103"/>
        <v>0</v>
      </c>
      <c r="BE313" s="123">
        <f t="shared" si="104"/>
        <v>0</v>
      </c>
      <c r="BF313" s="128">
        <f t="shared" si="110"/>
        <v>12</v>
      </c>
      <c r="BG313" s="47"/>
      <c r="BH313" s="47"/>
      <c r="BI313" s="90"/>
      <c r="BJ313" s="90"/>
      <c r="BK313" s="90"/>
      <c r="BL313" s="90"/>
      <c r="BM313" s="90"/>
      <c r="BN313" s="90"/>
      <c r="BO313" s="90"/>
      <c r="BP313" s="90"/>
      <c r="BQ313" s="90"/>
      <c r="BR313" s="90"/>
      <c r="BS313" s="90"/>
      <c r="BT313" s="90"/>
      <c r="BU313" s="90"/>
    </row>
    <row r="314" spans="1:73" s="91" customFormat="1" ht="81" x14ac:dyDescent="0.25">
      <c r="A314" s="707"/>
      <c r="B314" s="714" t="s">
        <v>945</v>
      </c>
      <c r="C314" s="712" t="s">
        <v>773</v>
      </c>
      <c r="D314" s="602"/>
      <c r="E314" s="602"/>
      <c r="F314" s="701"/>
      <c r="G314" s="701"/>
      <c r="H314" s="307" t="s">
        <v>993</v>
      </c>
      <c r="I314" s="307" t="s">
        <v>774</v>
      </c>
      <c r="J314" s="307"/>
      <c r="K314" s="307" t="s">
        <v>1004</v>
      </c>
      <c r="L314" s="377" t="s">
        <v>398</v>
      </c>
      <c r="M314" s="436">
        <v>0</v>
      </c>
      <c r="N314" s="436">
        <v>1</v>
      </c>
      <c r="O314" s="436"/>
      <c r="P314" s="436">
        <v>1</v>
      </c>
      <c r="Q314" s="436"/>
      <c r="R314" s="437"/>
      <c r="S314" s="418"/>
      <c r="T314" s="310"/>
      <c r="U314" s="310"/>
      <c r="V314" s="310"/>
      <c r="W314" s="310"/>
      <c r="X314" s="310"/>
      <c r="Y314" s="310">
        <v>300</v>
      </c>
      <c r="Z314" s="310">
        <f t="shared" si="88"/>
        <v>300</v>
      </c>
      <c r="AA314" s="310"/>
      <c r="AB314" s="310"/>
      <c r="AC314" s="310"/>
      <c r="AD314" s="310"/>
      <c r="AE314" s="310"/>
      <c r="AF314" s="310"/>
      <c r="AG314" s="310"/>
      <c r="AH314" s="310">
        <f t="shared" si="95"/>
        <v>0</v>
      </c>
      <c r="AI314" s="310"/>
      <c r="AJ314" s="310"/>
      <c r="AK314" s="310"/>
      <c r="AL314" s="310"/>
      <c r="AM314" s="310"/>
      <c r="AN314" s="310"/>
      <c r="AO314" s="310"/>
      <c r="AP314" s="310">
        <f t="shared" si="96"/>
        <v>0</v>
      </c>
      <c r="AQ314" s="310"/>
      <c r="AR314" s="310"/>
      <c r="AS314" s="310"/>
      <c r="AT314" s="310"/>
      <c r="AU314" s="310"/>
      <c r="AV314" s="310"/>
      <c r="AW314" s="310"/>
      <c r="AX314" s="310">
        <f t="shared" si="97"/>
        <v>0</v>
      </c>
      <c r="AY314" s="310">
        <f t="shared" si="98"/>
        <v>0</v>
      </c>
      <c r="AZ314" s="310">
        <f t="shared" si="99"/>
        <v>0</v>
      </c>
      <c r="BA314" s="310">
        <f t="shared" si="100"/>
        <v>0</v>
      </c>
      <c r="BB314" s="310">
        <f t="shared" si="101"/>
        <v>0</v>
      </c>
      <c r="BC314" s="310">
        <f t="shared" si="102"/>
        <v>0</v>
      </c>
      <c r="BD314" s="310">
        <f t="shared" si="103"/>
        <v>0</v>
      </c>
      <c r="BE314" s="310">
        <f t="shared" si="104"/>
        <v>300</v>
      </c>
      <c r="BF314" s="419">
        <f t="shared" si="110"/>
        <v>300</v>
      </c>
      <c r="BG314" s="47"/>
      <c r="BH314" s="47"/>
      <c r="BI314" s="90"/>
      <c r="BJ314" s="90"/>
      <c r="BK314" s="90"/>
      <c r="BL314" s="90"/>
      <c r="BM314" s="90"/>
      <c r="BN314" s="90"/>
      <c r="BO314" s="90"/>
      <c r="BP314" s="90"/>
      <c r="BQ314" s="90"/>
      <c r="BR314" s="90"/>
      <c r="BS314" s="90"/>
      <c r="BT314" s="90"/>
      <c r="BU314" s="90"/>
    </row>
    <row r="315" spans="1:73" s="91" customFormat="1" ht="81" x14ac:dyDescent="0.25">
      <c r="A315" s="707"/>
      <c r="B315" s="627"/>
      <c r="C315" s="712"/>
      <c r="D315" s="603"/>
      <c r="E315" s="603"/>
      <c r="F315" s="612"/>
      <c r="G315" s="612"/>
      <c r="H315" s="355" t="s">
        <v>994</v>
      </c>
      <c r="I315" s="355" t="s">
        <v>775</v>
      </c>
      <c r="J315" s="355"/>
      <c r="K315" s="355" t="s">
        <v>1005</v>
      </c>
      <c r="L315" s="379" t="s">
        <v>1007</v>
      </c>
      <c r="M315" s="46">
        <v>0</v>
      </c>
      <c r="N315" s="46">
        <v>151</v>
      </c>
      <c r="O315" s="46"/>
      <c r="P315" s="46">
        <v>151</v>
      </c>
      <c r="Q315" s="46">
        <v>151</v>
      </c>
      <c r="R315" s="198">
        <v>151</v>
      </c>
      <c r="S315" s="185"/>
      <c r="T315" s="44"/>
      <c r="U315" s="44"/>
      <c r="V315" s="44"/>
      <c r="W315" s="44"/>
      <c r="X315" s="44"/>
      <c r="Y315" s="44"/>
      <c r="Z315" s="44">
        <f t="shared" si="88"/>
        <v>0</v>
      </c>
      <c r="AA315" s="44"/>
      <c r="AB315" s="44"/>
      <c r="AC315" s="44"/>
      <c r="AD315" s="44"/>
      <c r="AE315" s="44"/>
      <c r="AF315" s="44"/>
      <c r="AG315" s="44">
        <v>151</v>
      </c>
      <c r="AH315" s="44">
        <f t="shared" si="95"/>
        <v>151</v>
      </c>
      <c r="AI315" s="44"/>
      <c r="AJ315" s="44"/>
      <c r="AK315" s="44"/>
      <c r="AL315" s="44"/>
      <c r="AM315" s="44"/>
      <c r="AN315" s="44"/>
      <c r="AO315" s="44">
        <v>151</v>
      </c>
      <c r="AP315" s="44">
        <f t="shared" si="96"/>
        <v>151</v>
      </c>
      <c r="AQ315" s="44"/>
      <c r="AR315" s="44"/>
      <c r="AS315" s="44"/>
      <c r="AT315" s="44"/>
      <c r="AU315" s="44"/>
      <c r="AV315" s="44"/>
      <c r="AW315" s="44">
        <v>151</v>
      </c>
      <c r="AX315" s="44">
        <f t="shared" si="97"/>
        <v>151</v>
      </c>
      <c r="AY315" s="44">
        <f t="shared" si="98"/>
        <v>0</v>
      </c>
      <c r="AZ315" s="44">
        <f t="shared" si="99"/>
        <v>0</v>
      </c>
      <c r="BA315" s="44">
        <f t="shared" si="100"/>
        <v>0</v>
      </c>
      <c r="BB315" s="44">
        <f t="shared" si="101"/>
        <v>0</v>
      </c>
      <c r="BC315" s="44">
        <f t="shared" si="102"/>
        <v>0</v>
      </c>
      <c r="BD315" s="44">
        <f t="shared" si="103"/>
        <v>0</v>
      </c>
      <c r="BE315" s="44">
        <f t="shared" si="104"/>
        <v>453</v>
      </c>
      <c r="BF315" s="83">
        <f t="shared" si="110"/>
        <v>453</v>
      </c>
      <c r="BG315" s="47"/>
      <c r="BH315" s="47"/>
      <c r="BI315" s="90"/>
      <c r="BJ315" s="90"/>
      <c r="BK315" s="90"/>
      <c r="BL315" s="90"/>
      <c r="BM315" s="90"/>
      <c r="BN315" s="90"/>
      <c r="BO315" s="90"/>
      <c r="BP315" s="90"/>
      <c r="BQ315" s="90"/>
      <c r="BR315" s="90"/>
      <c r="BS315" s="90"/>
      <c r="BT315" s="90"/>
      <c r="BU315" s="90"/>
    </row>
    <row r="316" spans="1:73" s="91" customFormat="1" ht="94.5" x14ac:dyDescent="0.25">
      <c r="A316" s="707"/>
      <c r="B316" s="627"/>
      <c r="C316" s="712"/>
      <c r="D316" s="603"/>
      <c r="E316" s="603"/>
      <c r="F316" s="612"/>
      <c r="G316" s="612"/>
      <c r="H316" s="355" t="s">
        <v>995</v>
      </c>
      <c r="I316" s="355" t="s">
        <v>776</v>
      </c>
      <c r="J316" s="355"/>
      <c r="K316" s="355" t="s">
        <v>1006</v>
      </c>
      <c r="L316" s="379" t="s">
        <v>216</v>
      </c>
      <c r="M316" s="46">
        <v>0</v>
      </c>
      <c r="N316" s="46">
        <v>1</v>
      </c>
      <c r="O316" s="46">
        <v>1</v>
      </c>
      <c r="P316" s="46">
        <v>1</v>
      </c>
      <c r="Q316" s="46">
        <v>1</v>
      </c>
      <c r="R316" s="198">
        <v>1</v>
      </c>
      <c r="S316" s="185"/>
      <c r="T316" s="44"/>
      <c r="U316" s="44"/>
      <c r="V316" s="44"/>
      <c r="W316" s="44"/>
      <c r="X316" s="44"/>
      <c r="Y316" s="44">
        <v>100</v>
      </c>
      <c r="Z316" s="44">
        <f t="shared" si="88"/>
        <v>100</v>
      </c>
      <c r="AA316" s="44"/>
      <c r="AB316" s="44"/>
      <c r="AC316" s="44"/>
      <c r="AD316" s="44"/>
      <c r="AE316" s="44"/>
      <c r="AF316" s="44"/>
      <c r="AG316" s="44">
        <v>100</v>
      </c>
      <c r="AH316" s="44">
        <f t="shared" si="95"/>
        <v>100</v>
      </c>
      <c r="AI316" s="44">
        <v>50</v>
      </c>
      <c r="AJ316" s="44"/>
      <c r="AK316" s="44"/>
      <c r="AL316" s="44"/>
      <c r="AM316" s="44"/>
      <c r="AN316" s="44"/>
      <c r="AO316" s="44">
        <v>100</v>
      </c>
      <c r="AP316" s="44">
        <f t="shared" si="96"/>
        <v>150</v>
      </c>
      <c r="AQ316" s="44">
        <v>50</v>
      </c>
      <c r="AR316" s="44"/>
      <c r="AS316" s="44"/>
      <c r="AT316" s="44"/>
      <c r="AU316" s="44"/>
      <c r="AV316" s="44"/>
      <c r="AW316" s="44">
        <v>100</v>
      </c>
      <c r="AX316" s="44">
        <f t="shared" si="97"/>
        <v>150</v>
      </c>
      <c r="AY316" s="44">
        <f t="shared" si="98"/>
        <v>100</v>
      </c>
      <c r="AZ316" s="44">
        <f t="shared" si="99"/>
        <v>0</v>
      </c>
      <c r="BA316" s="44">
        <f t="shared" si="100"/>
        <v>0</v>
      </c>
      <c r="BB316" s="44">
        <f t="shared" si="101"/>
        <v>0</v>
      </c>
      <c r="BC316" s="44">
        <f t="shared" si="102"/>
        <v>0</v>
      </c>
      <c r="BD316" s="44">
        <f t="shared" si="103"/>
        <v>0</v>
      </c>
      <c r="BE316" s="44">
        <f t="shared" si="104"/>
        <v>400</v>
      </c>
      <c r="BF316" s="83">
        <f t="shared" si="110"/>
        <v>500</v>
      </c>
      <c r="BG316" s="47"/>
      <c r="BH316" s="47"/>
      <c r="BI316" s="90"/>
      <c r="BJ316" s="90"/>
      <c r="BK316" s="90"/>
      <c r="BL316" s="90"/>
      <c r="BM316" s="90"/>
      <c r="BN316" s="90"/>
      <c r="BO316" s="90"/>
      <c r="BP316" s="90"/>
      <c r="BQ316" s="90"/>
      <c r="BR316" s="90"/>
      <c r="BS316" s="90"/>
      <c r="BT316" s="90"/>
      <c r="BU316" s="90"/>
    </row>
    <row r="317" spans="1:73" s="91" customFormat="1" ht="135.75" thickBot="1" x14ac:dyDescent="0.3">
      <c r="A317" s="708"/>
      <c r="B317" s="628"/>
      <c r="C317" s="713"/>
      <c r="D317" s="604"/>
      <c r="E317" s="604"/>
      <c r="F317" s="625"/>
      <c r="G317" s="625"/>
      <c r="H317" s="356" t="s">
        <v>996</v>
      </c>
      <c r="I317" s="356" t="s">
        <v>777</v>
      </c>
      <c r="J317" s="356"/>
      <c r="K317" s="356" t="s">
        <v>1008</v>
      </c>
      <c r="L317" s="380" t="s">
        <v>1009</v>
      </c>
      <c r="M317" s="438"/>
      <c r="N317" s="438">
        <v>0.8</v>
      </c>
      <c r="O317" s="137"/>
      <c r="P317" s="438">
        <v>0.3</v>
      </c>
      <c r="Q317" s="438">
        <v>0.6</v>
      </c>
      <c r="R317" s="439">
        <v>0.8</v>
      </c>
      <c r="S317" s="186"/>
      <c r="T317" s="123"/>
      <c r="U317" s="123"/>
      <c r="V317" s="123"/>
      <c r="W317" s="123"/>
      <c r="X317" s="123"/>
      <c r="Y317" s="123"/>
      <c r="Z317" s="123">
        <f t="shared" si="88"/>
        <v>0</v>
      </c>
      <c r="AA317" s="123"/>
      <c r="AB317" s="123"/>
      <c r="AC317" s="123"/>
      <c r="AD317" s="123">
        <v>200</v>
      </c>
      <c r="AE317" s="123"/>
      <c r="AF317" s="123"/>
      <c r="AG317" s="123"/>
      <c r="AH317" s="123">
        <f t="shared" si="95"/>
        <v>200</v>
      </c>
      <c r="AI317" s="123">
        <v>50</v>
      </c>
      <c r="AJ317" s="123"/>
      <c r="AK317" s="123"/>
      <c r="AL317" s="123">
        <v>200</v>
      </c>
      <c r="AM317" s="123"/>
      <c r="AN317" s="123"/>
      <c r="AO317" s="123"/>
      <c r="AP317" s="123">
        <f t="shared" si="96"/>
        <v>250</v>
      </c>
      <c r="AQ317" s="123">
        <v>50</v>
      </c>
      <c r="AR317" s="123"/>
      <c r="AS317" s="123"/>
      <c r="AT317" s="123">
        <v>200</v>
      </c>
      <c r="AU317" s="123"/>
      <c r="AV317" s="123"/>
      <c r="AW317" s="123"/>
      <c r="AX317" s="123">
        <f t="shared" si="97"/>
        <v>250</v>
      </c>
      <c r="AY317" s="123">
        <f t="shared" si="98"/>
        <v>100</v>
      </c>
      <c r="AZ317" s="123">
        <f t="shared" si="99"/>
        <v>0</v>
      </c>
      <c r="BA317" s="123">
        <f t="shared" si="100"/>
        <v>0</v>
      </c>
      <c r="BB317" s="123">
        <f t="shared" si="101"/>
        <v>600</v>
      </c>
      <c r="BC317" s="123">
        <f t="shared" si="102"/>
        <v>0</v>
      </c>
      <c r="BD317" s="123">
        <f t="shared" si="103"/>
        <v>0</v>
      </c>
      <c r="BE317" s="123">
        <f t="shared" si="104"/>
        <v>0</v>
      </c>
      <c r="BF317" s="128">
        <f t="shared" si="110"/>
        <v>700</v>
      </c>
      <c r="BG317" s="47"/>
      <c r="BH317" s="47"/>
      <c r="BI317" s="90"/>
      <c r="BJ317" s="90"/>
      <c r="BK317" s="90"/>
      <c r="BL317" s="90"/>
      <c r="BM317" s="90"/>
      <c r="BN317" s="90"/>
      <c r="BO317" s="90"/>
      <c r="BP317" s="90"/>
      <c r="BQ317" s="90"/>
      <c r="BR317" s="90"/>
      <c r="BS317" s="90"/>
      <c r="BT317" s="90"/>
      <c r="BU317" s="90"/>
    </row>
    <row r="318" spans="1:73" ht="14.25" thickBot="1" x14ac:dyDescent="0.3">
      <c r="A318" s="702" t="s">
        <v>1228</v>
      </c>
      <c r="B318" s="646"/>
      <c r="C318" s="646"/>
      <c r="D318" s="62"/>
      <c r="E318" s="645" t="s">
        <v>1509</v>
      </c>
      <c r="F318" s="646"/>
      <c r="G318" s="646"/>
      <c r="H318" s="645" t="s">
        <v>1504</v>
      </c>
      <c r="I318" s="646"/>
      <c r="J318" s="646"/>
      <c r="K318" s="645" t="s">
        <v>1512</v>
      </c>
      <c r="L318" s="646"/>
      <c r="M318" s="646"/>
      <c r="N318" s="646"/>
      <c r="O318" s="646"/>
      <c r="P318" s="646"/>
      <c r="Q318" s="646"/>
      <c r="R318" s="647"/>
      <c r="S318" s="40">
        <f t="shared" ref="S318:BF318" si="112">SUM(S4:S317)-S205</f>
        <v>238</v>
      </c>
      <c r="T318" s="40">
        <f t="shared" si="112"/>
        <v>357938.91999999993</v>
      </c>
      <c r="U318" s="40">
        <f t="shared" si="112"/>
        <v>8801</v>
      </c>
      <c r="V318" s="40">
        <f t="shared" si="112"/>
        <v>93142.39999999998</v>
      </c>
      <c r="W318" s="40">
        <f t="shared" si="112"/>
        <v>702</v>
      </c>
      <c r="X318" s="40">
        <f t="shared" si="112"/>
        <v>580</v>
      </c>
      <c r="Y318" s="40">
        <f t="shared" si="112"/>
        <v>71801.600000000006</v>
      </c>
      <c r="Z318" s="40">
        <f t="shared" si="112"/>
        <v>533203.91999999993</v>
      </c>
      <c r="AA318" s="40">
        <f t="shared" si="112"/>
        <v>579</v>
      </c>
      <c r="AB318" s="40">
        <f t="shared" si="112"/>
        <v>341989.05439999996</v>
      </c>
      <c r="AC318" s="40">
        <f t="shared" si="112"/>
        <v>9270</v>
      </c>
      <c r="AD318" s="40">
        <f t="shared" si="112"/>
        <v>4844</v>
      </c>
      <c r="AE318" s="40">
        <f t="shared" si="112"/>
        <v>729</v>
      </c>
      <c r="AF318" s="40">
        <f t="shared" si="112"/>
        <v>66177.8</v>
      </c>
      <c r="AG318" s="40">
        <f t="shared" si="112"/>
        <v>91512.7</v>
      </c>
      <c r="AH318" s="40">
        <f t="shared" si="112"/>
        <v>515101.55439999991</v>
      </c>
      <c r="AI318" s="40">
        <f t="shared" si="112"/>
        <v>1120</v>
      </c>
      <c r="AJ318" s="40">
        <f t="shared" si="112"/>
        <v>339843.50948799995</v>
      </c>
      <c r="AK318" s="40">
        <f t="shared" si="112"/>
        <v>8816</v>
      </c>
      <c r="AL318" s="40">
        <f t="shared" si="112"/>
        <v>5911</v>
      </c>
      <c r="AM318" s="40">
        <f t="shared" si="112"/>
        <v>759</v>
      </c>
      <c r="AN318" s="40">
        <f t="shared" si="112"/>
        <v>44176.5</v>
      </c>
      <c r="AO318" s="40">
        <f t="shared" si="112"/>
        <v>101180</v>
      </c>
      <c r="AP318" s="40">
        <f t="shared" si="112"/>
        <v>501806.00948799995</v>
      </c>
      <c r="AQ318" s="40">
        <f t="shared" si="112"/>
        <v>1157</v>
      </c>
      <c r="AR318" s="40">
        <f t="shared" si="112"/>
        <v>341747.7</v>
      </c>
      <c r="AS318" s="40">
        <f t="shared" si="112"/>
        <v>8840</v>
      </c>
      <c r="AT318" s="40">
        <f t="shared" si="112"/>
        <v>4481</v>
      </c>
      <c r="AU318" s="40">
        <f t="shared" si="112"/>
        <v>790</v>
      </c>
      <c r="AV318" s="40">
        <f t="shared" si="112"/>
        <v>3800</v>
      </c>
      <c r="AW318" s="40">
        <f t="shared" si="112"/>
        <v>103169</v>
      </c>
      <c r="AX318" s="40">
        <f t="shared" si="112"/>
        <v>463984.7</v>
      </c>
      <c r="AY318" s="40">
        <f t="shared" si="112"/>
        <v>3094</v>
      </c>
      <c r="AZ318" s="40">
        <f t="shared" si="112"/>
        <v>1381519.1838880002</v>
      </c>
      <c r="BA318" s="40">
        <f t="shared" si="112"/>
        <v>35727</v>
      </c>
      <c r="BB318" s="40">
        <f t="shared" si="112"/>
        <v>108378.39999999997</v>
      </c>
      <c r="BC318" s="40">
        <f t="shared" si="112"/>
        <v>2980</v>
      </c>
      <c r="BD318" s="40">
        <f t="shared" si="112"/>
        <v>114734.29999999997</v>
      </c>
      <c r="BE318" s="40">
        <f t="shared" si="112"/>
        <v>367663.3</v>
      </c>
      <c r="BF318" s="40">
        <f t="shared" si="112"/>
        <v>2014096.1838879997</v>
      </c>
    </row>
    <row r="319" spans="1:73" ht="14.25" thickBot="1" x14ac:dyDescent="0.3">
      <c r="AU319" s="120"/>
      <c r="AY319" s="120"/>
      <c r="AZ319" s="120"/>
      <c r="BA319" s="120"/>
      <c r="BB319" s="120"/>
      <c r="BC319" s="120"/>
      <c r="BD319" s="120"/>
      <c r="BE319" s="120"/>
      <c r="BF319" s="120"/>
    </row>
    <row r="320" spans="1:73" s="31" customFormat="1" x14ac:dyDescent="0.25">
      <c r="D320" s="64"/>
      <c r="E320" s="64"/>
      <c r="H320" s="64"/>
      <c r="I320" s="63"/>
      <c r="J320" s="64"/>
      <c r="K320" s="64"/>
      <c r="L320" s="64"/>
      <c r="M320" s="669" t="s">
        <v>827</v>
      </c>
      <c r="N320" s="671"/>
      <c r="O320" s="671"/>
      <c r="P320" s="671"/>
      <c r="Q320" s="671"/>
      <c r="R320" s="672"/>
      <c r="S320" s="634"/>
      <c r="T320" s="635"/>
      <c r="U320" s="635"/>
      <c r="V320" s="635"/>
      <c r="W320" s="635"/>
      <c r="X320" s="635"/>
      <c r="Y320" s="635"/>
      <c r="Z320" s="635"/>
      <c r="AA320" s="635"/>
      <c r="AB320" s="635"/>
      <c r="AC320" s="635"/>
      <c r="AD320" s="635"/>
      <c r="AE320" s="635"/>
      <c r="AF320" s="635"/>
      <c r="AG320" s="635"/>
      <c r="AH320" s="635"/>
      <c r="AI320" s="635"/>
      <c r="AJ320" s="635"/>
      <c r="AK320" s="635"/>
      <c r="AL320" s="635"/>
      <c r="AM320" s="635"/>
      <c r="AN320" s="635"/>
      <c r="AO320" s="635"/>
      <c r="AP320" s="635"/>
      <c r="AQ320" s="635"/>
      <c r="AR320" s="635"/>
      <c r="AS320" s="635"/>
      <c r="AT320" s="635"/>
      <c r="AU320" s="635"/>
      <c r="AV320" s="635"/>
      <c r="AW320" s="635"/>
      <c r="AX320" s="635"/>
      <c r="AY320" s="635"/>
      <c r="AZ320" s="635"/>
      <c r="BA320" s="635"/>
      <c r="BB320" s="635"/>
      <c r="BC320" s="635"/>
      <c r="BD320" s="635"/>
      <c r="BE320" s="636"/>
      <c r="BF320" s="637"/>
      <c r="BG320" s="30"/>
      <c r="BH320" s="30"/>
    </row>
    <row r="321" spans="4:60" s="31" customFormat="1" x14ac:dyDescent="0.25">
      <c r="D321" s="64"/>
      <c r="E321" s="64"/>
      <c r="H321" s="64"/>
      <c r="I321" s="63"/>
      <c r="J321" s="64"/>
      <c r="K321" s="64"/>
      <c r="L321" s="64"/>
      <c r="M321" s="673"/>
      <c r="N321" s="680"/>
      <c r="O321" s="680"/>
      <c r="P321" s="680"/>
      <c r="Q321" s="680"/>
      <c r="R321" s="700"/>
      <c r="S321" s="633">
        <v>2012</v>
      </c>
      <c r="T321" s="632"/>
      <c r="U321" s="632"/>
      <c r="V321" s="632"/>
      <c r="W321" s="632"/>
      <c r="X321" s="632"/>
      <c r="Y321" s="632"/>
      <c r="Z321" s="632"/>
      <c r="AA321" s="632">
        <v>2013</v>
      </c>
      <c r="AB321" s="632"/>
      <c r="AC321" s="632"/>
      <c r="AD321" s="632"/>
      <c r="AE321" s="632"/>
      <c r="AF321" s="632"/>
      <c r="AG321" s="632"/>
      <c r="AH321" s="632"/>
      <c r="AI321" s="632">
        <v>2014</v>
      </c>
      <c r="AJ321" s="632"/>
      <c r="AK321" s="632"/>
      <c r="AL321" s="632"/>
      <c r="AM321" s="632"/>
      <c r="AN321" s="632"/>
      <c r="AO321" s="632"/>
      <c r="AP321" s="632"/>
      <c r="AQ321" s="632">
        <v>2015</v>
      </c>
      <c r="AR321" s="632"/>
      <c r="AS321" s="632"/>
      <c r="AT321" s="632"/>
      <c r="AU321" s="632"/>
      <c r="AV321" s="632"/>
      <c r="AW321" s="632"/>
      <c r="AX321" s="632"/>
      <c r="AY321" s="632" t="s">
        <v>734</v>
      </c>
      <c r="AZ321" s="632"/>
      <c r="BA321" s="632"/>
      <c r="BB321" s="632"/>
      <c r="BC321" s="632"/>
      <c r="BD321" s="632"/>
      <c r="BE321" s="638"/>
      <c r="BF321" s="639"/>
      <c r="BG321" s="30"/>
      <c r="BH321" s="30"/>
    </row>
    <row r="322" spans="4:60" s="31" customFormat="1" ht="27.75" thickBot="1" x14ac:dyDescent="0.3">
      <c r="D322" s="64"/>
      <c r="E322" s="64"/>
      <c r="H322" s="64"/>
      <c r="I322" s="63"/>
      <c r="J322" s="64"/>
      <c r="K322" s="64"/>
      <c r="L322" s="64"/>
      <c r="M322" s="674" t="s">
        <v>826</v>
      </c>
      <c r="N322" s="681"/>
      <c r="O322" s="681"/>
      <c r="P322" s="681"/>
      <c r="Q322" s="681"/>
      <c r="R322" s="699"/>
      <c r="S322" s="207" t="s">
        <v>1400</v>
      </c>
      <c r="T322" s="14" t="s">
        <v>728</v>
      </c>
      <c r="U322" s="108" t="s">
        <v>1278</v>
      </c>
      <c r="V322" s="37" t="s">
        <v>937</v>
      </c>
      <c r="W322" s="14" t="s">
        <v>730</v>
      </c>
      <c r="X322" s="14" t="s">
        <v>731</v>
      </c>
      <c r="Y322" s="14" t="s">
        <v>732</v>
      </c>
      <c r="Z322" s="14" t="s">
        <v>733</v>
      </c>
      <c r="AA322" s="108" t="s">
        <v>1400</v>
      </c>
      <c r="AB322" s="14" t="s">
        <v>728</v>
      </c>
      <c r="AC322" s="14" t="s">
        <v>729</v>
      </c>
      <c r="AD322" s="37" t="s">
        <v>937</v>
      </c>
      <c r="AE322" s="14" t="s">
        <v>730</v>
      </c>
      <c r="AF322" s="14" t="s">
        <v>731</v>
      </c>
      <c r="AG322" s="14" t="s">
        <v>732</v>
      </c>
      <c r="AH322" s="14" t="s">
        <v>733</v>
      </c>
      <c r="AI322" s="108" t="s">
        <v>1400</v>
      </c>
      <c r="AJ322" s="14" t="s">
        <v>728</v>
      </c>
      <c r="AK322" s="14" t="s">
        <v>729</v>
      </c>
      <c r="AL322" s="37" t="s">
        <v>937</v>
      </c>
      <c r="AM322" s="14" t="s">
        <v>730</v>
      </c>
      <c r="AN322" s="14" t="s">
        <v>731</v>
      </c>
      <c r="AO322" s="14" t="s">
        <v>732</v>
      </c>
      <c r="AP322" s="14" t="s">
        <v>733</v>
      </c>
      <c r="AQ322" s="108" t="s">
        <v>1400</v>
      </c>
      <c r="AR322" s="14" t="s">
        <v>728</v>
      </c>
      <c r="AS322" s="108" t="s">
        <v>1279</v>
      </c>
      <c r="AT322" s="37" t="s">
        <v>937</v>
      </c>
      <c r="AU322" s="14" t="s">
        <v>730</v>
      </c>
      <c r="AV322" s="14" t="s">
        <v>731</v>
      </c>
      <c r="AW322" s="14" t="s">
        <v>732</v>
      </c>
      <c r="AX322" s="14" t="s">
        <v>733</v>
      </c>
      <c r="AY322" s="108" t="s">
        <v>1400</v>
      </c>
      <c r="AZ322" s="14" t="s">
        <v>728</v>
      </c>
      <c r="BA322" s="14" t="s">
        <v>729</v>
      </c>
      <c r="BB322" s="37" t="s">
        <v>937</v>
      </c>
      <c r="BC322" s="14" t="s">
        <v>730</v>
      </c>
      <c r="BD322" s="14" t="s">
        <v>731</v>
      </c>
      <c r="BE322" s="15" t="s">
        <v>732</v>
      </c>
      <c r="BF322" s="16" t="s">
        <v>825</v>
      </c>
      <c r="BG322" s="30"/>
      <c r="BH322" s="30"/>
    </row>
    <row r="323" spans="4:60" x14ac:dyDescent="0.25">
      <c r="L323" s="65" t="s">
        <v>778</v>
      </c>
      <c r="M323" s="688" t="s">
        <v>513</v>
      </c>
      <c r="N323" s="689"/>
      <c r="O323" s="689"/>
      <c r="P323" s="689"/>
      <c r="Q323" s="689"/>
      <c r="R323" s="690"/>
      <c r="S323" s="58">
        <f>SUM(S4:S145)</f>
        <v>0</v>
      </c>
      <c r="T323" s="52">
        <f t="shared" ref="T323:Y323" si="113">SUM(T4:T145)</f>
        <v>122024.09999999999</v>
      </c>
      <c r="U323" s="52">
        <f t="shared" si="113"/>
        <v>8435</v>
      </c>
      <c r="V323" s="52">
        <f t="shared" si="113"/>
        <v>90545.39999999998</v>
      </c>
      <c r="W323" s="52">
        <f t="shared" si="113"/>
        <v>0</v>
      </c>
      <c r="X323" s="52">
        <f t="shared" si="113"/>
        <v>580</v>
      </c>
      <c r="Y323" s="52">
        <f t="shared" si="113"/>
        <v>60092.600000000006</v>
      </c>
      <c r="Z323" s="144">
        <f>SUM(S323:Y323)</f>
        <v>281677.09999999998</v>
      </c>
      <c r="AA323" s="58">
        <f>SUM(AA4:AA145)</f>
        <v>76</v>
      </c>
      <c r="AB323" s="52">
        <f t="shared" ref="AB323:AG323" si="114">SUM(AB4:AB145)</f>
        <v>100857.20000000001</v>
      </c>
      <c r="AC323" s="52">
        <f t="shared" si="114"/>
        <v>8892</v>
      </c>
      <c r="AD323" s="52">
        <f t="shared" si="114"/>
        <v>1459</v>
      </c>
      <c r="AE323" s="52">
        <f t="shared" si="114"/>
        <v>0</v>
      </c>
      <c r="AF323" s="52">
        <f t="shared" si="114"/>
        <v>64377.8</v>
      </c>
      <c r="AG323" s="52">
        <f t="shared" si="114"/>
        <v>65382.7</v>
      </c>
      <c r="AH323" s="144">
        <f>SUM(AA323:AG323)</f>
        <v>241044.7</v>
      </c>
      <c r="AI323" s="58">
        <f>SUM(AI4:AI145)</f>
        <v>170</v>
      </c>
      <c r="AJ323" s="52">
        <f t="shared" ref="AJ323:AO323" si="115">SUM(AJ4:AJ145)</f>
        <v>93966.3</v>
      </c>
      <c r="AK323" s="52">
        <f t="shared" si="115"/>
        <v>8438</v>
      </c>
      <c r="AL323" s="52">
        <f t="shared" si="115"/>
        <v>2507</v>
      </c>
      <c r="AM323" s="52">
        <f t="shared" si="115"/>
        <v>0</v>
      </c>
      <c r="AN323" s="52">
        <f t="shared" si="115"/>
        <v>42376.5</v>
      </c>
      <c r="AO323" s="52">
        <f t="shared" si="115"/>
        <v>72927</v>
      </c>
      <c r="AP323" s="144">
        <f>SUM(AI323:AO323)</f>
        <v>220384.8</v>
      </c>
      <c r="AQ323" s="58">
        <f>SUM(AQ4:AQ145)</f>
        <v>220</v>
      </c>
      <c r="AR323" s="52">
        <f t="shared" ref="AR323:AW323" si="116">SUM(AR4:AR145)</f>
        <v>90256</v>
      </c>
      <c r="AS323" s="52">
        <f t="shared" si="116"/>
        <v>8478</v>
      </c>
      <c r="AT323" s="52">
        <f t="shared" si="116"/>
        <v>1509</v>
      </c>
      <c r="AU323" s="52">
        <f t="shared" si="116"/>
        <v>0</v>
      </c>
      <c r="AV323" s="52">
        <f t="shared" si="116"/>
        <v>300</v>
      </c>
      <c r="AW323" s="52">
        <f t="shared" si="116"/>
        <v>71727</v>
      </c>
      <c r="AX323" s="144">
        <f>SUM(AQ323:AW323)</f>
        <v>172490</v>
      </c>
      <c r="AY323" s="58">
        <f>SUM(AY4:AY145)</f>
        <v>466</v>
      </c>
      <c r="AZ323" s="52">
        <f t="shared" ref="AZ323:BE323" si="117">SUM(AZ4:AZ145)</f>
        <v>407103.6</v>
      </c>
      <c r="BA323" s="52">
        <f t="shared" si="117"/>
        <v>34243</v>
      </c>
      <c r="BB323" s="52">
        <f t="shared" si="117"/>
        <v>96020.39999999998</v>
      </c>
      <c r="BC323" s="52">
        <f t="shared" si="117"/>
        <v>0</v>
      </c>
      <c r="BD323" s="52">
        <f t="shared" si="117"/>
        <v>107634.29999999997</v>
      </c>
      <c r="BE323" s="52">
        <f t="shared" si="117"/>
        <v>270129.3</v>
      </c>
      <c r="BF323" s="144">
        <f>SUM(AY323:BE323)</f>
        <v>915596.59999999986</v>
      </c>
    </row>
    <row r="324" spans="4:60" x14ac:dyDescent="0.25">
      <c r="L324" s="65" t="s">
        <v>779</v>
      </c>
      <c r="M324" s="691" t="s">
        <v>740</v>
      </c>
      <c r="N324" s="692"/>
      <c r="O324" s="692"/>
      <c r="P324" s="692"/>
      <c r="Q324" s="692"/>
      <c r="R324" s="693"/>
      <c r="S324" s="61">
        <f t="shared" ref="S324:BF324" si="118">SUM(S146:S225)-S205</f>
        <v>24</v>
      </c>
      <c r="T324" s="61">
        <f t="shared" si="118"/>
        <v>214895.82</v>
      </c>
      <c r="U324" s="61">
        <f t="shared" si="118"/>
        <v>0</v>
      </c>
      <c r="V324" s="61">
        <f t="shared" si="118"/>
        <v>765</v>
      </c>
      <c r="W324" s="61">
        <f t="shared" si="118"/>
        <v>422</v>
      </c>
      <c r="X324" s="61">
        <f t="shared" si="118"/>
        <v>0</v>
      </c>
      <c r="Y324" s="61">
        <f t="shared" si="118"/>
        <v>8775</v>
      </c>
      <c r="Z324" s="61">
        <f t="shared" si="118"/>
        <v>224881.82</v>
      </c>
      <c r="AA324" s="61">
        <f t="shared" si="118"/>
        <v>285</v>
      </c>
      <c r="AB324" s="61">
        <f t="shared" si="118"/>
        <v>219244.85440000001</v>
      </c>
      <c r="AC324" s="61">
        <f t="shared" si="118"/>
        <v>0</v>
      </c>
      <c r="AD324" s="61">
        <f t="shared" si="118"/>
        <v>766</v>
      </c>
      <c r="AE324" s="61">
        <f t="shared" si="118"/>
        <v>447</v>
      </c>
      <c r="AF324" s="61">
        <f t="shared" si="118"/>
        <v>1800</v>
      </c>
      <c r="AG324" s="61">
        <f t="shared" si="118"/>
        <v>12994</v>
      </c>
      <c r="AH324" s="61">
        <f t="shared" si="118"/>
        <v>235536.85440000001</v>
      </c>
      <c r="AI324" s="61">
        <f t="shared" si="118"/>
        <v>195</v>
      </c>
      <c r="AJ324" s="61">
        <f t="shared" si="118"/>
        <v>223102.20948799999</v>
      </c>
      <c r="AK324" s="61">
        <f t="shared" si="118"/>
        <v>0</v>
      </c>
      <c r="AL324" s="61">
        <f t="shared" si="118"/>
        <v>816</v>
      </c>
      <c r="AM324" s="61">
        <f t="shared" si="118"/>
        <v>473</v>
      </c>
      <c r="AN324" s="61">
        <f t="shared" si="118"/>
        <v>1800</v>
      </c>
      <c r="AO324" s="61">
        <f t="shared" si="118"/>
        <v>14708</v>
      </c>
      <c r="AP324" s="61">
        <f t="shared" si="118"/>
        <v>241094.20948799999</v>
      </c>
      <c r="AQ324" s="61">
        <f t="shared" si="118"/>
        <v>165</v>
      </c>
      <c r="AR324" s="61">
        <f t="shared" si="118"/>
        <v>227312.7</v>
      </c>
      <c r="AS324" s="61">
        <f t="shared" si="118"/>
        <v>0</v>
      </c>
      <c r="AT324" s="61">
        <f t="shared" si="118"/>
        <v>777</v>
      </c>
      <c r="AU324" s="61">
        <f t="shared" si="118"/>
        <v>500</v>
      </c>
      <c r="AV324" s="61">
        <f t="shared" si="118"/>
        <v>3500</v>
      </c>
      <c r="AW324" s="61">
        <f t="shared" si="118"/>
        <v>17738</v>
      </c>
      <c r="AX324" s="61">
        <f t="shared" si="118"/>
        <v>249992.7</v>
      </c>
      <c r="AY324" s="61">
        <f t="shared" si="118"/>
        <v>669</v>
      </c>
      <c r="AZ324" s="61">
        <f t="shared" si="118"/>
        <v>884555.58388799999</v>
      </c>
      <c r="BA324" s="61">
        <f t="shared" si="118"/>
        <v>0</v>
      </c>
      <c r="BB324" s="61">
        <f t="shared" si="118"/>
        <v>3124</v>
      </c>
      <c r="BC324" s="61">
        <f t="shared" si="118"/>
        <v>1842</v>
      </c>
      <c r="BD324" s="61">
        <f t="shared" si="118"/>
        <v>7100</v>
      </c>
      <c r="BE324" s="61">
        <f t="shared" si="118"/>
        <v>54215</v>
      </c>
      <c r="BF324" s="178">
        <f t="shared" si="118"/>
        <v>951505.58388799999</v>
      </c>
    </row>
    <row r="325" spans="4:60" x14ac:dyDescent="0.25">
      <c r="L325" s="65" t="s">
        <v>780</v>
      </c>
      <c r="M325" s="691" t="s">
        <v>819</v>
      </c>
      <c r="N325" s="692"/>
      <c r="O325" s="692"/>
      <c r="P325" s="692"/>
      <c r="Q325" s="692"/>
      <c r="R325" s="693"/>
      <c r="S325" s="61">
        <f>SUM(S226:S234)</f>
        <v>0</v>
      </c>
      <c r="T325" s="53">
        <f t="shared" ref="T325:Y325" si="119">SUM(T226:T234)</f>
        <v>0</v>
      </c>
      <c r="U325" s="53">
        <f t="shared" si="119"/>
        <v>0</v>
      </c>
      <c r="V325" s="53">
        <f t="shared" si="119"/>
        <v>192</v>
      </c>
      <c r="W325" s="53">
        <f t="shared" si="119"/>
        <v>200</v>
      </c>
      <c r="X325" s="53">
        <f t="shared" si="119"/>
        <v>0</v>
      </c>
      <c r="Y325" s="53">
        <f t="shared" si="119"/>
        <v>850</v>
      </c>
      <c r="Z325" s="145">
        <f t="shared" ref="Z325:Z333" si="120">SUM(S325:Y325)</f>
        <v>1242</v>
      </c>
      <c r="AA325" s="61">
        <f>SUM(AA226:AA234)</f>
        <v>0</v>
      </c>
      <c r="AB325" s="53">
        <f t="shared" ref="AB325:AG325" si="121">SUM(AB226:AB234)</f>
        <v>0</v>
      </c>
      <c r="AC325" s="53">
        <f t="shared" si="121"/>
        <v>0</v>
      </c>
      <c r="AD325" s="53">
        <f t="shared" si="121"/>
        <v>683</v>
      </c>
      <c r="AE325" s="53">
        <f t="shared" si="121"/>
        <v>200</v>
      </c>
      <c r="AF325" s="53">
        <f t="shared" si="121"/>
        <v>0</v>
      </c>
      <c r="AG325" s="53">
        <f t="shared" si="121"/>
        <v>1134</v>
      </c>
      <c r="AH325" s="145">
        <f t="shared" ref="AH325:AH333" si="122">SUM(AA325:AG325)</f>
        <v>2017</v>
      </c>
      <c r="AI325" s="61">
        <f>SUM(AI226:AI234)</f>
        <v>50</v>
      </c>
      <c r="AJ325" s="53">
        <f t="shared" ref="AJ325:AO325" si="123">SUM(AJ226:AJ234)</f>
        <v>0</v>
      </c>
      <c r="AK325" s="53">
        <f t="shared" si="123"/>
        <v>0</v>
      </c>
      <c r="AL325" s="53">
        <f t="shared" si="123"/>
        <v>291</v>
      </c>
      <c r="AM325" s="53">
        <f t="shared" si="123"/>
        <v>200</v>
      </c>
      <c r="AN325" s="53">
        <f t="shared" si="123"/>
        <v>0</v>
      </c>
      <c r="AO325" s="53">
        <f t="shared" si="123"/>
        <v>1437</v>
      </c>
      <c r="AP325" s="145">
        <f t="shared" ref="AP325:AP333" si="124">SUM(AI325:AO325)</f>
        <v>1978</v>
      </c>
      <c r="AQ325" s="61">
        <f>SUM(AQ226:AQ234)</f>
        <v>66</v>
      </c>
      <c r="AR325" s="53">
        <f t="shared" ref="AR325:AW325" si="125">SUM(AR226:AR234)</f>
        <v>0</v>
      </c>
      <c r="AS325" s="53">
        <f t="shared" si="125"/>
        <v>0</v>
      </c>
      <c r="AT325" s="53">
        <f t="shared" si="125"/>
        <v>197</v>
      </c>
      <c r="AU325" s="53">
        <f t="shared" si="125"/>
        <v>200</v>
      </c>
      <c r="AV325" s="53">
        <f t="shared" si="125"/>
        <v>0</v>
      </c>
      <c r="AW325" s="53">
        <f t="shared" si="125"/>
        <v>1590</v>
      </c>
      <c r="AX325" s="145">
        <f t="shared" ref="AX325:AX333" si="126">SUM(AQ325:AW325)</f>
        <v>2053</v>
      </c>
      <c r="AY325" s="61">
        <f>SUM(AY226:AY234)</f>
        <v>116</v>
      </c>
      <c r="AZ325" s="53">
        <f t="shared" ref="AZ325:BE325" si="127">SUM(AZ226:AZ234)</f>
        <v>0</v>
      </c>
      <c r="BA325" s="53">
        <f t="shared" si="127"/>
        <v>0</v>
      </c>
      <c r="BB325" s="53">
        <f t="shared" si="127"/>
        <v>1363</v>
      </c>
      <c r="BC325" s="53">
        <f t="shared" si="127"/>
        <v>800</v>
      </c>
      <c r="BD325" s="53">
        <f t="shared" si="127"/>
        <v>0</v>
      </c>
      <c r="BE325" s="53">
        <f t="shared" si="127"/>
        <v>5011</v>
      </c>
      <c r="BF325" s="145">
        <f t="shared" ref="BF325:BF333" si="128">SUM(AY325:BE325)</f>
        <v>7290</v>
      </c>
    </row>
    <row r="326" spans="4:60" x14ac:dyDescent="0.25">
      <c r="L326" s="65" t="s">
        <v>781</v>
      </c>
      <c r="M326" s="694" t="s">
        <v>944</v>
      </c>
      <c r="N326" s="692"/>
      <c r="O326" s="692"/>
      <c r="P326" s="692"/>
      <c r="Q326" s="692"/>
      <c r="R326" s="693"/>
      <c r="S326" s="61">
        <f>SUM(S235:S269)</f>
        <v>109</v>
      </c>
      <c r="T326" s="53">
        <f t="shared" ref="T326:Y326" si="129">SUM(T235:T269)</f>
        <v>5024</v>
      </c>
      <c r="U326" s="53">
        <f t="shared" si="129"/>
        <v>16</v>
      </c>
      <c r="V326" s="53">
        <f t="shared" si="129"/>
        <v>1010</v>
      </c>
      <c r="W326" s="53">
        <f t="shared" si="129"/>
        <v>0</v>
      </c>
      <c r="X326" s="53">
        <f t="shared" si="129"/>
        <v>0</v>
      </c>
      <c r="Y326" s="53">
        <f t="shared" si="129"/>
        <v>1649</v>
      </c>
      <c r="Z326" s="145">
        <f t="shared" si="120"/>
        <v>7808</v>
      </c>
      <c r="AA326" s="61">
        <f>SUM(AA235:AA269)</f>
        <v>107</v>
      </c>
      <c r="AB326" s="53">
        <f t="shared" ref="AB326:AG326" si="130">SUM(AB235:AB269)</f>
        <v>5348</v>
      </c>
      <c r="AC326" s="53">
        <f t="shared" si="130"/>
        <v>16</v>
      </c>
      <c r="AD326" s="53">
        <f t="shared" si="130"/>
        <v>1015</v>
      </c>
      <c r="AE326" s="53">
        <f t="shared" si="130"/>
        <v>0</v>
      </c>
      <c r="AF326" s="53">
        <f t="shared" si="130"/>
        <v>0</v>
      </c>
      <c r="AG326" s="53">
        <f t="shared" si="130"/>
        <v>11590</v>
      </c>
      <c r="AH326" s="145">
        <f t="shared" si="122"/>
        <v>18076</v>
      </c>
      <c r="AI326" s="61">
        <f>SUM(AI235:AI269)</f>
        <v>247</v>
      </c>
      <c r="AJ326" s="53">
        <f t="shared" ref="AJ326:AO326" si="131">SUM(AJ235:AJ269)</f>
        <v>5672</v>
      </c>
      <c r="AK326" s="53">
        <f t="shared" si="131"/>
        <v>16</v>
      </c>
      <c r="AL326" s="53">
        <f t="shared" si="131"/>
        <v>1315</v>
      </c>
      <c r="AM326" s="53">
        <f t="shared" si="131"/>
        <v>0</v>
      </c>
      <c r="AN326" s="53">
        <f t="shared" si="131"/>
        <v>0</v>
      </c>
      <c r="AO326" s="53">
        <f t="shared" si="131"/>
        <v>11690</v>
      </c>
      <c r="AP326" s="145">
        <f t="shared" si="124"/>
        <v>18940</v>
      </c>
      <c r="AQ326" s="61">
        <f>SUM(AQ235:AQ269)</f>
        <v>255</v>
      </c>
      <c r="AR326" s="53">
        <f t="shared" ref="AR326:AW326" si="132">SUM(AR235:AR269)</f>
        <v>6000</v>
      </c>
      <c r="AS326" s="53">
        <f t="shared" si="132"/>
        <v>16</v>
      </c>
      <c r="AT326" s="53">
        <f t="shared" si="132"/>
        <v>1015</v>
      </c>
      <c r="AU326" s="53">
        <f t="shared" si="132"/>
        <v>0</v>
      </c>
      <c r="AV326" s="53">
        <f t="shared" si="132"/>
        <v>0</v>
      </c>
      <c r="AW326" s="53">
        <f t="shared" si="132"/>
        <v>11825</v>
      </c>
      <c r="AX326" s="145">
        <f t="shared" si="126"/>
        <v>19111</v>
      </c>
      <c r="AY326" s="61">
        <f>SUM(AY235:AY269)</f>
        <v>718</v>
      </c>
      <c r="AZ326" s="53">
        <f t="shared" ref="AZ326:BE326" si="133">SUM(AZ235:AZ269)</f>
        <v>22044</v>
      </c>
      <c r="BA326" s="53">
        <f t="shared" si="133"/>
        <v>64</v>
      </c>
      <c r="BB326" s="53">
        <f t="shared" si="133"/>
        <v>4355</v>
      </c>
      <c r="BC326" s="53">
        <f t="shared" si="133"/>
        <v>0</v>
      </c>
      <c r="BD326" s="53">
        <f t="shared" si="133"/>
        <v>0</v>
      </c>
      <c r="BE326" s="53">
        <f t="shared" si="133"/>
        <v>36754</v>
      </c>
      <c r="BF326" s="145">
        <f t="shared" si="128"/>
        <v>63935</v>
      </c>
    </row>
    <row r="327" spans="4:60" x14ac:dyDescent="0.25">
      <c r="L327" s="65" t="s">
        <v>782</v>
      </c>
      <c r="M327" s="691" t="s">
        <v>820</v>
      </c>
      <c r="N327" s="692"/>
      <c r="O327" s="692"/>
      <c r="P327" s="692"/>
      <c r="Q327" s="692"/>
      <c r="R327" s="693"/>
      <c r="S327" s="61">
        <f>SUM(S270:S286)</f>
        <v>0</v>
      </c>
      <c r="T327" s="53">
        <f t="shared" ref="T327:Y327" si="134">SUM(T270:T286)</f>
        <v>12576</v>
      </c>
      <c r="U327" s="53">
        <f t="shared" si="134"/>
        <v>0</v>
      </c>
      <c r="V327" s="53">
        <f t="shared" si="134"/>
        <v>10</v>
      </c>
      <c r="W327" s="53">
        <f t="shared" si="134"/>
        <v>0</v>
      </c>
      <c r="X327" s="53">
        <f t="shared" si="134"/>
        <v>0</v>
      </c>
      <c r="Y327" s="53">
        <f t="shared" si="134"/>
        <v>0</v>
      </c>
      <c r="Z327" s="145">
        <f t="shared" si="120"/>
        <v>12586</v>
      </c>
      <c r="AA327" s="61">
        <f>SUM(AA270:AA286)</f>
        <v>55</v>
      </c>
      <c r="AB327" s="53">
        <f t="shared" ref="AB327:AG327" si="135">SUM(AB270:AB286)</f>
        <v>12851</v>
      </c>
      <c r="AC327" s="53">
        <f t="shared" si="135"/>
        <v>16</v>
      </c>
      <c r="AD327" s="53">
        <f t="shared" si="135"/>
        <v>30</v>
      </c>
      <c r="AE327" s="53">
        <f t="shared" si="135"/>
        <v>0</v>
      </c>
      <c r="AF327" s="53">
        <f t="shared" si="135"/>
        <v>0</v>
      </c>
      <c r="AG327" s="53">
        <f t="shared" si="135"/>
        <v>125</v>
      </c>
      <c r="AH327" s="145">
        <f t="shared" si="122"/>
        <v>13077</v>
      </c>
      <c r="AI327" s="61">
        <f>SUM(AI270:AI286)</f>
        <v>140</v>
      </c>
      <c r="AJ327" s="53">
        <f t="shared" ref="AJ327:AO327" si="136">SUM(AJ270:AJ286)</f>
        <v>13146</v>
      </c>
      <c r="AK327" s="53">
        <f t="shared" si="136"/>
        <v>16</v>
      </c>
      <c r="AL327" s="53">
        <f t="shared" si="136"/>
        <v>10</v>
      </c>
      <c r="AM327" s="53">
        <f t="shared" si="136"/>
        <v>0</v>
      </c>
      <c r="AN327" s="53">
        <f t="shared" si="136"/>
        <v>0</v>
      </c>
      <c r="AO327" s="53">
        <f t="shared" si="136"/>
        <v>130</v>
      </c>
      <c r="AP327" s="145">
        <f t="shared" si="124"/>
        <v>13442</v>
      </c>
      <c r="AQ327" s="61">
        <f>SUM(AQ270:AQ286)</f>
        <v>160</v>
      </c>
      <c r="AR327" s="53">
        <f t="shared" ref="AR327:AW327" si="137">SUM(AR270:AR286)</f>
        <v>13951</v>
      </c>
      <c r="AS327" s="53">
        <f t="shared" si="137"/>
        <v>0</v>
      </c>
      <c r="AT327" s="53">
        <f t="shared" si="137"/>
        <v>10</v>
      </c>
      <c r="AU327" s="53">
        <f t="shared" si="137"/>
        <v>0</v>
      </c>
      <c r="AV327" s="53">
        <f t="shared" si="137"/>
        <v>0</v>
      </c>
      <c r="AW327" s="53">
        <f t="shared" si="137"/>
        <v>0</v>
      </c>
      <c r="AX327" s="145">
        <f t="shared" si="126"/>
        <v>14121</v>
      </c>
      <c r="AY327" s="61">
        <f>SUM(AY270:AY286)</f>
        <v>355</v>
      </c>
      <c r="AZ327" s="53">
        <f t="shared" ref="AZ327:BE327" si="138">SUM(AZ270:AZ286)</f>
        <v>52524</v>
      </c>
      <c r="BA327" s="53">
        <f t="shared" si="138"/>
        <v>32</v>
      </c>
      <c r="BB327" s="53">
        <f t="shared" si="138"/>
        <v>60</v>
      </c>
      <c r="BC327" s="53">
        <f t="shared" si="138"/>
        <v>0</v>
      </c>
      <c r="BD327" s="53">
        <f t="shared" si="138"/>
        <v>0</v>
      </c>
      <c r="BE327" s="53">
        <f t="shared" si="138"/>
        <v>255</v>
      </c>
      <c r="BF327" s="145">
        <f t="shared" si="128"/>
        <v>53226</v>
      </c>
    </row>
    <row r="328" spans="4:60" x14ac:dyDescent="0.25">
      <c r="L328" s="65" t="s">
        <v>783</v>
      </c>
      <c r="M328" s="691" t="s">
        <v>764</v>
      </c>
      <c r="N328" s="692"/>
      <c r="O328" s="692"/>
      <c r="P328" s="692"/>
      <c r="Q328" s="692"/>
      <c r="R328" s="693"/>
      <c r="S328" s="61">
        <f>SUM(S287:S295)</f>
        <v>100</v>
      </c>
      <c r="T328" s="53">
        <f t="shared" ref="T328:Y328" si="139">SUM(T287:T295)</f>
        <v>56</v>
      </c>
      <c r="U328" s="53">
        <f t="shared" si="139"/>
        <v>0</v>
      </c>
      <c r="V328" s="53">
        <f t="shared" si="139"/>
        <v>25</v>
      </c>
      <c r="W328" s="53">
        <f t="shared" si="139"/>
        <v>0</v>
      </c>
      <c r="X328" s="53">
        <f t="shared" si="139"/>
        <v>0</v>
      </c>
      <c r="Y328" s="53">
        <f t="shared" si="139"/>
        <v>0</v>
      </c>
      <c r="Z328" s="145">
        <f t="shared" si="120"/>
        <v>181</v>
      </c>
      <c r="AA328" s="61">
        <f>SUM(AA287:AA295)</f>
        <v>51</v>
      </c>
      <c r="AB328" s="53">
        <f t="shared" ref="AB328:AG328" si="140">SUM(AB287:AB295)</f>
        <v>56</v>
      </c>
      <c r="AC328" s="53">
        <f t="shared" si="140"/>
        <v>0</v>
      </c>
      <c r="AD328" s="53">
        <f t="shared" si="140"/>
        <v>95</v>
      </c>
      <c r="AE328" s="53">
        <f t="shared" si="140"/>
        <v>0</v>
      </c>
      <c r="AF328" s="53">
        <f t="shared" si="140"/>
        <v>0</v>
      </c>
      <c r="AG328" s="53">
        <f t="shared" si="140"/>
        <v>0</v>
      </c>
      <c r="AH328" s="145">
        <f t="shared" si="122"/>
        <v>202</v>
      </c>
      <c r="AI328" s="61">
        <f>SUM(AI287:AI295)</f>
        <v>124</v>
      </c>
      <c r="AJ328" s="53">
        <f t="shared" ref="AJ328:AO328" si="141">SUM(AJ287:AJ295)</f>
        <v>56</v>
      </c>
      <c r="AK328" s="53">
        <f t="shared" si="141"/>
        <v>0</v>
      </c>
      <c r="AL328" s="53">
        <f t="shared" si="141"/>
        <v>175</v>
      </c>
      <c r="AM328" s="53">
        <f t="shared" si="141"/>
        <v>0</v>
      </c>
      <c r="AN328" s="53">
        <f t="shared" si="141"/>
        <v>0</v>
      </c>
      <c r="AO328" s="53">
        <f t="shared" si="141"/>
        <v>0</v>
      </c>
      <c r="AP328" s="145">
        <f t="shared" si="124"/>
        <v>355</v>
      </c>
      <c r="AQ328" s="61">
        <f>SUM(AQ287:AQ295)</f>
        <v>124</v>
      </c>
      <c r="AR328" s="53">
        <f t="shared" ref="AR328:AW328" si="142">SUM(AR287:AR295)</f>
        <v>56</v>
      </c>
      <c r="AS328" s="53">
        <f t="shared" si="142"/>
        <v>0</v>
      </c>
      <c r="AT328" s="53">
        <f t="shared" si="142"/>
        <v>175</v>
      </c>
      <c r="AU328" s="53">
        <f t="shared" si="142"/>
        <v>0</v>
      </c>
      <c r="AV328" s="53">
        <f t="shared" si="142"/>
        <v>0</v>
      </c>
      <c r="AW328" s="53">
        <f t="shared" si="142"/>
        <v>0</v>
      </c>
      <c r="AX328" s="145">
        <f t="shared" si="126"/>
        <v>355</v>
      </c>
      <c r="AY328" s="61">
        <f>SUM(AY287:AY295)</f>
        <v>399</v>
      </c>
      <c r="AZ328" s="53">
        <f t="shared" ref="AZ328:BE328" si="143">SUM(AZ287:AZ295)</f>
        <v>224</v>
      </c>
      <c r="BA328" s="53">
        <f t="shared" si="143"/>
        <v>0</v>
      </c>
      <c r="BB328" s="53">
        <f t="shared" si="143"/>
        <v>470</v>
      </c>
      <c r="BC328" s="53">
        <f t="shared" si="143"/>
        <v>0</v>
      </c>
      <c r="BD328" s="53">
        <f t="shared" si="143"/>
        <v>0</v>
      </c>
      <c r="BE328" s="53">
        <f t="shared" si="143"/>
        <v>0</v>
      </c>
      <c r="BF328" s="145">
        <f t="shared" si="128"/>
        <v>1093</v>
      </c>
    </row>
    <row r="329" spans="4:60" x14ac:dyDescent="0.25">
      <c r="L329" s="65" t="s">
        <v>784</v>
      </c>
      <c r="M329" s="691" t="s">
        <v>767</v>
      </c>
      <c r="N329" s="692"/>
      <c r="O329" s="692"/>
      <c r="P329" s="692"/>
      <c r="Q329" s="692"/>
      <c r="R329" s="693"/>
      <c r="S329" s="61">
        <f>SUM(S296:S303)</f>
        <v>0</v>
      </c>
      <c r="T329" s="53">
        <f t="shared" ref="T329:Y329" si="144">SUM(T296:T303)</f>
        <v>3057</v>
      </c>
      <c r="U329" s="53">
        <f t="shared" si="144"/>
        <v>38</v>
      </c>
      <c r="V329" s="53">
        <f t="shared" si="144"/>
        <v>530</v>
      </c>
      <c r="W329" s="53">
        <f t="shared" si="144"/>
        <v>80</v>
      </c>
      <c r="X329" s="53">
        <f t="shared" si="144"/>
        <v>0</v>
      </c>
      <c r="Y329" s="53">
        <f t="shared" si="144"/>
        <v>0</v>
      </c>
      <c r="Z329" s="145">
        <f t="shared" si="120"/>
        <v>3705</v>
      </c>
      <c r="AA329" s="61">
        <f>SUM(AA296:AA303)</f>
        <v>0</v>
      </c>
      <c r="AB329" s="53">
        <f t="shared" ref="AB329:AG329" si="145">SUM(AB296:AB303)</f>
        <v>3288</v>
      </c>
      <c r="AC329" s="53">
        <f t="shared" si="145"/>
        <v>34</v>
      </c>
      <c r="AD329" s="53">
        <f t="shared" si="145"/>
        <v>530</v>
      </c>
      <c r="AE329" s="53">
        <f t="shared" si="145"/>
        <v>82</v>
      </c>
      <c r="AF329" s="53">
        <f t="shared" si="145"/>
        <v>0</v>
      </c>
      <c r="AG329" s="53">
        <f t="shared" si="145"/>
        <v>0</v>
      </c>
      <c r="AH329" s="145">
        <f t="shared" si="122"/>
        <v>3934</v>
      </c>
      <c r="AI329" s="61">
        <f>SUM(AI296:AI303)</f>
        <v>27</v>
      </c>
      <c r="AJ329" s="53">
        <f t="shared" ref="AJ329:AO329" si="146">SUM(AJ296:AJ303)</f>
        <v>3519</v>
      </c>
      <c r="AK329" s="53">
        <f t="shared" si="146"/>
        <v>34</v>
      </c>
      <c r="AL329" s="53">
        <f t="shared" si="146"/>
        <v>530</v>
      </c>
      <c r="AM329" s="53">
        <f t="shared" si="146"/>
        <v>86</v>
      </c>
      <c r="AN329" s="53">
        <f t="shared" si="146"/>
        <v>0</v>
      </c>
      <c r="AO329" s="53">
        <f t="shared" si="146"/>
        <v>0</v>
      </c>
      <c r="AP329" s="145">
        <f t="shared" si="124"/>
        <v>4196</v>
      </c>
      <c r="AQ329" s="61">
        <f>SUM(AQ296:AQ303)</f>
        <v>25</v>
      </c>
      <c r="AR329" s="53">
        <f t="shared" ref="AR329:AW329" si="147">SUM(AR296:AR303)</f>
        <v>3750</v>
      </c>
      <c r="AS329" s="53">
        <f t="shared" si="147"/>
        <v>34</v>
      </c>
      <c r="AT329" s="53">
        <f t="shared" si="147"/>
        <v>530</v>
      </c>
      <c r="AU329" s="53">
        <f t="shared" si="147"/>
        <v>90</v>
      </c>
      <c r="AV329" s="53">
        <f t="shared" si="147"/>
        <v>0</v>
      </c>
      <c r="AW329" s="53">
        <f t="shared" si="147"/>
        <v>0</v>
      </c>
      <c r="AX329" s="145">
        <f t="shared" si="126"/>
        <v>4429</v>
      </c>
      <c r="AY329" s="61">
        <f>SUM(AY296:AY303)</f>
        <v>52</v>
      </c>
      <c r="AZ329" s="53">
        <f t="shared" ref="AZ329:BE329" si="148">SUM(AZ296:AZ303)</f>
        <v>13614</v>
      </c>
      <c r="BA329" s="53">
        <f t="shared" si="148"/>
        <v>140</v>
      </c>
      <c r="BB329" s="53">
        <f t="shared" si="148"/>
        <v>2120</v>
      </c>
      <c r="BC329" s="53">
        <f t="shared" si="148"/>
        <v>338</v>
      </c>
      <c r="BD329" s="53">
        <f t="shared" si="148"/>
        <v>0</v>
      </c>
      <c r="BE329" s="53">
        <f t="shared" si="148"/>
        <v>0</v>
      </c>
      <c r="BF329" s="145">
        <f t="shared" si="128"/>
        <v>16264</v>
      </c>
    </row>
    <row r="330" spans="4:60" x14ac:dyDescent="0.25">
      <c r="L330" s="65" t="s">
        <v>785</v>
      </c>
      <c r="M330" s="691" t="s">
        <v>821</v>
      </c>
      <c r="N330" s="692"/>
      <c r="O330" s="692"/>
      <c r="P330" s="692"/>
      <c r="Q330" s="692"/>
      <c r="R330" s="693"/>
      <c r="S330" s="61">
        <f>SUM(S304:S306)</f>
        <v>0</v>
      </c>
      <c r="T330" s="53">
        <f t="shared" ref="T330:Y330" si="149">SUM(T304:T306)</f>
        <v>0</v>
      </c>
      <c r="U330" s="53">
        <f t="shared" si="149"/>
        <v>312</v>
      </c>
      <c r="V330" s="53">
        <f t="shared" si="149"/>
        <v>35</v>
      </c>
      <c r="W330" s="53">
        <f t="shared" si="149"/>
        <v>0</v>
      </c>
      <c r="X330" s="53">
        <f t="shared" si="149"/>
        <v>0</v>
      </c>
      <c r="Y330" s="53">
        <f t="shared" si="149"/>
        <v>35</v>
      </c>
      <c r="Z330" s="145">
        <f t="shared" si="120"/>
        <v>382</v>
      </c>
      <c r="AA330" s="61">
        <f>SUM(AA304:AA306)</f>
        <v>0</v>
      </c>
      <c r="AB330" s="53">
        <f t="shared" ref="AB330:AG330" si="150">SUM(AB304:AB306)</f>
        <v>0</v>
      </c>
      <c r="AC330" s="53">
        <f t="shared" si="150"/>
        <v>312</v>
      </c>
      <c r="AD330" s="53">
        <f t="shared" si="150"/>
        <v>36</v>
      </c>
      <c r="AE330" s="53">
        <f t="shared" si="150"/>
        <v>0</v>
      </c>
      <c r="AF330" s="53">
        <f t="shared" si="150"/>
        <v>0</v>
      </c>
      <c r="AG330" s="53">
        <f t="shared" si="150"/>
        <v>36</v>
      </c>
      <c r="AH330" s="145">
        <f t="shared" si="122"/>
        <v>384</v>
      </c>
      <c r="AI330" s="61">
        <f>SUM(AI304:AI306)</f>
        <v>0</v>
      </c>
      <c r="AJ330" s="53">
        <f t="shared" ref="AJ330:AO330" si="151">SUM(AJ304:AJ306)</f>
        <v>0</v>
      </c>
      <c r="AK330" s="53">
        <f t="shared" si="151"/>
        <v>312</v>
      </c>
      <c r="AL330" s="53">
        <f t="shared" si="151"/>
        <v>37</v>
      </c>
      <c r="AM330" s="53">
        <f t="shared" si="151"/>
        <v>0</v>
      </c>
      <c r="AN330" s="53">
        <f t="shared" si="151"/>
        <v>0</v>
      </c>
      <c r="AO330" s="53">
        <f t="shared" si="151"/>
        <v>37</v>
      </c>
      <c r="AP330" s="145">
        <f t="shared" si="124"/>
        <v>386</v>
      </c>
      <c r="AQ330" s="61">
        <f>SUM(AQ304:AQ306)</f>
        <v>0</v>
      </c>
      <c r="AR330" s="53">
        <f t="shared" ref="AR330:AW330" si="152">SUM(AR304:AR306)</f>
        <v>0</v>
      </c>
      <c r="AS330" s="53">
        <f t="shared" si="152"/>
        <v>312</v>
      </c>
      <c r="AT330" s="53">
        <f t="shared" si="152"/>
        <v>38</v>
      </c>
      <c r="AU330" s="53">
        <f t="shared" si="152"/>
        <v>0</v>
      </c>
      <c r="AV330" s="53">
        <f t="shared" si="152"/>
        <v>0</v>
      </c>
      <c r="AW330" s="53">
        <f t="shared" si="152"/>
        <v>38</v>
      </c>
      <c r="AX330" s="145">
        <f t="shared" si="126"/>
        <v>388</v>
      </c>
      <c r="AY330" s="61">
        <f>SUM(AY304:AY306)</f>
        <v>0</v>
      </c>
      <c r="AZ330" s="53">
        <f t="shared" ref="AZ330:BE330" si="153">SUM(AZ304:AZ306)</f>
        <v>0</v>
      </c>
      <c r="BA330" s="53">
        <f t="shared" si="153"/>
        <v>1248</v>
      </c>
      <c r="BB330" s="53">
        <f t="shared" si="153"/>
        <v>146</v>
      </c>
      <c r="BC330" s="53">
        <f t="shared" si="153"/>
        <v>0</v>
      </c>
      <c r="BD330" s="53">
        <f t="shared" si="153"/>
        <v>0</v>
      </c>
      <c r="BE330" s="53">
        <f t="shared" si="153"/>
        <v>146</v>
      </c>
      <c r="BF330" s="145">
        <f t="shared" si="128"/>
        <v>1540</v>
      </c>
    </row>
    <row r="331" spans="4:60" x14ac:dyDescent="0.25">
      <c r="L331" s="65" t="s">
        <v>786</v>
      </c>
      <c r="M331" s="694" t="s">
        <v>946</v>
      </c>
      <c r="N331" s="692"/>
      <c r="O331" s="692"/>
      <c r="P331" s="692"/>
      <c r="Q331" s="692"/>
      <c r="R331" s="693"/>
      <c r="S331" s="61">
        <f>SUM(S307:S310)</f>
        <v>5</v>
      </c>
      <c r="T331" s="53">
        <f t="shared" ref="T331:Y331" si="154">SUM(T307:T310)</f>
        <v>304</v>
      </c>
      <c r="U331" s="53">
        <f t="shared" si="154"/>
        <v>0</v>
      </c>
      <c r="V331" s="53">
        <f t="shared" si="154"/>
        <v>30</v>
      </c>
      <c r="W331" s="53">
        <f t="shared" si="154"/>
        <v>0</v>
      </c>
      <c r="X331" s="53">
        <f t="shared" si="154"/>
        <v>0</v>
      </c>
      <c r="Y331" s="53">
        <f t="shared" si="154"/>
        <v>0</v>
      </c>
      <c r="Z331" s="145">
        <f t="shared" si="120"/>
        <v>339</v>
      </c>
      <c r="AA331" s="61">
        <f>SUM(AA307:AA310)</f>
        <v>5</v>
      </c>
      <c r="AB331" s="53">
        <f t="shared" ref="AB331:AG331" si="155">SUM(AB307:AB310)</f>
        <v>342</v>
      </c>
      <c r="AC331" s="53">
        <f t="shared" si="155"/>
        <v>0</v>
      </c>
      <c r="AD331" s="53">
        <f t="shared" si="155"/>
        <v>30</v>
      </c>
      <c r="AE331" s="53">
        <f t="shared" si="155"/>
        <v>0</v>
      </c>
      <c r="AF331" s="53">
        <f t="shared" si="155"/>
        <v>0</v>
      </c>
      <c r="AG331" s="53">
        <f t="shared" si="155"/>
        <v>0</v>
      </c>
      <c r="AH331" s="145">
        <f t="shared" si="122"/>
        <v>377</v>
      </c>
      <c r="AI331" s="61">
        <f>SUM(AI307:AI310)</f>
        <v>35</v>
      </c>
      <c r="AJ331" s="53">
        <f t="shared" ref="AJ331:AO331" si="156">SUM(AJ307:AJ310)</f>
        <v>380</v>
      </c>
      <c r="AK331" s="53">
        <f t="shared" si="156"/>
        <v>0</v>
      </c>
      <c r="AL331" s="53">
        <f t="shared" si="156"/>
        <v>30</v>
      </c>
      <c r="AM331" s="53">
        <f t="shared" si="156"/>
        <v>0</v>
      </c>
      <c r="AN331" s="53">
        <f t="shared" si="156"/>
        <v>0</v>
      </c>
      <c r="AO331" s="53">
        <f t="shared" si="156"/>
        <v>0</v>
      </c>
      <c r="AP331" s="145">
        <f t="shared" si="124"/>
        <v>445</v>
      </c>
      <c r="AQ331" s="61">
        <f>SUM(AQ307:AQ310)</f>
        <v>35</v>
      </c>
      <c r="AR331" s="53">
        <f t="shared" ref="AR331:AW331" si="157">SUM(AR307:AR310)</f>
        <v>420</v>
      </c>
      <c r="AS331" s="53">
        <f t="shared" si="157"/>
        <v>0</v>
      </c>
      <c r="AT331" s="53">
        <f t="shared" si="157"/>
        <v>30</v>
      </c>
      <c r="AU331" s="53">
        <f t="shared" si="157"/>
        <v>0</v>
      </c>
      <c r="AV331" s="53">
        <f t="shared" si="157"/>
        <v>0</v>
      </c>
      <c r="AW331" s="53">
        <f t="shared" si="157"/>
        <v>0</v>
      </c>
      <c r="AX331" s="145">
        <f t="shared" si="126"/>
        <v>485</v>
      </c>
      <c r="AY331" s="61">
        <f>SUM(AY307:AY310)</f>
        <v>80</v>
      </c>
      <c r="AZ331" s="53">
        <f t="shared" ref="AZ331:BE331" si="158">SUM(AZ307:AZ310)</f>
        <v>1446</v>
      </c>
      <c r="BA331" s="53">
        <f t="shared" si="158"/>
        <v>0</v>
      </c>
      <c r="BB331" s="53">
        <f t="shared" si="158"/>
        <v>120</v>
      </c>
      <c r="BC331" s="53">
        <f t="shared" si="158"/>
        <v>0</v>
      </c>
      <c r="BD331" s="53">
        <f t="shared" si="158"/>
        <v>0</v>
      </c>
      <c r="BE331" s="53">
        <f t="shared" si="158"/>
        <v>0</v>
      </c>
      <c r="BF331" s="145">
        <f t="shared" si="128"/>
        <v>1646</v>
      </c>
    </row>
    <row r="332" spans="4:60" x14ac:dyDescent="0.25">
      <c r="L332" s="65" t="s">
        <v>787</v>
      </c>
      <c r="M332" s="691" t="s">
        <v>822</v>
      </c>
      <c r="N332" s="692"/>
      <c r="O332" s="692"/>
      <c r="P332" s="692"/>
      <c r="Q332" s="692"/>
      <c r="R332" s="693"/>
      <c r="S332" s="61">
        <f>SUM(S311:S313)</f>
        <v>0</v>
      </c>
      <c r="T332" s="53">
        <f t="shared" ref="T332:Y332" si="159">SUM(T311:T313)</f>
        <v>2</v>
      </c>
      <c r="U332" s="53">
        <f t="shared" si="159"/>
        <v>0</v>
      </c>
      <c r="V332" s="53">
        <f t="shared" si="159"/>
        <v>0</v>
      </c>
      <c r="W332" s="53">
        <f t="shared" si="159"/>
        <v>0</v>
      </c>
      <c r="X332" s="53">
        <f t="shared" si="159"/>
        <v>0</v>
      </c>
      <c r="Y332" s="53">
        <f t="shared" si="159"/>
        <v>0</v>
      </c>
      <c r="Z332" s="145">
        <f t="shared" si="120"/>
        <v>2</v>
      </c>
      <c r="AA332" s="61">
        <f>SUM(AA311:AA313)</f>
        <v>0</v>
      </c>
      <c r="AB332" s="53">
        <f t="shared" ref="AB332:AG332" si="160">SUM(AB311:AB313)</f>
        <v>2</v>
      </c>
      <c r="AC332" s="53">
        <f t="shared" si="160"/>
        <v>0</v>
      </c>
      <c r="AD332" s="53">
        <f t="shared" si="160"/>
        <v>0</v>
      </c>
      <c r="AE332" s="53">
        <f t="shared" si="160"/>
        <v>0</v>
      </c>
      <c r="AF332" s="53">
        <f t="shared" si="160"/>
        <v>0</v>
      </c>
      <c r="AG332" s="53">
        <f t="shared" si="160"/>
        <v>0</v>
      </c>
      <c r="AH332" s="145">
        <f t="shared" si="122"/>
        <v>2</v>
      </c>
      <c r="AI332" s="61">
        <f>SUM(AI311:AI313)</f>
        <v>32</v>
      </c>
      <c r="AJ332" s="53">
        <f t="shared" ref="AJ332:AO332" si="161">SUM(AJ311:AJ313)</f>
        <v>2</v>
      </c>
      <c r="AK332" s="53">
        <f t="shared" si="161"/>
        <v>0</v>
      </c>
      <c r="AL332" s="53">
        <f t="shared" si="161"/>
        <v>0</v>
      </c>
      <c r="AM332" s="53">
        <f t="shared" si="161"/>
        <v>0</v>
      </c>
      <c r="AN332" s="53">
        <f t="shared" si="161"/>
        <v>0</v>
      </c>
      <c r="AO332" s="53">
        <f t="shared" si="161"/>
        <v>0</v>
      </c>
      <c r="AP332" s="145">
        <f t="shared" si="124"/>
        <v>34</v>
      </c>
      <c r="AQ332" s="61">
        <f>SUM(AQ311:AQ313)</f>
        <v>7</v>
      </c>
      <c r="AR332" s="53">
        <f t="shared" ref="AR332:AW332" si="162">SUM(AR311:AR313)</f>
        <v>2</v>
      </c>
      <c r="AS332" s="53">
        <f t="shared" si="162"/>
        <v>0</v>
      </c>
      <c r="AT332" s="53">
        <f t="shared" si="162"/>
        <v>0</v>
      </c>
      <c r="AU332" s="53">
        <f t="shared" si="162"/>
        <v>0</v>
      </c>
      <c r="AV332" s="53">
        <f t="shared" si="162"/>
        <v>0</v>
      </c>
      <c r="AW332" s="53">
        <f t="shared" si="162"/>
        <v>0</v>
      </c>
      <c r="AX332" s="145">
        <f t="shared" si="126"/>
        <v>9</v>
      </c>
      <c r="AY332" s="61">
        <f>SUM(AY311:AY313)</f>
        <v>39</v>
      </c>
      <c r="AZ332" s="53">
        <f t="shared" ref="AZ332:BE332" si="163">SUM(AZ311:AZ313)</f>
        <v>8</v>
      </c>
      <c r="BA332" s="53">
        <f t="shared" si="163"/>
        <v>0</v>
      </c>
      <c r="BB332" s="53">
        <f t="shared" si="163"/>
        <v>0</v>
      </c>
      <c r="BC332" s="53">
        <f t="shared" si="163"/>
        <v>0</v>
      </c>
      <c r="BD332" s="53">
        <f t="shared" si="163"/>
        <v>0</v>
      </c>
      <c r="BE332" s="53">
        <f t="shared" si="163"/>
        <v>0</v>
      </c>
      <c r="BF332" s="145">
        <f t="shared" si="128"/>
        <v>47</v>
      </c>
    </row>
    <row r="333" spans="4:60" ht="14.25" thickBot="1" x14ac:dyDescent="0.3">
      <c r="L333" s="65" t="s">
        <v>945</v>
      </c>
      <c r="M333" s="696" t="s">
        <v>773</v>
      </c>
      <c r="N333" s="697"/>
      <c r="O333" s="697"/>
      <c r="P333" s="697"/>
      <c r="Q333" s="697"/>
      <c r="R333" s="698"/>
      <c r="S333" s="59">
        <f>SUM(S314:S317)</f>
        <v>0</v>
      </c>
      <c r="T333" s="60">
        <f t="shared" ref="T333:Y333" si="164">SUM(T314:T317)</f>
        <v>0</v>
      </c>
      <c r="U333" s="60">
        <f t="shared" si="164"/>
        <v>0</v>
      </c>
      <c r="V333" s="60">
        <f t="shared" si="164"/>
        <v>0</v>
      </c>
      <c r="W333" s="60">
        <f t="shared" si="164"/>
        <v>0</v>
      </c>
      <c r="X333" s="60">
        <f t="shared" si="164"/>
        <v>0</v>
      </c>
      <c r="Y333" s="60">
        <f t="shared" si="164"/>
        <v>400</v>
      </c>
      <c r="Z333" s="146">
        <f t="shared" si="120"/>
        <v>400</v>
      </c>
      <c r="AA333" s="59">
        <f>SUM(AA314:AA317)</f>
        <v>0</v>
      </c>
      <c r="AB333" s="60">
        <f t="shared" ref="AB333:AG333" si="165">SUM(AB314:AB317)</f>
        <v>0</v>
      </c>
      <c r="AC333" s="60">
        <f t="shared" si="165"/>
        <v>0</v>
      </c>
      <c r="AD333" s="60">
        <f t="shared" si="165"/>
        <v>200</v>
      </c>
      <c r="AE333" s="60">
        <f t="shared" si="165"/>
        <v>0</v>
      </c>
      <c r="AF333" s="60">
        <f t="shared" si="165"/>
        <v>0</v>
      </c>
      <c r="AG333" s="60">
        <f t="shared" si="165"/>
        <v>251</v>
      </c>
      <c r="AH333" s="146">
        <f t="shared" si="122"/>
        <v>451</v>
      </c>
      <c r="AI333" s="59">
        <f>SUM(AI314:AI317)</f>
        <v>100</v>
      </c>
      <c r="AJ333" s="60">
        <f t="shared" ref="AJ333:AO333" si="166">SUM(AJ314:AJ317)</f>
        <v>0</v>
      </c>
      <c r="AK333" s="60">
        <f t="shared" si="166"/>
        <v>0</v>
      </c>
      <c r="AL333" s="60">
        <f t="shared" si="166"/>
        <v>200</v>
      </c>
      <c r="AM333" s="60">
        <f t="shared" si="166"/>
        <v>0</v>
      </c>
      <c r="AN333" s="60">
        <f t="shared" si="166"/>
        <v>0</v>
      </c>
      <c r="AO333" s="60">
        <f t="shared" si="166"/>
        <v>251</v>
      </c>
      <c r="AP333" s="146">
        <f t="shared" si="124"/>
        <v>551</v>
      </c>
      <c r="AQ333" s="59">
        <f>SUM(AQ314:AQ317)</f>
        <v>100</v>
      </c>
      <c r="AR333" s="60">
        <f t="shared" ref="AR333:AW333" si="167">SUM(AR314:AR317)</f>
        <v>0</v>
      </c>
      <c r="AS333" s="60">
        <f t="shared" si="167"/>
        <v>0</v>
      </c>
      <c r="AT333" s="60">
        <f t="shared" si="167"/>
        <v>200</v>
      </c>
      <c r="AU333" s="60">
        <f t="shared" si="167"/>
        <v>0</v>
      </c>
      <c r="AV333" s="60">
        <f t="shared" si="167"/>
        <v>0</v>
      </c>
      <c r="AW333" s="60">
        <f t="shared" si="167"/>
        <v>251</v>
      </c>
      <c r="AX333" s="146">
        <f t="shared" si="126"/>
        <v>551</v>
      </c>
      <c r="AY333" s="59">
        <f>SUM(AY314:AY317)</f>
        <v>200</v>
      </c>
      <c r="AZ333" s="60">
        <f t="shared" ref="AZ333:BE333" si="168">SUM(AZ314:AZ317)</f>
        <v>0</v>
      </c>
      <c r="BA333" s="60">
        <f t="shared" si="168"/>
        <v>0</v>
      </c>
      <c r="BB333" s="60">
        <f t="shared" si="168"/>
        <v>600</v>
      </c>
      <c r="BC333" s="60">
        <f t="shared" si="168"/>
        <v>0</v>
      </c>
      <c r="BD333" s="60">
        <f t="shared" si="168"/>
        <v>0</v>
      </c>
      <c r="BE333" s="60">
        <f t="shared" si="168"/>
        <v>1153</v>
      </c>
      <c r="BF333" s="146">
        <f t="shared" si="128"/>
        <v>1953</v>
      </c>
    </row>
    <row r="334" spans="4:60" ht="14.25" thickBot="1" x14ac:dyDescent="0.3">
      <c r="M334" s="685" t="s">
        <v>823</v>
      </c>
      <c r="N334" s="686"/>
      <c r="O334" s="686"/>
      <c r="P334" s="686"/>
      <c r="Q334" s="686"/>
      <c r="R334" s="687"/>
      <c r="S334" s="141">
        <f>SUM(S323:S333)</f>
        <v>238</v>
      </c>
      <c r="T334" s="142">
        <f t="shared" ref="T334:BF334" si="169">SUM(T323:T333)</f>
        <v>357938.92</v>
      </c>
      <c r="U334" s="142">
        <f t="shared" si="169"/>
        <v>8801</v>
      </c>
      <c r="V334" s="142">
        <f t="shared" si="169"/>
        <v>93142.39999999998</v>
      </c>
      <c r="W334" s="142">
        <f t="shared" si="169"/>
        <v>702</v>
      </c>
      <c r="X334" s="142">
        <f t="shared" si="169"/>
        <v>580</v>
      </c>
      <c r="Y334" s="142">
        <f t="shared" si="169"/>
        <v>71801.600000000006</v>
      </c>
      <c r="Z334" s="143">
        <f t="shared" si="169"/>
        <v>533203.91999999993</v>
      </c>
      <c r="AA334" s="54">
        <f t="shared" si="169"/>
        <v>579</v>
      </c>
      <c r="AB334" s="55">
        <f t="shared" si="169"/>
        <v>341989.05440000002</v>
      </c>
      <c r="AC334" s="55">
        <f t="shared" si="169"/>
        <v>9270</v>
      </c>
      <c r="AD334" s="55">
        <f t="shared" si="169"/>
        <v>4844</v>
      </c>
      <c r="AE334" s="55">
        <f t="shared" si="169"/>
        <v>729</v>
      </c>
      <c r="AF334" s="55">
        <f t="shared" si="169"/>
        <v>66177.8</v>
      </c>
      <c r="AG334" s="55">
        <f t="shared" si="169"/>
        <v>91512.7</v>
      </c>
      <c r="AH334" s="56">
        <f t="shared" si="169"/>
        <v>515101.55440000002</v>
      </c>
      <c r="AI334" s="54">
        <f t="shared" si="169"/>
        <v>1120</v>
      </c>
      <c r="AJ334" s="55">
        <f t="shared" si="169"/>
        <v>339843.50948800001</v>
      </c>
      <c r="AK334" s="55">
        <f t="shared" si="169"/>
        <v>8816</v>
      </c>
      <c r="AL334" s="55">
        <f t="shared" si="169"/>
        <v>5911</v>
      </c>
      <c r="AM334" s="55">
        <f t="shared" si="169"/>
        <v>759</v>
      </c>
      <c r="AN334" s="55">
        <f t="shared" si="169"/>
        <v>44176.5</v>
      </c>
      <c r="AO334" s="55">
        <f t="shared" si="169"/>
        <v>101180</v>
      </c>
      <c r="AP334" s="56">
        <f t="shared" si="169"/>
        <v>501806.00948799995</v>
      </c>
      <c r="AQ334" s="54">
        <f t="shared" si="169"/>
        <v>1157</v>
      </c>
      <c r="AR334" s="55">
        <f t="shared" si="169"/>
        <v>341747.7</v>
      </c>
      <c r="AS334" s="55">
        <f t="shared" si="169"/>
        <v>8840</v>
      </c>
      <c r="AT334" s="55">
        <f t="shared" si="169"/>
        <v>4481</v>
      </c>
      <c r="AU334" s="55">
        <f t="shared" si="169"/>
        <v>790</v>
      </c>
      <c r="AV334" s="55">
        <f t="shared" si="169"/>
        <v>3800</v>
      </c>
      <c r="AW334" s="55">
        <f t="shared" si="169"/>
        <v>103169</v>
      </c>
      <c r="AX334" s="56">
        <f t="shared" si="169"/>
        <v>463984.7</v>
      </c>
      <c r="AY334" s="140">
        <f t="shared" si="169"/>
        <v>3094</v>
      </c>
      <c r="AZ334" s="55">
        <f t="shared" si="169"/>
        <v>1381519.183888</v>
      </c>
      <c r="BA334" s="55">
        <f t="shared" si="169"/>
        <v>35727</v>
      </c>
      <c r="BB334" s="55">
        <f t="shared" si="169"/>
        <v>108378.39999999998</v>
      </c>
      <c r="BC334" s="55">
        <f t="shared" si="169"/>
        <v>2980</v>
      </c>
      <c r="BD334" s="55">
        <f t="shared" si="169"/>
        <v>114734.29999999997</v>
      </c>
      <c r="BE334" s="55">
        <f t="shared" si="169"/>
        <v>367663.3</v>
      </c>
      <c r="BF334" s="56">
        <f t="shared" si="169"/>
        <v>2014096.183888</v>
      </c>
      <c r="BG334" s="57"/>
    </row>
    <row r="335" spans="4:60" x14ac:dyDescent="0.25">
      <c r="S335" s="120">
        <f>+S318-S334</f>
        <v>0</v>
      </c>
      <c r="T335" s="120">
        <f t="shared" ref="T335:Z335" si="170">+T318-T334</f>
        <v>0</v>
      </c>
      <c r="U335" s="120">
        <f t="shared" si="170"/>
        <v>0</v>
      </c>
      <c r="V335" s="120">
        <f t="shared" si="170"/>
        <v>0</v>
      </c>
      <c r="W335" s="120">
        <f t="shared" si="170"/>
        <v>0</v>
      </c>
      <c r="X335" s="120">
        <f t="shared" si="170"/>
        <v>0</v>
      </c>
      <c r="Y335" s="120">
        <f t="shared" si="170"/>
        <v>0</v>
      </c>
      <c r="Z335" s="120">
        <f t="shared" si="170"/>
        <v>0</v>
      </c>
      <c r="AA335" s="120">
        <f t="shared" ref="AA335:BF335" si="171">+AA318-AA334</f>
        <v>0</v>
      </c>
      <c r="AB335" s="120">
        <f t="shared" si="171"/>
        <v>0</v>
      </c>
      <c r="AC335" s="120">
        <f t="shared" si="171"/>
        <v>0</v>
      </c>
      <c r="AD335" s="120">
        <f t="shared" si="171"/>
        <v>0</v>
      </c>
      <c r="AE335" s="120">
        <f t="shared" si="171"/>
        <v>0</v>
      </c>
      <c r="AF335" s="120">
        <f t="shared" si="171"/>
        <v>0</v>
      </c>
      <c r="AG335" s="120">
        <f t="shared" si="171"/>
        <v>0</v>
      </c>
      <c r="AH335" s="120">
        <f t="shared" si="171"/>
        <v>0</v>
      </c>
      <c r="AI335" s="120">
        <f t="shared" si="171"/>
        <v>0</v>
      </c>
      <c r="AJ335" s="120">
        <f t="shared" si="171"/>
        <v>0</v>
      </c>
      <c r="AK335" s="120">
        <f t="shared" si="171"/>
        <v>0</v>
      </c>
      <c r="AL335" s="120">
        <f t="shared" si="171"/>
        <v>0</v>
      </c>
      <c r="AM335" s="120">
        <f t="shared" si="171"/>
        <v>0</v>
      </c>
      <c r="AN335" s="120">
        <f t="shared" si="171"/>
        <v>0</v>
      </c>
      <c r="AO335" s="120">
        <f t="shared" si="171"/>
        <v>0</v>
      </c>
      <c r="AP335" s="120">
        <f t="shared" si="171"/>
        <v>0</v>
      </c>
      <c r="AQ335" s="120">
        <f t="shared" si="171"/>
        <v>0</v>
      </c>
      <c r="AR335" s="120">
        <f t="shared" si="171"/>
        <v>0</v>
      </c>
      <c r="AS335" s="120">
        <f t="shared" si="171"/>
        <v>0</v>
      </c>
      <c r="AT335" s="120">
        <f t="shared" si="171"/>
        <v>0</v>
      </c>
      <c r="AU335" s="120">
        <f t="shared" si="171"/>
        <v>0</v>
      </c>
      <c r="AV335" s="120">
        <f t="shared" si="171"/>
        <v>0</v>
      </c>
      <c r="AW335" s="120">
        <f t="shared" si="171"/>
        <v>0</v>
      </c>
      <c r="AX335" s="120">
        <f t="shared" si="171"/>
        <v>0</v>
      </c>
      <c r="AY335" s="120">
        <f t="shared" si="171"/>
        <v>0</v>
      </c>
      <c r="AZ335" s="120">
        <f t="shared" si="171"/>
        <v>0</v>
      </c>
      <c r="BA335" s="120">
        <f t="shared" si="171"/>
        <v>0</v>
      </c>
      <c r="BB335" s="120">
        <f t="shared" si="171"/>
        <v>0</v>
      </c>
      <c r="BC335" s="120">
        <f t="shared" si="171"/>
        <v>0</v>
      </c>
      <c r="BD335" s="120">
        <f t="shared" si="171"/>
        <v>0</v>
      </c>
      <c r="BE335" s="120">
        <f t="shared" si="171"/>
        <v>0</v>
      </c>
      <c r="BF335" s="120">
        <f t="shared" si="171"/>
        <v>0</v>
      </c>
    </row>
    <row r="336" spans="4:60" x14ac:dyDescent="0.25">
      <c r="T336" s="120"/>
    </row>
  </sheetData>
  <protectedRanges>
    <protectedRange sqref="K116:K118" name="Rango5_1_3_1"/>
    <protectedRange sqref="K116:L118" name="Rango6_5_1"/>
    <protectedRange sqref="L119" name="Rango6_7_1"/>
    <protectedRange sqref="L120" name="Rango6_1_2_5"/>
    <protectedRange sqref="L121:L122" name="Rango6_1_2_1_1"/>
    <protectedRange sqref="L123" name="Rango6_1_2_1_1_1"/>
    <protectedRange sqref="K124" name="Rango5_1_5_3"/>
    <protectedRange sqref="K124:L124" name="Rango6_1_2_2_1"/>
    <protectedRange sqref="K125:K126" name="Rango5_1_5_1_1"/>
    <protectedRange sqref="K125:L125 K126" name="Rango6_1_2_3_1"/>
    <protectedRange sqref="L126" name="Rango6_2_1_1_1"/>
    <protectedRange sqref="K127" name="Rango5_1_5_2_1"/>
    <protectedRange sqref="K127:L127" name="Rango6_1_2_4_1"/>
    <protectedRange sqref="K128:K129" name="Rango5_1_5_2_2"/>
    <protectedRange sqref="K128:L129" name="Rango6_1_2_4_2"/>
    <protectedRange sqref="L131" name="Rango6_2_2_1"/>
    <protectedRange sqref="K130" name="Rango5_1_1_1_1_1"/>
    <protectedRange sqref="K130" name="Rango6_1_1_1_1"/>
    <protectedRange sqref="L130" name="Rango6_2_1_4_1"/>
    <protectedRange sqref="L132" name="Rango6_1_2_4_3"/>
    <protectedRange sqref="K134" name="Rango5_1_1_1_1_2"/>
    <protectedRange sqref="K134" name="Rango6_1_1_1_2"/>
    <protectedRange sqref="L134" name="Rango6_2_1_4_2"/>
    <protectedRange sqref="K146:K149" name="Rango5_1_4"/>
    <protectedRange sqref="K146:L146 K147:K149" name="Rango6_6"/>
    <protectedRange sqref="K150:K151" name="Rango5_1_2_1"/>
    <protectedRange sqref="K150:L150 K151" name="Rango6_4_1"/>
    <protectedRange sqref="L148" name="Rango6_1_2_1_2"/>
    <protectedRange sqref="L151 L147 L149" name="Rango6_1_2_4_4"/>
    <protectedRange sqref="L153:L154" name="Rango6_1_2_1_3"/>
    <protectedRange sqref="L152" name="Rango6_1_2_4_5"/>
    <protectedRange sqref="K155" name="Rango5_1_1_2"/>
    <protectedRange sqref="K155" name="Rango6_1_3"/>
    <protectedRange sqref="L155" name="Rango6_2_1"/>
    <protectedRange sqref="L156:L157" name="Rango6_2_1_2_1"/>
    <protectedRange sqref="K156:K157" name="Rango5_1_1_1_1_3"/>
    <protectedRange sqref="K156:K157" name="Rango6_1_1_1_3"/>
    <protectedRange sqref="L162" name="Rango6_8"/>
    <protectedRange sqref="K159:K161" name="Rango5_1_1_1_2"/>
    <protectedRange sqref="K159:K161" name="Rango6_1_1_2"/>
    <protectedRange sqref="L159:L161" name="Rango6_2_1_2_2"/>
    <protectedRange sqref="K158" name="Rango5_1_1_1_1_4"/>
    <protectedRange sqref="K158" name="Rango6_1_1_1_4"/>
    <protectedRange sqref="L158" name="Rango6_2_1_4_3"/>
    <protectedRange sqref="L170" name="Rango6_9"/>
    <protectedRange sqref="L163:L167 L169 L171" name="Rango6_2_1_3_1"/>
    <protectedRange sqref="L168" name="Rango6_3_1"/>
    <protectedRange sqref="L174:L179" name="Rango6_10"/>
    <protectedRange sqref="L173" name="Rango6_2_1_3_2"/>
    <protectedRange sqref="K294" name="Rango5_1_4_1_1"/>
    <protectedRange sqref="K294" name="Rango6_6_1_1"/>
    <protectedRange sqref="L294" name="Rango6_2_1_3_3"/>
  </protectedRanges>
  <autoFilter ref="A3:BU318">
    <filterColumn colId="7" showButton="0"/>
  </autoFilter>
  <mergeCells count="353">
    <mergeCell ref="BD6:BD7"/>
    <mergeCell ref="BE6:BE7"/>
    <mergeCell ref="BF6:BF7"/>
    <mergeCell ref="AV6:AV7"/>
    <mergeCell ref="AW6:AW7"/>
    <mergeCell ref="AH6:AH7"/>
    <mergeCell ref="AP6:AP7"/>
    <mergeCell ref="AX6:AX7"/>
    <mergeCell ref="AY6:AY7"/>
    <mergeCell ref="AZ6:AZ7"/>
    <mergeCell ref="BA6:BA7"/>
    <mergeCell ref="BB6:BB7"/>
    <mergeCell ref="AL6:AL7"/>
    <mergeCell ref="AM6:AM7"/>
    <mergeCell ref="AN6:AN7"/>
    <mergeCell ref="AO6:AO7"/>
    <mergeCell ref="AQ6:AQ7"/>
    <mergeCell ref="AR6:AR7"/>
    <mergeCell ref="BC6:BC7"/>
    <mergeCell ref="AS6:AS7"/>
    <mergeCell ref="AT6:AT7"/>
    <mergeCell ref="AU6:AU7"/>
    <mergeCell ref="AC6:AC7"/>
    <mergeCell ref="AD6:AD7"/>
    <mergeCell ref="AE6:AE7"/>
    <mergeCell ref="AF6:AF7"/>
    <mergeCell ref="AG6:AG7"/>
    <mergeCell ref="AI6:AI7"/>
    <mergeCell ref="AJ6:AJ7"/>
    <mergeCell ref="AK6:AK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E80:E82"/>
    <mergeCell ref="D119:D122"/>
    <mergeCell ref="H77:H79"/>
    <mergeCell ref="I77:I79"/>
    <mergeCell ref="H294:H295"/>
    <mergeCell ref="F185:F189"/>
    <mergeCell ref="F190:F191"/>
    <mergeCell ref="D172:D174"/>
    <mergeCell ref="D152:D157"/>
    <mergeCell ref="D158:D162"/>
    <mergeCell ref="E158:E162"/>
    <mergeCell ref="F158:F162"/>
    <mergeCell ref="I294:I295"/>
    <mergeCell ref="G270:G286"/>
    <mergeCell ref="I237:I258"/>
    <mergeCell ref="F144:F145"/>
    <mergeCell ref="F142:F143"/>
    <mergeCell ref="F214:F215"/>
    <mergeCell ref="F209:F212"/>
    <mergeCell ref="E209:E212"/>
    <mergeCell ref="E214:E215"/>
    <mergeCell ref="E152:E157"/>
    <mergeCell ref="E168:E171"/>
    <mergeCell ref="D80:D82"/>
    <mergeCell ref="K6:K7"/>
    <mergeCell ref="I228:I229"/>
    <mergeCell ref="I80:I141"/>
    <mergeCell ref="D4:D77"/>
    <mergeCell ref="H6:H10"/>
    <mergeCell ref="D83:D102"/>
    <mergeCell ref="G124:G127"/>
    <mergeCell ref="E142:E143"/>
    <mergeCell ref="I6:I10"/>
    <mergeCell ref="E4:E77"/>
    <mergeCell ref="F4:F77"/>
    <mergeCell ref="D144:D145"/>
    <mergeCell ref="E144:E145"/>
    <mergeCell ref="G88:G102"/>
    <mergeCell ref="G104:G115"/>
    <mergeCell ref="I142:I143"/>
    <mergeCell ref="H11:H76"/>
    <mergeCell ref="I11:I76"/>
    <mergeCell ref="G84:G85"/>
    <mergeCell ref="D78:D79"/>
    <mergeCell ref="E78:E79"/>
    <mergeCell ref="F78:F79"/>
    <mergeCell ref="G78:G79"/>
    <mergeCell ref="E226:E234"/>
    <mergeCell ref="C226:C234"/>
    <mergeCell ref="H146:H179"/>
    <mergeCell ref="B226:B234"/>
    <mergeCell ref="E104:E115"/>
    <mergeCell ref="E136:E140"/>
    <mergeCell ref="E119:E122"/>
    <mergeCell ref="F124:F127"/>
    <mergeCell ref="F235:F269"/>
    <mergeCell ref="E296:E303"/>
    <mergeCell ref="F294:F295"/>
    <mergeCell ref="F296:F303"/>
    <mergeCell ref="D226:D234"/>
    <mergeCell ref="H277:H279"/>
    <mergeCell ref="H259:H264"/>
    <mergeCell ref="G119:G122"/>
    <mergeCell ref="F116:F118"/>
    <mergeCell ref="E132:E135"/>
    <mergeCell ref="H80:H141"/>
    <mergeCell ref="E116:E118"/>
    <mergeCell ref="D103:D115"/>
    <mergeCell ref="D136:D140"/>
    <mergeCell ref="D116:D118"/>
    <mergeCell ref="F119:F122"/>
    <mergeCell ref="B4:B145"/>
    <mergeCell ref="C304:C306"/>
    <mergeCell ref="C270:C286"/>
    <mergeCell ref="E185:E189"/>
    <mergeCell ref="D287:D293"/>
    <mergeCell ref="E287:E293"/>
    <mergeCell ref="B311:B313"/>
    <mergeCell ref="B314:B317"/>
    <mergeCell ref="C314:C317"/>
    <mergeCell ref="C296:C303"/>
    <mergeCell ref="B304:B306"/>
    <mergeCell ref="B307:B310"/>
    <mergeCell ref="C307:C310"/>
    <mergeCell ref="D307:D310"/>
    <mergeCell ref="E307:E310"/>
    <mergeCell ref="B235:B269"/>
    <mergeCell ref="C235:C269"/>
    <mergeCell ref="D235:D269"/>
    <mergeCell ref="E235:E269"/>
    <mergeCell ref="B296:B303"/>
    <mergeCell ref="B287:B295"/>
    <mergeCell ref="B270:B286"/>
    <mergeCell ref="C287:C295"/>
    <mergeCell ref="E192:E208"/>
    <mergeCell ref="D185:D189"/>
    <mergeCell ref="A318:C318"/>
    <mergeCell ref="E304:E306"/>
    <mergeCell ref="D294:D295"/>
    <mergeCell ref="E294:E295"/>
    <mergeCell ref="D314:D317"/>
    <mergeCell ref="E314:E317"/>
    <mergeCell ref="F314:F317"/>
    <mergeCell ref="D304:D306"/>
    <mergeCell ref="G294:G295"/>
    <mergeCell ref="A4:A317"/>
    <mergeCell ref="G80:G82"/>
    <mergeCell ref="F80:F82"/>
    <mergeCell ref="B146:B225"/>
    <mergeCell ref="D311:D313"/>
    <mergeCell ref="C311:C313"/>
    <mergeCell ref="D296:D303"/>
    <mergeCell ref="D270:D286"/>
    <mergeCell ref="D192:D208"/>
    <mergeCell ref="F192:F208"/>
    <mergeCell ref="E270:E286"/>
    <mergeCell ref="F270:F286"/>
    <mergeCell ref="C146:C225"/>
    <mergeCell ref="F146:F151"/>
    <mergeCell ref="E180:E181"/>
    <mergeCell ref="M334:R334"/>
    <mergeCell ref="M323:R323"/>
    <mergeCell ref="M324:R324"/>
    <mergeCell ref="M325:R325"/>
    <mergeCell ref="M326:R326"/>
    <mergeCell ref="M327:R327"/>
    <mergeCell ref="G311:G313"/>
    <mergeCell ref="G296:G303"/>
    <mergeCell ref="G304:G306"/>
    <mergeCell ref="M330:R330"/>
    <mergeCell ref="M332:R332"/>
    <mergeCell ref="H296:H303"/>
    <mergeCell ref="I296:I303"/>
    <mergeCell ref="H304:H306"/>
    <mergeCell ref="M331:R331"/>
    <mergeCell ref="M333:R333"/>
    <mergeCell ref="M322:R322"/>
    <mergeCell ref="M320:R321"/>
    <mergeCell ref="M328:R328"/>
    <mergeCell ref="M329:R329"/>
    <mergeCell ref="H318:J318"/>
    <mergeCell ref="E318:G318"/>
    <mergeCell ref="G314:G317"/>
    <mergeCell ref="F307:F310"/>
    <mergeCell ref="C2:C3"/>
    <mergeCell ref="S1:BF1"/>
    <mergeCell ref="AY2:BF2"/>
    <mergeCell ref="S2:Z2"/>
    <mergeCell ref="AA2:AH2"/>
    <mergeCell ref="AI2:AP2"/>
    <mergeCell ref="AQ2:AX2"/>
    <mergeCell ref="A1:R1"/>
    <mergeCell ref="A2:A3"/>
    <mergeCell ref="D2:G2"/>
    <mergeCell ref="O2:R2"/>
    <mergeCell ref="K2:N2"/>
    <mergeCell ref="J2:J3"/>
    <mergeCell ref="H2:I3"/>
    <mergeCell ref="B2:B3"/>
    <mergeCell ref="J80:J82"/>
    <mergeCell ref="G116:G118"/>
    <mergeCell ref="G136:G140"/>
    <mergeCell ref="I180:I213"/>
    <mergeCell ref="I214:I215"/>
    <mergeCell ref="J142:J143"/>
    <mergeCell ref="J230:J231"/>
    <mergeCell ref="J103:J115"/>
    <mergeCell ref="G158:G162"/>
    <mergeCell ref="J116:J135"/>
    <mergeCell ref="J83:J102"/>
    <mergeCell ref="G128:G131"/>
    <mergeCell ref="J4:J5"/>
    <mergeCell ref="J11:J32"/>
    <mergeCell ref="J33:J50"/>
    <mergeCell ref="J51:J75"/>
    <mergeCell ref="J6:J7"/>
    <mergeCell ref="J8:J9"/>
    <mergeCell ref="G4:G77"/>
    <mergeCell ref="H4:H5"/>
    <mergeCell ref="I4:I5"/>
    <mergeCell ref="J237:J251"/>
    <mergeCell ref="J232:J233"/>
    <mergeCell ref="H142:H143"/>
    <mergeCell ref="H144:H145"/>
    <mergeCell ref="G144:G145"/>
    <mergeCell ref="H228:H229"/>
    <mergeCell ref="G142:G143"/>
    <mergeCell ref="J228:J229"/>
    <mergeCell ref="J221:J223"/>
    <mergeCell ref="J144:J145"/>
    <mergeCell ref="J163:J171"/>
    <mergeCell ref="J172:J174"/>
    <mergeCell ref="J224:J225"/>
    <mergeCell ref="J209:J212"/>
    <mergeCell ref="J175:J179"/>
    <mergeCell ref="H237:H258"/>
    <mergeCell ref="J252:J258"/>
    <mergeCell ref="G235:G269"/>
    <mergeCell ref="H235:H236"/>
    <mergeCell ref="I235:I236"/>
    <mergeCell ref="I230:I233"/>
    <mergeCell ref="H230:H233"/>
    <mergeCell ref="E311:E313"/>
    <mergeCell ref="F311:F313"/>
    <mergeCell ref="J277:J279"/>
    <mergeCell ref="H275:H276"/>
    <mergeCell ref="I275:I276"/>
    <mergeCell ref="J275:J276"/>
    <mergeCell ref="H270:H274"/>
    <mergeCell ref="I270:I274"/>
    <mergeCell ref="J270:J274"/>
    <mergeCell ref="J294:J295"/>
    <mergeCell ref="F287:F293"/>
    <mergeCell ref="G287:G293"/>
    <mergeCell ref="H288:H291"/>
    <mergeCell ref="I288:I291"/>
    <mergeCell ref="J288:J291"/>
    <mergeCell ref="H280:H285"/>
    <mergeCell ref="I280:I285"/>
    <mergeCell ref="J280:J285"/>
    <mergeCell ref="H292:H293"/>
    <mergeCell ref="I292:I293"/>
    <mergeCell ref="J292:J293"/>
    <mergeCell ref="G307:G310"/>
    <mergeCell ref="H307:H310"/>
    <mergeCell ref="AI321:AP321"/>
    <mergeCell ref="S321:Z321"/>
    <mergeCell ref="AQ321:AX321"/>
    <mergeCell ref="S320:BF320"/>
    <mergeCell ref="AY321:BF321"/>
    <mergeCell ref="J262:J264"/>
    <mergeCell ref="H265:H269"/>
    <mergeCell ref="I265:I269"/>
    <mergeCell ref="K318:R318"/>
    <mergeCell ref="AA321:AH321"/>
    <mergeCell ref="J265:J268"/>
    <mergeCell ref="J307:J310"/>
    <mergeCell ref="J304:J306"/>
    <mergeCell ref="I259:I264"/>
    <mergeCell ref="J259:J261"/>
    <mergeCell ref="I307:I310"/>
    <mergeCell ref="I304:I306"/>
    <mergeCell ref="I277:I279"/>
    <mergeCell ref="J297:J300"/>
    <mergeCell ref="K228:K229"/>
    <mergeCell ref="J180:J208"/>
    <mergeCell ref="I216:I225"/>
    <mergeCell ref="I144:I145"/>
    <mergeCell ref="F304:F306"/>
    <mergeCell ref="C4:C145"/>
    <mergeCell ref="D128:D131"/>
    <mergeCell ref="G190:G191"/>
    <mergeCell ref="G152:G157"/>
    <mergeCell ref="E128:E131"/>
    <mergeCell ref="F128:F131"/>
    <mergeCell ref="D190:D191"/>
    <mergeCell ref="E190:E191"/>
    <mergeCell ref="D180:D181"/>
    <mergeCell ref="E146:E151"/>
    <mergeCell ref="F180:F181"/>
    <mergeCell ref="D146:D151"/>
    <mergeCell ref="F152:F157"/>
    <mergeCell ref="D142:D143"/>
    <mergeCell ref="D132:D135"/>
    <mergeCell ref="F136:F140"/>
    <mergeCell ref="D124:D127"/>
    <mergeCell ref="D163:D167"/>
    <mergeCell ref="G132:G135"/>
    <mergeCell ref="D221:D223"/>
    <mergeCell ref="E221:E223"/>
    <mergeCell ref="F221:F223"/>
    <mergeCell ref="G221:G223"/>
    <mergeCell ref="E172:E174"/>
    <mergeCell ref="F172:F174"/>
    <mergeCell ref="F168:F171"/>
    <mergeCell ref="D168:D171"/>
    <mergeCell ref="D216:D220"/>
    <mergeCell ref="D175:D179"/>
    <mergeCell ref="G216:G220"/>
    <mergeCell ref="D209:D212"/>
    <mergeCell ref="D214:D215"/>
    <mergeCell ref="E216:E220"/>
    <mergeCell ref="E88:E102"/>
    <mergeCell ref="F88:F102"/>
    <mergeCell ref="F104:F115"/>
    <mergeCell ref="E124:E127"/>
    <mergeCell ref="E84:E85"/>
    <mergeCell ref="F84:F85"/>
    <mergeCell ref="H180:H213"/>
    <mergeCell ref="H214:H215"/>
    <mergeCell ref="E163:E167"/>
    <mergeCell ref="E175:E179"/>
    <mergeCell ref="F226:F234"/>
    <mergeCell ref="G226:G234"/>
    <mergeCell ref="I146:I179"/>
    <mergeCell ref="H216:H225"/>
    <mergeCell ref="F132:F135"/>
    <mergeCell ref="J136:J140"/>
    <mergeCell ref="J146:J162"/>
    <mergeCell ref="F163:F167"/>
    <mergeCell ref="G146:G151"/>
    <mergeCell ref="J216:J220"/>
    <mergeCell ref="F216:F220"/>
    <mergeCell ref="F175:F179"/>
    <mergeCell ref="G175:G179"/>
    <mergeCell ref="G185:G189"/>
    <mergeCell ref="G163:G167"/>
    <mergeCell ref="G214:G215"/>
    <mergeCell ref="G172:G174"/>
    <mergeCell ref="G192:G208"/>
    <mergeCell ref="G209:G212"/>
    <mergeCell ref="G168:G171"/>
    <mergeCell ref="G180:G181"/>
  </mergeCells>
  <phoneticPr fontId="3" type="noConversion"/>
  <dataValidations disablePrompts="1" xWindow="195" yWindow="525" count="2">
    <dataValidation allowBlank="1" showInputMessage="1" showErrorMessage="1" promptTitle="Metas de producto del eje " prompt="Registre aquí todas las metas de producto que presenta el PST en el eje analizado." sqref="K294 K116:K118 K134 K146:K151 K155:K161 K124:K130"/>
    <dataValidation allowBlank="1" showInputMessage="1" showErrorMessage="1" promptTitle="Indicador" prompt="Registre el indicador para la meta de producto" sqref="L294 L173:L179 L132 L134 L146:L171 L116:L130"/>
  </dataValidations>
  <printOptions horizontalCentered="1"/>
  <pageMargins left="0.70866141732283472" right="0.70866141732283472" top="0.94488188976377963" bottom="0.74803149606299213" header="0.31496062992125984" footer="0.31496062992125984"/>
  <pageSetup paperSize="5" orientation="landscape" r:id="rId1"/>
  <headerFooter>
    <oddHeader>&amp;L&amp;"Arial Narrow,Normal"&amp;10DEPARTAMENTO DEL MAGDALENA&amp;C&amp;"Arial Narrow,Normal"&amp;10PLAN DE DESARROLLO 2012 - 2015&amp;R&amp;"Arial Narrow,Normal"&amp;10PLAN PLURIANUAL DE INVERSIONES (en millones $)</oddHeader>
    <oddFooter>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54"/>
  <sheetViews>
    <sheetView topLeftCell="D100" workbookViewId="0">
      <selection activeCell="K101" sqref="K101"/>
    </sheetView>
  </sheetViews>
  <sheetFormatPr baseColWidth="10" defaultColWidth="11.42578125" defaultRowHeight="13.5" x14ac:dyDescent="0.25"/>
  <cols>
    <col min="1" max="1" width="16.42578125" style="18" customWidth="1"/>
    <col min="2" max="2" width="3.85546875" style="26" customWidth="1"/>
    <col min="3" max="3" width="15.42578125" style="18" customWidth="1"/>
    <col min="4" max="4" width="15.5703125" style="18" customWidth="1"/>
    <col min="5" max="5" width="18.7109375" style="18" customWidth="1"/>
    <col min="6" max="6" width="10.28515625" style="18" bestFit="1" customWidth="1"/>
    <col min="7" max="7" width="10" style="18" customWidth="1"/>
    <col min="8" max="8" width="6.140625" style="26" customWidth="1"/>
    <col min="9" max="9" width="26.5703125" style="18" customWidth="1"/>
    <col min="10" max="10" width="11.140625" style="18" customWidth="1"/>
    <col min="11" max="11" width="18.7109375" style="18" customWidth="1"/>
    <col min="12" max="12" width="15.7109375" style="18" customWidth="1"/>
    <col min="13" max="13" width="11.42578125" style="18"/>
    <col min="14" max="14" width="11.140625" style="18" customWidth="1"/>
    <col min="15" max="18" width="5.7109375" style="18" customWidth="1"/>
    <col min="19" max="16384" width="11.42578125" style="18"/>
  </cols>
  <sheetData>
    <row r="1" spans="1:71" x14ac:dyDescent="0.25">
      <c r="A1" s="725" t="s">
        <v>735</v>
      </c>
      <c r="B1" s="726"/>
      <c r="C1" s="727"/>
      <c r="D1" s="727"/>
      <c r="E1" s="727"/>
      <c r="F1" s="727"/>
      <c r="G1" s="727"/>
      <c r="H1" s="727"/>
      <c r="I1" s="727"/>
      <c r="J1" s="727"/>
      <c r="K1" s="727"/>
      <c r="L1" s="727"/>
      <c r="M1" s="727"/>
      <c r="N1" s="727"/>
      <c r="O1" s="727"/>
      <c r="P1" s="727"/>
      <c r="Q1" s="727"/>
      <c r="R1" s="728"/>
      <c r="S1" s="729" t="s">
        <v>1115</v>
      </c>
      <c r="T1" s="729"/>
      <c r="U1" s="729"/>
      <c r="V1" s="729"/>
      <c r="W1" s="729"/>
      <c r="X1" s="729"/>
      <c r="Y1" s="729"/>
      <c r="Z1" s="729"/>
      <c r="AA1" s="729"/>
      <c r="AB1" s="729"/>
      <c r="AC1" s="729"/>
      <c r="AD1" s="729"/>
      <c r="AE1" s="729"/>
      <c r="AF1" s="729"/>
      <c r="AG1" s="729"/>
      <c r="AH1" s="729"/>
      <c r="AI1" s="729"/>
      <c r="AJ1" s="729"/>
      <c r="AK1" s="729"/>
      <c r="AL1" s="729"/>
      <c r="AM1" s="729"/>
      <c r="AN1" s="729"/>
      <c r="AO1" s="729"/>
      <c r="AP1" s="729"/>
      <c r="AQ1" s="729"/>
      <c r="AR1" s="729"/>
      <c r="AS1" s="729"/>
      <c r="AT1" s="729"/>
      <c r="AU1" s="729"/>
      <c r="AV1" s="729"/>
      <c r="AW1" s="729"/>
      <c r="AX1" s="729"/>
      <c r="AY1" s="729"/>
      <c r="AZ1" s="729"/>
      <c r="BA1" s="729"/>
      <c r="BB1" s="729"/>
      <c r="BC1" s="729"/>
      <c r="BD1" s="729"/>
      <c r="BE1" s="729"/>
      <c r="BF1" s="730"/>
    </row>
    <row r="2" spans="1:71" x14ac:dyDescent="0.25">
      <c r="A2" s="735" t="s">
        <v>717</v>
      </c>
      <c r="B2" s="731" t="s">
        <v>718</v>
      </c>
      <c r="C2" s="732"/>
      <c r="D2" s="731" t="s">
        <v>725</v>
      </c>
      <c r="E2" s="737"/>
      <c r="F2" s="737"/>
      <c r="G2" s="732"/>
      <c r="H2" s="731" t="s">
        <v>719</v>
      </c>
      <c r="I2" s="732"/>
      <c r="J2" s="741" t="s">
        <v>720</v>
      </c>
      <c r="K2" s="741" t="s">
        <v>726</v>
      </c>
      <c r="L2" s="741"/>
      <c r="M2" s="741"/>
      <c r="N2" s="741"/>
      <c r="O2" s="741" t="s">
        <v>727</v>
      </c>
      <c r="P2" s="741"/>
      <c r="Q2" s="741"/>
      <c r="R2" s="743"/>
      <c r="S2" s="744">
        <v>2012</v>
      </c>
      <c r="T2" s="738"/>
      <c r="U2" s="738"/>
      <c r="V2" s="738"/>
      <c r="W2" s="738"/>
      <c r="X2" s="738"/>
      <c r="Y2" s="738"/>
      <c r="Z2" s="738"/>
      <c r="AA2" s="738">
        <v>2013</v>
      </c>
      <c r="AB2" s="738"/>
      <c r="AC2" s="738"/>
      <c r="AD2" s="738"/>
      <c r="AE2" s="738"/>
      <c r="AF2" s="738"/>
      <c r="AG2" s="738"/>
      <c r="AH2" s="738"/>
      <c r="AI2" s="738">
        <v>2014</v>
      </c>
      <c r="AJ2" s="738"/>
      <c r="AK2" s="738"/>
      <c r="AL2" s="738"/>
      <c r="AM2" s="738"/>
      <c r="AN2" s="738"/>
      <c r="AO2" s="738"/>
      <c r="AP2" s="738"/>
      <c r="AQ2" s="738">
        <v>2015</v>
      </c>
      <c r="AR2" s="738"/>
      <c r="AS2" s="738"/>
      <c r="AT2" s="738"/>
      <c r="AU2" s="738"/>
      <c r="AV2" s="738"/>
      <c r="AW2" s="738"/>
      <c r="AX2" s="738"/>
      <c r="AY2" s="738" t="s">
        <v>734</v>
      </c>
      <c r="AZ2" s="738"/>
      <c r="BA2" s="738"/>
      <c r="BB2" s="738"/>
      <c r="BC2" s="738"/>
      <c r="BD2" s="738"/>
      <c r="BE2" s="739"/>
      <c r="BF2" s="740"/>
    </row>
    <row r="3" spans="1:71" ht="27.75" thickBot="1" x14ac:dyDescent="0.3">
      <c r="A3" s="736"/>
      <c r="B3" s="733"/>
      <c r="C3" s="734"/>
      <c r="D3" s="179" t="s">
        <v>89</v>
      </c>
      <c r="E3" s="179" t="s">
        <v>736</v>
      </c>
      <c r="F3" s="179" t="s">
        <v>723</v>
      </c>
      <c r="G3" s="179" t="s">
        <v>913</v>
      </c>
      <c r="H3" s="733"/>
      <c r="I3" s="734"/>
      <c r="J3" s="742"/>
      <c r="K3" s="179" t="s">
        <v>721</v>
      </c>
      <c r="L3" s="179" t="s">
        <v>722</v>
      </c>
      <c r="M3" s="179" t="s">
        <v>723</v>
      </c>
      <c r="N3" s="179" t="s">
        <v>724</v>
      </c>
      <c r="O3" s="92">
        <v>2012</v>
      </c>
      <c r="P3" s="92">
        <v>2013</v>
      </c>
      <c r="Q3" s="92">
        <v>2014</v>
      </c>
      <c r="R3" s="93">
        <v>2015</v>
      </c>
      <c r="S3" s="94" t="s">
        <v>1400</v>
      </c>
      <c r="T3" s="95" t="s">
        <v>728</v>
      </c>
      <c r="U3" s="95" t="s">
        <v>729</v>
      </c>
      <c r="V3" s="95" t="s">
        <v>937</v>
      </c>
      <c r="W3" s="95" t="s">
        <v>730</v>
      </c>
      <c r="X3" s="95" t="s">
        <v>731</v>
      </c>
      <c r="Y3" s="95" t="s">
        <v>732</v>
      </c>
      <c r="Z3" s="95" t="s">
        <v>733</v>
      </c>
      <c r="AA3" s="95" t="s">
        <v>1400</v>
      </c>
      <c r="AB3" s="95" t="s">
        <v>728</v>
      </c>
      <c r="AC3" s="95" t="s">
        <v>729</v>
      </c>
      <c r="AD3" s="95" t="s">
        <v>937</v>
      </c>
      <c r="AE3" s="95" t="s">
        <v>730</v>
      </c>
      <c r="AF3" s="95" t="s">
        <v>731</v>
      </c>
      <c r="AG3" s="95" t="s">
        <v>732</v>
      </c>
      <c r="AH3" s="95" t="s">
        <v>733</v>
      </c>
      <c r="AI3" s="95" t="s">
        <v>1400</v>
      </c>
      <c r="AJ3" s="95" t="s">
        <v>728</v>
      </c>
      <c r="AK3" s="95" t="s">
        <v>729</v>
      </c>
      <c r="AL3" s="95" t="s">
        <v>937</v>
      </c>
      <c r="AM3" s="95" t="s">
        <v>730</v>
      </c>
      <c r="AN3" s="95" t="s">
        <v>731</v>
      </c>
      <c r="AO3" s="95" t="s">
        <v>732</v>
      </c>
      <c r="AP3" s="95" t="s">
        <v>733</v>
      </c>
      <c r="AQ3" s="95" t="s">
        <v>1400</v>
      </c>
      <c r="AR3" s="95" t="s">
        <v>728</v>
      </c>
      <c r="AS3" s="95" t="s">
        <v>729</v>
      </c>
      <c r="AT3" s="95" t="s">
        <v>937</v>
      </c>
      <c r="AU3" s="95" t="s">
        <v>730</v>
      </c>
      <c r="AV3" s="95" t="s">
        <v>731</v>
      </c>
      <c r="AW3" s="95" t="s">
        <v>732</v>
      </c>
      <c r="AX3" s="95" t="s">
        <v>733</v>
      </c>
      <c r="AY3" s="95" t="s">
        <v>1400</v>
      </c>
      <c r="AZ3" s="95" t="s">
        <v>728</v>
      </c>
      <c r="BA3" s="95" t="s">
        <v>729</v>
      </c>
      <c r="BB3" s="95" t="s">
        <v>937</v>
      </c>
      <c r="BC3" s="95" t="s">
        <v>730</v>
      </c>
      <c r="BD3" s="95" t="s">
        <v>731</v>
      </c>
      <c r="BE3" s="96" t="s">
        <v>732</v>
      </c>
      <c r="BF3" s="97" t="s">
        <v>824</v>
      </c>
    </row>
    <row r="4" spans="1:71" s="19" customFormat="1" ht="55.5" customHeight="1" x14ac:dyDescent="0.25">
      <c r="A4" s="764" t="s">
        <v>1161</v>
      </c>
      <c r="B4" s="748" t="s">
        <v>830</v>
      </c>
      <c r="C4" s="751" t="s">
        <v>831</v>
      </c>
      <c r="D4" s="748"/>
      <c r="E4" s="758"/>
      <c r="F4" s="754"/>
      <c r="G4" s="754"/>
      <c r="H4" s="371" t="s">
        <v>832</v>
      </c>
      <c r="I4" s="371" t="s">
        <v>833</v>
      </c>
      <c r="J4" s="374"/>
      <c r="K4" s="374" t="s">
        <v>1230</v>
      </c>
      <c r="L4" s="369" t="s">
        <v>1231</v>
      </c>
      <c r="M4" s="374">
        <v>0</v>
      </c>
      <c r="N4" s="374">
        <v>1</v>
      </c>
      <c r="O4" s="374"/>
      <c r="P4" s="374"/>
      <c r="Q4" s="374">
        <v>1</v>
      </c>
      <c r="R4" s="148"/>
      <c r="S4" s="133"/>
      <c r="T4" s="124"/>
      <c r="U4" s="124"/>
      <c r="V4" s="124"/>
      <c r="W4" s="124"/>
      <c r="X4" s="124"/>
      <c r="Y4" s="124"/>
      <c r="Z4" s="124">
        <f t="shared" ref="Z4:Z68" si="0">SUM(S4:Y4)</f>
        <v>0</v>
      </c>
      <c r="AA4" s="124"/>
      <c r="AB4" s="124"/>
      <c r="AC4" s="124"/>
      <c r="AD4" s="124"/>
      <c r="AE4" s="124"/>
      <c r="AF4" s="124"/>
      <c r="AG4" s="124"/>
      <c r="AH4" s="124">
        <f t="shared" ref="AH4:AH68" si="1">SUM(AA4:AG4)</f>
        <v>0</v>
      </c>
      <c r="AI4" s="124"/>
      <c r="AJ4" s="124"/>
      <c r="AK4" s="124"/>
      <c r="AL4" s="124"/>
      <c r="AM4" s="124"/>
      <c r="AN4" s="124"/>
      <c r="AO4" s="124"/>
      <c r="AP4" s="124">
        <f t="shared" ref="AP4:AP68" si="2">SUM(AI4:AO4)</f>
        <v>0</v>
      </c>
      <c r="AQ4" s="124"/>
      <c r="AR4" s="124"/>
      <c r="AS4" s="124"/>
      <c r="AT4" s="124"/>
      <c r="AU4" s="124"/>
      <c r="AV4" s="124"/>
      <c r="AW4" s="124"/>
      <c r="AX4" s="124">
        <f t="shared" ref="AX4:AX68" si="3">SUM(AQ4:AW4)</f>
        <v>0</v>
      </c>
      <c r="AY4" s="124">
        <f t="shared" ref="AY4:BE19" si="4">+S4+AA4+AI4+AQ4</f>
        <v>0</v>
      </c>
      <c r="AZ4" s="124">
        <f t="shared" si="4"/>
        <v>0</v>
      </c>
      <c r="BA4" s="124">
        <f t="shared" si="4"/>
        <v>0</v>
      </c>
      <c r="BB4" s="124">
        <f t="shared" si="4"/>
        <v>0</v>
      </c>
      <c r="BC4" s="124">
        <f t="shared" si="4"/>
        <v>0</v>
      </c>
      <c r="BD4" s="124">
        <f t="shared" si="4"/>
        <v>0</v>
      </c>
      <c r="BE4" s="124">
        <f t="shared" si="4"/>
        <v>0</v>
      </c>
      <c r="BF4" s="277">
        <f>SUM(AY4:BE4)</f>
        <v>0</v>
      </c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</row>
    <row r="5" spans="1:71" s="19" customFormat="1" ht="54.75" thickBot="1" x14ac:dyDescent="0.3">
      <c r="A5" s="765"/>
      <c r="B5" s="757"/>
      <c r="C5" s="763"/>
      <c r="D5" s="757"/>
      <c r="E5" s="753"/>
      <c r="F5" s="750"/>
      <c r="G5" s="750"/>
      <c r="H5" s="375" t="s">
        <v>835</v>
      </c>
      <c r="I5" s="375" t="s">
        <v>834</v>
      </c>
      <c r="J5" s="376"/>
      <c r="K5" s="376" t="s">
        <v>1074</v>
      </c>
      <c r="L5" s="440" t="s">
        <v>1075</v>
      </c>
      <c r="M5" s="376">
        <v>0</v>
      </c>
      <c r="N5" s="376">
        <v>2</v>
      </c>
      <c r="O5" s="376">
        <v>1</v>
      </c>
      <c r="P5" s="376">
        <v>2</v>
      </c>
      <c r="Q5" s="376"/>
      <c r="R5" s="149"/>
      <c r="S5" s="139"/>
      <c r="T5" s="123"/>
      <c r="U5" s="123"/>
      <c r="V5" s="123"/>
      <c r="W5" s="123"/>
      <c r="X5" s="123"/>
      <c r="Y5" s="123"/>
      <c r="Z5" s="123">
        <f t="shared" si="0"/>
        <v>0</v>
      </c>
      <c r="AA5" s="123"/>
      <c r="AB5" s="123"/>
      <c r="AC5" s="123"/>
      <c r="AD5" s="123"/>
      <c r="AE5" s="123"/>
      <c r="AF5" s="123"/>
      <c r="AG5" s="123"/>
      <c r="AH5" s="123">
        <f t="shared" si="1"/>
        <v>0</v>
      </c>
      <c r="AI5" s="123"/>
      <c r="AJ5" s="123"/>
      <c r="AK5" s="123"/>
      <c r="AL5" s="123"/>
      <c r="AM5" s="123"/>
      <c r="AN5" s="123"/>
      <c r="AO5" s="123"/>
      <c r="AP5" s="123">
        <f t="shared" si="2"/>
        <v>0</v>
      </c>
      <c r="AQ5" s="123"/>
      <c r="AR5" s="123"/>
      <c r="AS5" s="123"/>
      <c r="AT5" s="123"/>
      <c r="AU5" s="123"/>
      <c r="AV5" s="123"/>
      <c r="AW5" s="123"/>
      <c r="AX5" s="123">
        <f t="shared" si="3"/>
        <v>0</v>
      </c>
      <c r="AY5" s="123">
        <f t="shared" si="4"/>
        <v>0</v>
      </c>
      <c r="AZ5" s="123">
        <f t="shared" si="4"/>
        <v>0</v>
      </c>
      <c r="BA5" s="123">
        <f t="shared" si="4"/>
        <v>0</v>
      </c>
      <c r="BB5" s="123">
        <f t="shared" si="4"/>
        <v>0</v>
      </c>
      <c r="BC5" s="123">
        <f t="shared" si="4"/>
        <v>0</v>
      </c>
      <c r="BD5" s="123">
        <f t="shared" si="4"/>
        <v>0</v>
      </c>
      <c r="BE5" s="123">
        <f t="shared" si="4"/>
        <v>0</v>
      </c>
      <c r="BF5" s="199">
        <f t="shared" ref="BF5:BF70" si="5">SUM(AY5:BE5)</f>
        <v>0</v>
      </c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</row>
    <row r="6" spans="1:71" s="19" customFormat="1" ht="81" x14ac:dyDescent="0.25">
      <c r="A6" s="765"/>
      <c r="B6" s="766" t="s">
        <v>836</v>
      </c>
      <c r="C6" s="769" t="s">
        <v>837</v>
      </c>
      <c r="D6" s="766"/>
      <c r="E6" s="772"/>
      <c r="F6" s="772"/>
      <c r="G6" s="772"/>
      <c r="H6" s="371" t="s">
        <v>838</v>
      </c>
      <c r="I6" s="371" t="s">
        <v>1078</v>
      </c>
      <c r="J6" s="374"/>
      <c r="K6" s="374" t="s">
        <v>1084</v>
      </c>
      <c r="L6" s="369" t="s">
        <v>1085</v>
      </c>
      <c r="M6" s="374">
        <v>0</v>
      </c>
      <c r="N6" s="374">
        <v>1</v>
      </c>
      <c r="O6" s="374"/>
      <c r="P6" s="374">
        <v>1</v>
      </c>
      <c r="Q6" s="374"/>
      <c r="R6" s="148"/>
      <c r="S6" s="133"/>
      <c r="T6" s="124"/>
      <c r="U6" s="124"/>
      <c r="V6" s="124"/>
      <c r="W6" s="124"/>
      <c r="X6" s="124"/>
      <c r="Y6" s="124"/>
      <c r="Z6" s="124">
        <f t="shared" si="0"/>
        <v>0</v>
      </c>
      <c r="AA6" s="124">
        <v>20</v>
      </c>
      <c r="AB6" s="124"/>
      <c r="AC6" s="124"/>
      <c r="AD6" s="124">
        <v>30</v>
      </c>
      <c r="AE6" s="124"/>
      <c r="AF6" s="124"/>
      <c r="AG6" s="124"/>
      <c r="AH6" s="124">
        <f t="shared" si="1"/>
        <v>50</v>
      </c>
      <c r="AI6" s="124"/>
      <c r="AJ6" s="124"/>
      <c r="AK6" s="124"/>
      <c r="AL6" s="124"/>
      <c r="AM6" s="124"/>
      <c r="AN6" s="124"/>
      <c r="AO6" s="124"/>
      <c r="AP6" s="124">
        <f t="shared" si="2"/>
        <v>0</v>
      </c>
      <c r="AQ6" s="124"/>
      <c r="AR6" s="124"/>
      <c r="AS6" s="124"/>
      <c r="AT6" s="124"/>
      <c r="AU6" s="124"/>
      <c r="AV6" s="124"/>
      <c r="AW6" s="124"/>
      <c r="AX6" s="124">
        <f t="shared" si="3"/>
        <v>0</v>
      </c>
      <c r="AY6" s="124">
        <f t="shared" si="4"/>
        <v>20</v>
      </c>
      <c r="AZ6" s="124">
        <f t="shared" si="4"/>
        <v>0</v>
      </c>
      <c r="BA6" s="124">
        <f t="shared" si="4"/>
        <v>0</v>
      </c>
      <c r="BB6" s="124">
        <f t="shared" si="4"/>
        <v>30</v>
      </c>
      <c r="BC6" s="124">
        <f t="shared" si="4"/>
        <v>0</v>
      </c>
      <c r="BD6" s="124">
        <f t="shared" si="4"/>
        <v>0</v>
      </c>
      <c r="BE6" s="124">
        <f t="shared" si="4"/>
        <v>0</v>
      </c>
      <c r="BF6" s="277">
        <f t="shared" si="5"/>
        <v>50</v>
      </c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</row>
    <row r="7" spans="1:71" s="19" customFormat="1" ht="54" x14ac:dyDescent="0.25">
      <c r="A7" s="765"/>
      <c r="B7" s="767"/>
      <c r="C7" s="770"/>
      <c r="D7" s="767"/>
      <c r="E7" s="746"/>
      <c r="F7" s="746"/>
      <c r="G7" s="746"/>
      <c r="H7" s="755" t="s">
        <v>1076</v>
      </c>
      <c r="I7" s="755" t="s">
        <v>1077</v>
      </c>
      <c r="J7" s="745"/>
      <c r="K7" s="745" t="s">
        <v>1086</v>
      </c>
      <c r="L7" s="370" t="s">
        <v>1087</v>
      </c>
      <c r="M7" s="373">
        <v>0</v>
      </c>
      <c r="N7" s="373">
        <v>4</v>
      </c>
      <c r="O7" s="373"/>
      <c r="P7" s="373">
        <v>2</v>
      </c>
      <c r="Q7" s="373">
        <v>3</v>
      </c>
      <c r="R7" s="38">
        <v>4</v>
      </c>
      <c r="S7" s="51"/>
      <c r="T7" s="44"/>
      <c r="U7" s="44"/>
      <c r="V7" s="44"/>
      <c r="W7" s="44"/>
      <c r="X7" s="44"/>
      <c r="Y7" s="44"/>
      <c r="Z7" s="44">
        <f t="shared" si="0"/>
        <v>0</v>
      </c>
      <c r="AA7" s="44"/>
      <c r="AB7" s="44"/>
      <c r="AC7" s="44"/>
      <c r="AD7" s="44"/>
      <c r="AE7" s="44"/>
      <c r="AF7" s="44"/>
      <c r="AG7" s="44"/>
      <c r="AH7" s="44">
        <f t="shared" si="1"/>
        <v>0</v>
      </c>
      <c r="AI7" s="44"/>
      <c r="AJ7" s="44"/>
      <c r="AK7" s="44"/>
      <c r="AL7" s="44"/>
      <c r="AM7" s="44"/>
      <c r="AN7" s="44"/>
      <c r="AO7" s="44"/>
      <c r="AP7" s="44">
        <f t="shared" si="2"/>
        <v>0</v>
      </c>
      <c r="AQ7" s="44"/>
      <c r="AR7" s="44"/>
      <c r="AS7" s="44"/>
      <c r="AT7" s="44"/>
      <c r="AU7" s="44"/>
      <c r="AV7" s="44"/>
      <c r="AW7" s="44"/>
      <c r="AX7" s="44">
        <f t="shared" si="3"/>
        <v>0</v>
      </c>
      <c r="AY7" s="44">
        <f t="shared" si="4"/>
        <v>0</v>
      </c>
      <c r="AZ7" s="44">
        <f t="shared" si="4"/>
        <v>0</v>
      </c>
      <c r="BA7" s="44">
        <f t="shared" si="4"/>
        <v>0</v>
      </c>
      <c r="BB7" s="44">
        <f t="shared" si="4"/>
        <v>0</v>
      </c>
      <c r="BC7" s="44">
        <f t="shared" si="4"/>
        <v>0</v>
      </c>
      <c r="BD7" s="44">
        <f t="shared" si="4"/>
        <v>0</v>
      </c>
      <c r="BE7" s="44">
        <f t="shared" si="4"/>
        <v>0</v>
      </c>
      <c r="BF7" s="45">
        <f t="shared" si="5"/>
        <v>0</v>
      </c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</row>
    <row r="8" spans="1:71" s="19" customFormat="1" ht="81" x14ac:dyDescent="0.25">
      <c r="A8" s="765"/>
      <c r="B8" s="767"/>
      <c r="C8" s="770"/>
      <c r="D8" s="767"/>
      <c r="E8" s="746"/>
      <c r="F8" s="746"/>
      <c r="G8" s="746"/>
      <c r="H8" s="773"/>
      <c r="I8" s="773"/>
      <c r="J8" s="746"/>
      <c r="K8" s="762"/>
      <c r="L8" s="370" t="s">
        <v>1088</v>
      </c>
      <c r="M8" s="373">
        <v>0</v>
      </c>
      <c r="N8" s="373">
        <v>2</v>
      </c>
      <c r="O8" s="373"/>
      <c r="P8" s="373">
        <v>1</v>
      </c>
      <c r="Q8" s="373">
        <v>2</v>
      </c>
      <c r="R8" s="38"/>
      <c r="S8" s="51"/>
      <c r="T8" s="44"/>
      <c r="U8" s="44"/>
      <c r="V8" s="44"/>
      <c r="W8" s="44"/>
      <c r="X8" s="44"/>
      <c r="Y8" s="44"/>
      <c r="Z8" s="44">
        <f t="shared" si="0"/>
        <v>0</v>
      </c>
      <c r="AA8" s="44"/>
      <c r="AB8" s="44"/>
      <c r="AC8" s="44"/>
      <c r="AD8" s="44"/>
      <c r="AE8" s="44"/>
      <c r="AF8" s="44">
        <v>2500</v>
      </c>
      <c r="AG8" s="44"/>
      <c r="AH8" s="44">
        <f t="shared" si="1"/>
        <v>2500</v>
      </c>
      <c r="AI8" s="44"/>
      <c r="AJ8" s="44"/>
      <c r="AK8" s="44"/>
      <c r="AL8" s="44"/>
      <c r="AM8" s="44"/>
      <c r="AN8" s="44">
        <v>1290</v>
      </c>
      <c r="AO8" s="44"/>
      <c r="AP8" s="44">
        <f t="shared" si="2"/>
        <v>1290</v>
      </c>
      <c r="AQ8" s="44"/>
      <c r="AR8" s="44"/>
      <c r="AS8" s="44"/>
      <c r="AT8" s="44"/>
      <c r="AU8" s="44"/>
      <c r="AV8" s="44"/>
      <c r="AW8" s="44"/>
      <c r="AX8" s="44">
        <f t="shared" si="3"/>
        <v>0</v>
      </c>
      <c r="AY8" s="44">
        <f t="shared" si="4"/>
        <v>0</v>
      </c>
      <c r="AZ8" s="44">
        <f t="shared" si="4"/>
        <v>0</v>
      </c>
      <c r="BA8" s="44">
        <f t="shared" si="4"/>
        <v>0</v>
      </c>
      <c r="BB8" s="44">
        <f t="shared" si="4"/>
        <v>0</v>
      </c>
      <c r="BC8" s="44">
        <f t="shared" si="4"/>
        <v>0</v>
      </c>
      <c r="BD8" s="44">
        <f t="shared" si="4"/>
        <v>3790</v>
      </c>
      <c r="BE8" s="44">
        <f t="shared" si="4"/>
        <v>0</v>
      </c>
      <c r="BF8" s="45">
        <f t="shared" si="5"/>
        <v>3790</v>
      </c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</row>
    <row r="9" spans="1:71" s="19" customFormat="1" ht="81.75" thickBot="1" x14ac:dyDescent="0.3">
      <c r="A9" s="765"/>
      <c r="B9" s="767"/>
      <c r="C9" s="770"/>
      <c r="D9" s="767"/>
      <c r="E9" s="746"/>
      <c r="F9" s="746"/>
      <c r="G9" s="746"/>
      <c r="H9" s="773"/>
      <c r="I9" s="773"/>
      <c r="J9" s="746"/>
      <c r="K9" s="376" t="s">
        <v>1089</v>
      </c>
      <c r="L9" s="440" t="s">
        <v>1090</v>
      </c>
      <c r="M9" s="376">
        <v>0</v>
      </c>
      <c r="N9" s="376">
        <v>3</v>
      </c>
      <c r="O9" s="376"/>
      <c r="P9" s="376">
        <v>1</v>
      </c>
      <c r="Q9" s="376">
        <v>2</v>
      </c>
      <c r="R9" s="149">
        <v>3</v>
      </c>
      <c r="S9" s="139"/>
      <c r="T9" s="123"/>
      <c r="U9" s="123"/>
      <c r="V9" s="123"/>
      <c r="W9" s="123"/>
      <c r="X9" s="123"/>
      <c r="Y9" s="123"/>
      <c r="Z9" s="123">
        <f t="shared" si="0"/>
        <v>0</v>
      </c>
      <c r="AA9" s="123"/>
      <c r="AB9" s="123"/>
      <c r="AC9" s="123"/>
      <c r="AD9" s="123"/>
      <c r="AE9" s="123"/>
      <c r="AF9" s="123"/>
      <c r="AG9" s="123"/>
      <c r="AH9" s="123">
        <f t="shared" si="1"/>
        <v>0</v>
      </c>
      <c r="AI9" s="123"/>
      <c r="AJ9" s="123"/>
      <c r="AK9" s="123"/>
      <c r="AL9" s="123"/>
      <c r="AM9" s="123"/>
      <c r="AN9" s="123"/>
      <c r="AO9" s="123"/>
      <c r="AP9" s="123">
        <f t="shared" si="2"/>
        <v>0</v>
      </c>
      <c r="AQ9" s="123"/>
      <c r="AR9" s="123"/>
      <c r="AS9" s="123"/>
      <c r="AT9" s="123"/>
      <c r="AU9" s="123"/>
      <c r="AV9" s="123"/>
      <c r="AW9" s="123"/>
      <c r="AX9" s="123">
        <f t="shared" si="3"/>
        <v>0</v>
      </c>
      <c r="AY9" s="123">
        <f t="shared" si="4"/>
        <v>0</v>
      </c>
      <c r="AZ9" s="123">
        <f t="shared" si="4"/>
        <v>0</v>
      </c>
      <c r="BA9" s="123">
        <f t="shared" si="4"/>
        <v>0</v>
      </c>
      <c r="BB9" s="123">
        <f t="shared" si="4"/>
        <v>0</v>
      </c>
      <c r="BC9" s="123">
        <f t="shared" si="4"/>
        <v>0</v>
      </c>
      <c r="BD9" s="123">
        <f t="shared" si="4"/>
        <v>0</v>
      </c>
      <c r="BE9" s="123">
        <f t="shared" si="4"/>
        <v>0</v>
      </c>
      <c r="BF9" s="199">
        <f t="shared" si="5"/>
        <v>0</v>
      </c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</row>
    <row r="10" spans="1:71" s="19" customFormat="1" ht="166.5" customHeight="1" thickBot="1" x14ac:dyDescent="0.3">
      <c r="A10" s="765"/>
      <c r="B10" s="768"/>
      <c r="C10" s="771"/>
      <c r="D10" s="768"/>
      <c r="E10" s="747"/>
      <c r="F10" s="747"/>
      <c r="G10" s="747"/>
      <c r="H10" s="774"/>
      <c r="I10" s="774"/>
      <c r="J10" s="747"/>
      <c r="K10" s="441" t="s">
        <v>1475</v>
      </c>
      <c r="L10" s="372" t="s">
        <v>1369</v>
      </c>
      <c r="M10" s="441">
        <v>0</v>
      </c>
      <c r="N10" s="441">
        <v>1</v>
      </c>
      <c r="O10" s="441"/>
      <c r="P10" s="441"/>
      <c r="Q10" s="441">
        <v>1</v>
      </c>
      <c r="R10" s="442"/>
      <c r="S10" s="443"/>
      <c r="T10" s="444"/>
      <c r="U10" s="444"/>
      <c r="V10" s="444"/>
      <c r="W10" s="444"/>
      <c r="X10" s="444"/>
      <c r="Y10" s="444"/>
      <c r="Z10" s="123">
        <f t="shared" si="0"/>
        <v>0</v>
      </c>
      <c r="AA10" s="444"/>
      <c r="AB10" s="444"/>
      <c r="AC10" s="444"/>
      <c r="AD10" s="444"/>
      <c r="AE10" s="444"/>
      <c r="AF10" s="444"/>
      <c r="AG10" s="444"/>
      <c r="AH10" s="444"/>
      <c r="AI10" s="444"/>
      <c r="AJ10" s="444"/>
      <c r="AK10" s="444"/>
      <c r="AL10" s="444"/>
      <c r="AM10" s="444"/>
      <c r="AN10" s="444">
        <v>500</v>
      </c>
      <c r="AO10" s="444"/>
      <c r="AP10" s="123">
        <f t="shared" si="2"/>
        <v>500</v>
      </c>
      <c r="AQ10" s="444"/>
      <c r="AR10" s="444"/>
      <c r="AS10" s="444"/>
      <c r="AT10" s="444"/>
      <c r="AU10" s="444"/>
      <c r="AV10" s="444"/>
      <c r="AW10" s="444"/>
      <c r="AX10" s="123">
        <f t="shared" si="3"/>
        <v>0</v>
      </c>
      <c r="AY10" s="123">
        <f t="shared" si="4"/>
        <v>0</v>
      </c>
      <c r="AZ10" s="123">
        <f t="shared" si="4"/>
        <v>0</v>
      </c>
      <c r="BA10" s="123">
        <f t="shared" si="4"/>
        <v>0</v>
      </c>
      <c r="BB10" s="123">
        <f t="shared" si="4"/>
        <v>0</v>
      </c>
      <c r="BC10" s="123">
        <f t="shared" si="4"/>
        <v>0</v>
      </c>
      <c r="BD10" s="123">
        <f t="shared" si="4"/>
        <v>500</v>
      </c>
      <c r="BE10" s="123">
        <f t="shared" si="4"/>
        <v>0</v>
      </c>
      <c r="BF10" s="199">
        <f t="shared" si="5"/>
        <v>500</v>
      </c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</row>
    <row r="11" spans="1:71" s="19" customFormat="1" ht="81" x14ac:dyDescent="0.25">
      <c r="A11" s="765"/>
      <c r="B11" s="748" t="s">
        <v>839</v>
      </c>
      <c r="C11" s="751" t="s">
        <v>840</v>
      </c>
      <c r="D11" s="754" t="s">
        <v>254</v>
      </c>
      <c r="E11" s="754" t="s">
        <v>601</v>
      </c>
      <c r="F11" s="754">
        <v>29</v>
      </c>
      <c r="G11" s="754">
        <v>29</v>
      </c>
      <c r="H11" s="758" t="s">
        <v>841</v>
      </c>
      <c r="I11" s="758" t="s">
        <v>1079</v>
      </c>
      <c r="J11" s="759"/>
      <c r="K11" s="147" t="s">
        <v>602</v>
      </c>
      <c r="L11" s="369" t="s">
        <v>603</v>
      </c>
      <c r="M11" s="374">
        <v>100</v>
      </c>
      <c r="N11" s="374">
        <v>100</v>
      </c>
      <c r="O11" s="374">
        <v>100</v>
      </c>
      <c r="P11" s="374">
        <v>100</v>
      </c>
      <c r="Q11" s="374">
        <v>100</v>
      </c>
      <c r="R11" s="148">
        <v>100</v>
      </c>
      <c r="S11" s="133"/>
      <c r="T11" s="124">
        <v>405</v>
      </c>
      <c r="U11" s="124"/>
      <c r="V11" s="124"/>
      <c r="W11" s="124"/>
      <c r="X11" s="124"/>
      <c r="Y11" s="124"/>
      <c r="Z11" s="124">
        <f t="shared" si="0"/>
        <v>405</v>
      </c>
      <c r="AA11" s="124"/>
      <c r="AB11" s="124">
        <v>405</v>
      </c>
      <c r="AC11" s="124"/>
      <c r="AD11" s="124"/>
      <c r="AE11" s="124"/>
      <c r="AF11" s="124"/>
      <c r="AG11" s="124"/>
      <c r="AH11" s="124">
        <f t="shared" si="1"/>
        <v>405</v>
      </c>
      <c r="AI11" s="124"/>
      <c r="AJ11" s="124">
        <v>405</v>
      </c>
      <c r="AK11" s="124"/>
      <c r="AL11" s="124"/>
      <c r="AM11" s="124"/>
      <c r="AN11" s="124"/>
      <c r="AO11" s="124"/>
      <c r="AP11" s="124">
        <f t="shared" si="2"/>
        <v>405</v>
      </c>
      <c r="AQ11" s="124"/>
      <c r="AR11" s="124">
        <v>405</v>
      </c>
      <c r="AS11" s="124"/>
      <c r="AT11" s="124"/>
      <c r="AU11" s="124"/>
      <c r="AV11" s="124"/>
      <c r="AW11" s="124"/>
      <c r="AX11" s="124">
        <f t="shared" si="3"/>
        <v>405</v>
      </c>
      <c r="AY11" s="124">
        <f t="shared" si="4"/>
        <v>0</v>
      </c>
      <c r="AZ11" s="124">
        <f t="shared" si="4"/>
        <v>1620</v>
      </c>
      <c r="BA11" s="124">
        <f t="shared" si="4"/>
        <v>0</v>
      </c>
      <c r="BB11" s="124">
        <f t="shared" si="4"/>
        <v>0</v>
      </c>
      <c r="BC11" s="124">
        <f t="shared" si="4"/>
        <v>0</v>
      </c>
      <c r="BD11" s="124">
        <f t="shared" si="4"/>
        <v>0</v>
      </c>
      <c r="BE11" s="124">
        <f t="shared" si="4"/>
        <v>0</v>
      </c>
      <c r="BF11" s="277">
        <f t="shared" si="5"/>
        <v>1620</v>
      </c>
      <c r="BG11" s="21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</row>
    <row r="12" spans="1:71" s="19" customFormat="1" ht="40.5" x14ac:dyDescent="0.25">
      <c r="A12" s="765"/>
      <c r="B12" s="749"/>
      <c r="C12" s="752"/>
      <c r="D12" s="723"/>
      <c r="E12" s="723"/>
      <c r="F12" s="723"/>
      <c r="G12" s="723"/>
      <c r="H12" s="724"/>
      <c r="I12" s="724"/>
      <c r="J12" s="760"/>
      <c r="K12" s="373" t="s">
        <v>604</v>
      </c>
      <c r="L12" s="370" t="s">
        <v>605</v>
      </c>
      <c r="M12" s="373">
        <v>0</v>
      </c>
      <c r="N12" s="370" t="s">
        <v>232</v>
      </c>
      <c r="O12" s="373">
        <v>3</v>
      </c>
      <c r="P12" s="373">
        <v>4</v>
      </c>
      <c r="Q12" s="373">
        <v>4</v>
      </c>
      <c r="R12" s="38">
        <v>4</v>
      </c>
      <c r="S12" s="51"/>
      <c r="T12" s="44">
        <v>2</v>
      </c>
      <c r="U12" s="44"/>
      <c r="V12" s="44"/>
      <c r="W12" s="44"/>
      <c r="X12" s="44"/>
      <c r="Y12" s="44"/>
      <c r="Z12" s="44">
        <f t="shared" si="0"/>
        <v>2</v>
      </c>
      <c r="AA12" s="44"/>
      <c r="AB12" s="44">
        <v>2</v>
      </c>
      <c r="AC12" s="44"/>
      <c r="AD12" s="44"/>
      <c r="AE12" s="44"/>
      <c r="AF12" s="44"/>
      <c r="AG12" s="44"/>
      <c r="AH12" s="44">
        <f t="shared" si="1"/>
        <v>2</v>
      </c>
      <c r="AI12" s="44"/>
      <c r="AJ12" s="44">
        <v>2</v>
      </c>
      <c r="AK12" s="44"/>
      <c r="AL12" s="44"/>
      <c r="AM12" s="44"/>
      <c r="AN12" s="44"/>
      <c r="AO12" s="44"/>
      <c r="AP12" s="44">
        <f t="shared" si="2"/>
        <v>2</v>
      </c>
      <c r="AQ12" s="44"/>
      <c r="AR12" s="44">
        <v>2</v>
      </c>
      <c r="AS12" s="44"/>
      <c r="AT12" s="44"/>
      <c r="AU12" s="44"/>
      <c r="AV12" s="44"/>
      <c r="AW12" s="44"/>
      <c r="AX12" s="44">
        <f t="shared" si="3"/>
        <v>2</v>
      </c>
      <c r="AY12" s="44">
        <f t="shared" si="4"/>
        <v>0</v>
      </c>
      <c r="AZ12" s="44">
        <f t="shared" si="4"/>
        <v>8</v>
      </c>
      <c r="BA12" s="44">
        <f t="shared" si="4"/>
        <v>0</v>
      </c>
      <c r="BB12" s="44">
        <f t="shared" si="4"/>
        <v>0</v>
      </c>
      <c r="BC12" s="44">
        <f t="shared" si="4"/>
        <v>0</v>
      </c>
      <c r="BD12" s="44">
        <f t="shared" si="4"/>
        <v>0</v>
      </c>
      <c r="BE12" s="44">
        <f t="shared" si="4"/>
        <v>0</v>
      </c>
      <c r="BF12" s="45">
        <f t="shared" si="5"/>
        <v>8</v>
      </c>
      <c r="BG12" s="21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</row>
    <row r="13" spans="1:71" s="19" customFormat="1" ht="54" x14ac:dyDescent="0.25">
      <c r="A13" s="765"/>
      <c r="B13" s="749"/>
      <c r="C13" s="752"/>
      <c r="D13" s="723"/>
      <c r="E13" s="723"/>
      <c r="F13" s="723"/>
      <c r="G13" s="723"/>
      <c r="H13" s="724"/>
      <c r="I13" s="724"/>
      <c r="J13" s="760"/>
      <c r="K13" s="373" t="s">
        <v>606</v>
      </c>
      <c r="L13" s="370" t="s">
        <v>607</v>
      </c>
      <c r="M13" s="373">
        <v>29</v>
      </c>
      <c r="N13" s="373">
        <v>29</v>
      </c>
      <c r="O13" s="373">
        <v>29</v>
      </c>
      <c r="P13" s="373">
        <v>29</v>
      </c>
      <c r="Q13" s="373">
        <v>29</v>
      </c>
      <c r="R13" s="38">
        <v>29</v>
      </c>
      <c r="S13" s="51"/>
      <c r="T13" s="44">
        <v>76.599999999999994</v>
      </c>
      <c r="U13" s="44"/>
      <c r="V13" s="44"/>
      <c r="W13" s="44"/>
      <c r="X13" s="44"/>
      <c r="Y13" s="44"/>
      <c r="Z13" s="44">
        <f t="shared" si="0"/>
        <v>76.599999999999994</v>
      </c>
      <c r="AA13" s="44"/>
      <c r="AB13" s="44">
        <v>76.599999999999994</v>
      </c>
      <c r="AC13" s="44"/>
      <c r="AD13" s="44"/>
      <c r="AE13" s="44"/>
      <c r="AF13" s="44"/>
      <c r="AG13" s="44"/>
      <c r="AH13" s="44">
        <f t="shared" si="1"/>
        <v>76.599999999999994</v>
      </c>
      <c r="AI13" s="44"/>
      <c r="AJ13" s="44">
        <v>76.599999999999994</v>
      </c>
      <c r="AK13" s="44"/>
      <c r="AL13" s="44"/>
      <c r="AM13" s="44"/>
      <c r="AN13" s="44"/>
      <c r="AO13" s="44"/>
      <c r="AP13" s="44">
        <f t="shared" si="2"/>
        <v>76.599999999999994</v>
      </c>
      <c r="AQ13" s="44"/>
      <c r="AR13" s="44">
        <v>76.599999999999994</v>
      </c>
      <c r="AS13" s="44"/>
      <c r="AT13" s="44"/>
      <c r="AU13" s="44"/>
      <c r="AV13" s="44"/>
      <c r="AW13" s="44"/>
      <c r="AX13" s="44">
        <f t="shared" si="3"/>
        <v>76.599999999999994</v>
      </c>
      <c r="AY13" s="44">
        <f t="shared" si="4"/>
        <v>0</v>
      </c>
      <c r="AZ13" s="44">
        <f t="shared" si="4"/>
        <v>306.39999999999998</v>
      </c>
      <c r="BA13" s="44">
        <f t="shared" si="4"/>
        <v>0</v>
      </c>
      <c r="BB13" s="44">
        <f t="shared" si="4"/>
        <v>0</v>
      </c>
      <c r="BC13" s="44">
        <f t="shared" si="4"/>
        <v>0</v>
      </c>
      <c r="BD13" s="44">
        <f t="shared" si="4"/>
        <v>0</v>
      </c>
      <c r="BE13" s="44">
        <f t="shared" si="4"/>
        <v>0</v>
      </c>
      <c r="BF13" s="45">
        <f t="shared" si="5"/>
        <v>306.39999999999998</v>
      </c>
      <c r="BG13" s="21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</row>
    <row r="14" spans="1:71" s="19" customFormat="1" ht="54" x14ac:dyDescent="0.25">
      <c r="A14" s="765"/>
      <c r="B14" s="749"/>
      <c r="C14" s="752"/>
      <c r="D14" s="723"/>
      <c r="E14" s="723"/>
      <c r="F14" s="723"/>
      <c r="G14" s="723"/>
      <c r="H14" s="724" t="s">
        <v>842</v>
      </c>
      <c r="I14" s="724" t="s">
        <v>1080</v>
      </c>
      <c r="J14" s="723"/>
      <c r="K14" s="760" t="s">
        <v>233</v>
      </c>
      <c r="L14" s="370" t="s">
        <v>609</v>
      </c>
      <c r="M14" s="373"/>
      <c r="N14" s="373">
        <v>1</v>
      </c>
      <c r="O14" s="373">
        <v>0.25</v>
      </c>
      <c r="P14" s="373">
        <v>0.5</v>
      </c>
      <c r="Q14" s="373">
        <v>0.75</v>
      </c>
      <c r="R14" s="38">
        <v>1</v>
      </c>
      <c r="S14" s="51"/>
      <c r="T14" s="44">
        <v>74.650000000000006</v>
      </c>
      <c r="U14" s="44"/>
      <c r="V14" s="44"/>
      <c r="W14" s="44"/>
      <c r="X14" s="44"/>
      <c r="Y14" s="44"/>
      <c r="Z14" s="44">
        <f t="shared" si="0"/>
        <v>74.650000000000006</v>
      </c>
      <c r="AA14" s="44"/>
      <c r="AB14" s="44">
        <v>74.650000000000006</v>
      </c>
      <c r="AC14" s="44"/>
      <c r="AD14" s="44"/>
      <c r="AE14" s="44"/>
      <c r="AF14" s="44"/>
      <c r="AG14" s="44"/>
      <c r="AH14" s="44">
        <f t="shared" si="1"/>
        <v>74.650000000000006</v>
      </c>
      <c r="AI14" s="44"/>
      <c r="AJ14" s="44">
        <v>74.650000000000006</v>
      </c>
      <c r="AK14" s="44"/>
      <c r="AL14" s="44"/>
      <c r="AM14" s="44"/>
      <c r="AN14" s="44"/>
      <c r="AO14" s="44"/>
      <c r="AP14" s="44">
        <f t="shared" si="2"/>
        <v>74.650000000000006</v>
      </c>
      <c r="AQ14" s="44"/>
      <c r="AR14" s="44">
        <v>74.650000000000006</v>
      </c>
      <c r="AS14" s="44"/>
      <c r="AT14" s="44"/>
      <c r="AU14" s="44"/>
      <c r="AV14" s="44"/>
      <c r="AW14" s="44"/>
      <c r="AX14" s="44">
        <f t="shared" si="3"/>
        <v>74.650000000000006</v>
      </c>
      <c r="AY14" s="44">
        <f t="shared" si="4"/>
        <v>0</v>
      </c>
      <c r="AZ14" s="44">
        <f t="shared" si="4"/>
        <v>298.60000000000002</v>
      </c>
      <c r="BA14" s="44">
        <f t="shared" si="4"/>
        <v>0</v>
      </c>
      <c r="BB14" s="44">
        <f t="shared" si="4"/>
        <v>0</v>
      </c>
      <c r="BC14" s="44">
        <f t="shared" si="4"/>
        <v>0</v>
      </c>
      <c r="BD14" s="44">
        <f t="shared" si="4"/>
        <v>0</v>
      </c>
      <c r="BE14" s="44">
        <f t="shared" si="4"/>
        <v>0</v>
      </c>
      <c r="BF14" s="45">
        <f t="shared" si="5"/>
        <v>298.60000000000002</v>
      </c>
      <c r="BG14" s="21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</row>
    <row r="15" spans="1:71" s="19" customFormat="1" ht="40.5" x14ac:dyDescent="0.25">
      <c r="A15" s="765"/>
      <c r="B15" s="723"/>
      <c r="C15" s="724"/>
      <c r="D15" s="723"/>
      <c r="E15" s="723"/>
      <c r="F15" s="723"/>
      <c r="G15" s="723"/>
      <c r="H15" s="724"/>
      <c r="I15" s="724"/>
      <c r="J15" s="723"/>
      <c r="K15" s="760"/>
      <c r="L15" s="370" t="s">
        <v>610</v>
      </c>
      <c r="M15" s="373">
        <v>29</v>
      </c>
      <c r="N15" s="373">
        <v>29</v>
      </c>
      <c r="O15" s="373">
        <v>29</v>
      </c>
      <c r="P15" s="373">
        <v>29</v>
      </c>
      <c r="Q15" s="373">
        <v>29</v>
      </c>
      <c r="R15" s="38">
        <v>29</v>
      </c>
      <c r="S15" s="51"/>
      <c r="T15" s="44"/>
      <c r="U15" s="44"/>
      <c r="V15" s="44"/>
      <c r="W15" s="44"/>
      <c r="X15" s="44"/>
      <c r="Y15" s="44"/>
      <c r="Z15" s="44">
        <f t="shared" si="0"/>
        <v>0</v>
      </c>
      <c r="AA15" s="44"/>
      <c r="AB15" s="44"/>
      <c r="AC15" s="44"/>
      <c r="AD15" s="44"/>
      <c r="AE15" s="44"/>
      <c r="AF15" s="44"/>
      <c r="AG15" s="44"/>
      <c r="AH15" s="44">
        <f t="shared" si="1"/>
        <v>0</v>
      </c>
      <c r="AI15" s="44"/>
      <c r="AJ15" s="44"/>
      <c r="AK15" s="44"/>
      <c r="AL15" s="44"/>
      <c r="AM15" s="44"/>
      <c r="AN15" s="44"/>
      <c r="AO15" s="44"/>
      <c r="AP15" s="44">
        <f t="shared" si="2"/>
        <v>0</v>
      </c>
      <c r="AQ15" s="44"/>
      <c r="AR15" s="44"/>
      <c r="AS15" s="44"/>
      <c r="AT15" s="44"/>
      <c r="AU15" s="44"/>
      <c r="AV15" s="44"/>
      <c r="AW15" s="44"/>
      <c r="AX15" s="44">
        <f t="shared" si="3"/>
        <v>0</v>
      </c>
      <c r="AY15" s="44">
        <f t="shared" si="4"/>
        <v>0</v>
      </c>
      <c r="AZ15" s="44">
        <f t="shared" si="4"/>
        <v>0</v>
      </c>
      <c r="BA15" s="44">
        <f t="shared" si="4"/>
        <v>0</v>
      </c>
      <c r="BB15" s="44">
        <f t="shared" si="4"/>
        <v>0</v>
      </c>
      <c r="BC15" s="44">
        <f t="shared" si="4"/>
        <v>0</v>
      </c>
      <c r="BD15" s="44">
        <f t="shared" si="4"/>
        <v>0</v>
      </c>
      <c r="BE15" s="44">
        <f t="shared" si="4"/>
        <v>0</v>
      </c>
      <c r="BF15" s="45">
        <f t="shared" si="5"/>
        <v>0</v>
      </c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</row>
    <row r="16" spans="1:71" s="19" customFormat="1" ht="40.5" x14ac:dyDescent="0.25">
      <c r="A16" s="765"/>
      <c r="B16" s="723"/>
      <c r="C16" s="724"/>
      <c r="D16" s="723"/>
      <c r="E16" s="723"/>
      <c r="F16" s="723"/>
      <c r="G16" s="723"/>
      <c r="H16" s="724"/>
      <c r="I16" s="724"/>
      <c r="J16" s="723"/>
      <c r="K16" s="373" t="s">
        <v>611</v>
      </c>
      <c r="L16" s="370" t="s">
        <v>612</v>
      </c>
      <c r="M16" s="373">
        <v>29</v>
      </c>
      <c r="N16" s="373">
        <v>29</v>
      </c>
      <c r="O16" s="373">
        <v>29</v>
      </c>
      <c r="P16" s="373">
        <v>29</v>
      </c>
      <c r="Q16" s="373">
        <v>29</v>
      </c>
      <c r="R16" s="38">
        <v>29</v>
      </c>
      <c r="S16" s="51"/>
      <c r="T16" s="44">
        <v>169.6</v>
      </c>
      <c r="U16" s="44"/>
      <c r="V16" s="44"/>
      <c r="W16" s="44"/>
      <c r="X16" s="44"/>
      <c r="Y16" s="44"/>
      <c r="Z16" s="44">
        <f t="shared" si="0"/>
        <v>169.6</v>
      </c>
      <c r="AA16" s="44"/>
      <c r="AB16" s="44">
        <v>169.6</v>
      </c>
      <c r="AC16" s="44"/>
      <c r="AD16" s="44"/>
      <c r="AE16" s="44"/>
      <c r="AF16" s="44"/>
      <c r="AG16" s="44"/>
      <c r="AH16" s="44">
        <f t="shared" si="1"/>
        <v>169.6</v>
      </c>
      <c r="AI16" s="44"/>
      <c r="AJ16" s="44">
        <v>169.6</v>
      </c>
      <c r="AK16" s="44"/>
      <c r="AL16" s="44"/>
      <c r="AM16" s="44"/>
      <c r="AN16" s="44"/>
      <c r="AO16" s="44"/>
      <c r="AP16" s="44">
        <f t="shared" si="2"/>
        <v>169.6</v>
      </c>
      <c r="AQ16" s="44"/>
      <c r="AR16" s="44">
        <v>169.6</v>
      </c>
      <c r="AS16" s="44"/>
      <c r="AT16" s="44"/>
      <c r="AU16" s="44"/>
      <c r="AV16" s="44"/>
      <c r="AW16" s="44"/>
      <c r="AX16" s="44">
        <f t="shared" si="3"/>
        <v>169.6</v>
      </c>
      <c r="AY16" s="44">
        <f t="shared" si="4"/>
        <v>0</v>
      </c>
      <c r="AZ16" s="44">
        <f t="shared" si="4"/>
        <v>678.4</v>
      </c>
      <c r="BA16" s="44">
        <f t="shared" si="4"/>
        <v>0</v>
      </c>
      <c r="BB16" s="44">
        <f t="shared" si="4"/>
        <v>0</v>
      </c>
      <c r="BC16" s="44">
        <f t="shared" si="4"/>
        <v>0</v>
      </c>
      <c r="BD16" s="44">
        <f t="shared" si="4"/>
        <v>0</v>
      </c>
      <c r="BE16" s="44">
        <f t="shared" si="4"/>
        <v>0</v>
      </c>
      <c r="BF16" s="45">
        <f t="shared" si="5"/>
        <v>678.4</v>
      </c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</row>
    <row r="17" spans="1:71" s="19" customFormat="1" ht="40.5" x14ac:dyDescent="0.25">
      <c r="A17" s="765"/>
      <c r="B17" s="723"/>
      <c r="C17" s="724"/>
      <c r="D17" s="723"/>
      <c r="E17" s="723"/>
      <c r="F17" s="723"/>
      <c r="G17" s="723"/>
      <c r="H17" s="724"/>
      <c r="I17" s="724"/>
      <c r="J17" s="723"/>
      <c r="K17" s="373" t="s">
        <v>613</v>
      </c>
      <c r="L17" s="370" t="s">
        <v>614</v>
      </c>
      <c r="M17" s="17">
        <v>0</v>
      </c>
      <c r="N17" s="17">
        <v>100</v>
      </c>
      <c r="O17" s="17">
        <v>25</v>
      </c>
      <c r="P17" s="17">
        <v>50</v>
      </c>
      <c r="Q17" s="17">
        <v>75</v>
      </c>
      <c r="R17" s="39">
        <v>100</v>
      </c>
      <c r="S17" s="51"/>
      <c r="T17" s="44">
        <v>84.3</v>
      </c>
      <c r="U17" s="44"/>
      <c r="V17" s="44"/>
      <c r="W17" s="44"/>
      <c r="X17" s="44"/>
      <c r="Y17" s="44"/>
      <c r="Z17" s="44">
        <f t="shared" si="0"/>
        <v>84.3</v>
      </c>
      <c r="AA17" s="44"/>
      <c r="AB17" s="44">
        <v>84.3</v>
      </c>
      <c r="AC17" s="44"/>
      <c r="AD17" s="44"/>
      <c r="AE17" s="44"/>
      <c r="AF17" s="44"/>
      <c r="AG17" s="44"/>
      <c r="AH17" s="44">
        <f t="shared" si="1"/>
        <v>84.3</v>
      </c>
      <c r="AI17" s="44"/>
      <c r="AJ17" s="44">
        <v>84.3</v>
      </c>
      <c r="AK17" s="44"/>
      <c r="AL17" s="44"/>
      <c r="AM17" s="44"/>
      <c r="AN17" s="44"/>
      <c r="AO17" s="44"/>
      <c r="AP17" s="44">
        <f t="shared" si="2"/>
        <v>84.3</v>
      </c>
      <c r="AQ17" s="44"/>
      <c r="AR17" s="44">
        <v>84.3</v>
      </c>
      <c r="AS17" s="44"/>
      <c r="AT17" s="44"/>
      <c r="AU17" s="44"/>
      <c r="AV17" s="44"/>
      <c r="AW17" s="44"/>
      <c r="AX17" s="44">
        <f t="shared" si="3"/>
        <v>84.3</v>
      </c>
      <c r="AY17" s="44">
        <f t="shared" si="4"/>
        <v>0</v>
      </c>
      <c r="AZ17" s="44">
        <f t="shared" si="4"/>
        <v>337.2</v>
      </c>
      <c r="BA17" s="44">
        <f t="shared" si="4"/>
        <v>0</v>
      </c>
      <c r="BB17" s="44">
        <f t="shared" si="4"/>
        <v>0</v>
      </c>
      <c r="BC17" s="44">
        <f t="shared" si="4"/>
        <v>0</v>
      </c>
      <c r="BD17" s="44">
        <f t="shared" si="4"/>
        <v>0</v>
      </c>
      <c r="BE17" s="44">
        <f t="shared" si="4"/>
        <v>0</v>
      </c>
      <c r="BF17" s="45">
        <f t="shared" si="5"/>
        <v>337.2</v>
      </c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</row>
    <row r="18" spans="1:71" s="19" customFormat="1" ht="67.5" x14ac:dyDescent="0.25">
      <c r="A18" s="765"/>
      <c r="B18" s="723"/>
      <c r="C18" s="724"/>
      <c r="D18" s="723"/>
      <c r="E18" s="723"/>
      <c r="F18" s="723"/>
      <c r="G18" s="723"/>
      <c r="H18" s="724" t="s">
        <v>615</v>
      </c>
      <c r="I18" s="724" t="s">
        <v>1081</v>
      </c>
      <c r="J18" s="723"/>
      <c r="K18" s="373" t="s">
        <v>616</v>
      </c>
      <c r="L18" s="370" t="s">
        <v>612</v>
      </c>
      <c r="M18" s="373">
        <v>29</v>
      </c>
      <c r="N18" s="373">
        <v>29</v>
      </c>
      <c r="O18" s="373">
        <v>29</v>
      </c>
      <c r="P18" s="373">
        <v>29</v>
      </c>
      <c r="Q18" s="373">
        <v>29</v>
      </c>
      <c r="R18" s="38">
        <v>29</v>
      </c>
      <c r="S18" s="51"/>
      <c r="T18" s="44">
        <v>49.4</v>
      </c>
      <c r="U18" s="44"/>
      <c r="V18" s="44"/>
      <c r="W18" s="44"/>
      <c r="X18" s="44"/>
      <c r="Y18" s="44"/>
      <c r="Z18" s="44">
        <f t="shared" si="0"/>
        <v>49.4</v>
      </c>
      <c r="AA18" s="44"/>
      <c r="AB18" s="44">
        <v>49.4</v>
      </c>
      <c r="AC18" s="44"/>
      <c r="AD18" s="44"/>
      <c r="AE18" s="44"/>
      <c r="AF18" s="44"/>
      <c r="AG18" s="44"/>
      <c r="AH18" s="44">
        <f t="shared" si="1"/>
        <v>49.4</v>
      </c>
      <c r="AI18" s="44"/>
      <c r="AJ18" s="44">
        <v>49.4</v>
      </c>
      <c r="AK18" s="44"/>
      <c r="AL18" s="44"/>
      <c r="AM18" s="44"/>
      <c r="AN18" s="44"/>
      <c r="AO18" s="44"/>
      <c r="AP18" s="44">
        <f t="shared" si="2"/>
        <v>49.4</v>
      </c>
      <c r="AQ18" s="44"/>
      <c r="AR18" s="44">
        <v>49.4</v>
      </c>
      <c r="AS18" s="44"/>
      <c r="AT18" s="44"/>
      <c r="AU18" s="44"/>
      <c r="AV18" s="44"/>
      <c r="AW18" s="44"/>
      <c r="AX18" s="44">
        <f t="shared" si="3"/>
        <v>49.4</v>
      </c>
      <c r="AY18" s="44">
        <f t="shared" si="4"/>
        <v>0</v>
      </c>
      <c r="AZ18" s="44">
        <f t="shared" si="4"/>
        <v>197.6</v>
      </c>
      <c r="BA18" s="44">
        <f t="shared" si="4"/>
        <v>0</v>
      </c>
      <c r="BB18" s="44">
        <f t="shared" si="4"/>
        <v>0</v>
      </c>
      <c r="BC18" s="44">
        <f t="shared" si="4"/>
        <v>0</v>
      </c>
      <c r="BD18" s="44">
        <f t="shared" si="4"/>
        <v>0</v>
      </c>
      <c r="BE18" s="44">
        <f t="shared" si="4"/>
        <v>0</v>
      </c>
      <c r="BF18" s="45">
        <f t="shared" si="5"/>
        <v>197.6</v>
      </c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</row>
    <row r="19" spans="1:71" s="19" customFormat="1" ht="40.5" x14ac:dyDescent="0.25">
      <c r="A19" s="765"/>
      <c r="B19" s="723"/>
      <c r="C19" s="724"/>
      <c r="D19" s="723"/>
      <c r="E19" s="723"/>
      <c r="F19" s="723"/>
      <c r="G19" s="723"/>
      <c r="H19" s="724"/>
      <c r="I19" s="724"/>
      <c r="J19" s="723"/>
      <c r="K19" s="373" t="s">
        <v>608</v>
      </c>
      <c r="L19" s="370" t="s">
        <v>617</v>
      </c>
      <c r="M19" s="373">
        <v>100</v>
      </c>
      <c r="N19" s="373">
        <v>100</v>
      </c>
      <c r="O19" s="373">
        <v>100</v>
      </c>
      <c r="P19" s="373">
        <v>100</v>
      </c>
      <c r="Q19" s="373">
        <v>100</v>
      </c>
      <c r="R19" s="38">
        <v>100</v>
      </c>
      <c r="S19" s="51"/>
      <c r="T19" s="44">
        <v>70.75</v>
      </c>
      <c r="U19" s="44"/>
      <c r="V19" s="44"/>
      <c r="W19" s="44"/>
      <c r="X19" s="44"/>
      <c r="Y19" s="44"/>
      <c r="Z19" s="44">
        <f t="shared" si="0"/>
        <v>70.75</v>
      </c>
      <c r="AA19" s="44"/>
      <c r="AB19" s="44">
        <v>70.75</v>
      </c>
      <c r="AC19" s="44"/>
      <c r="AD19" s="44"/>
      <c r="AE19" s="44"/>
      <c r="AF19" s="44"/>
      <c r="AG19" s="44"/>
      <c r="AH19" s="44">
        <f t="shared" si="1"/>
        <v>70.75</v>
      </c>
      <c r="AI19" s="44"/>
      <c r="AJ19" s="44">
        <v>70.75</v>
      </c>
      <c r="AK19" s="44"/>
      <c r="AL19" s="44"/>
      <c r="AM19" s="44"/>
      <c r="AN19" s="44"/>
      <c r="AO19" s="44"/>
      <c r="AP19" s="44">
        <f t="shared" si="2"/>
        <v>70.75</v>
      </c>
      <c r="AQ19" s="44"/>
      <c r="AR19" s="44">
        <v>70.75</v>
      </c>
      <c r="AS19" s="44"/>
      <c r="AT19" s="44"/>
      <c r="AU19" s="44"/>
      <c r="AV19" s="44"/>
      <c r="AW19" s="44"/>
      <c r="AX19" s="44">
        <f t="shared" si="3"/>
        <v>70.75</v>
      </c>
      <c r="AY19" s="44">
        <f t="shared" si="4"/>
        <v>0</v>
      </c>
      <c r="AZ19" s="44">
        <f t="shared" si="4"/>
        <v>283</v>
      </c>
      <c r="BA19" s="44">
        <f t="shared" si="4"/>
        <v>0</v>
      </c>
      <c r="BB19" s="44">
        <f t="shared" si="4"/>
        <v>0</v>
      </c>
      <c r="BC19" s="44">
        <f t="shared" si="4"/>
        <v>0</v>
      </c>
      <c r="BD19" s="44">
        <f t="shared" si="4"/>
        <v>0</v>
      </c>
      <c r="BE19" s="44">
        <f t="shared" si="4"/>
        <v>0</v>
      </c>
      <c r="BF19" s="45">
        <f t="shared" si="5"/>
        <v>283</v>
      </c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</row>
    <row r="20" spans="1:71" s="19" customFormat="1" ht="54" x14ac:dyDescent="0.25">
      <c r="A20" s="765"/>
      <c r="B20" s="723"/>
      <c r="C20" s="724"/>
      <c r="D20" s="723"/>
      <c r="E20" s="723"/>
      <c r="F20" s="723"/>
      <c r="G20" s="723"/>
      <c r="H20" s="724"/>
      <c r="I20" s="724"/>
      <c r="J20" s="723"/>
      <c r="K20" s="373" t="s">
        <v>618</v>
      </c>
      <c r="L20" s="370" t="s">
        <v>234</v>
      </c>
      <c r="M20" s="373"/>
      <c r="N20" s="373">
        <v>4</v>
      </c>
      <c r="O20" s="373">
        <v>4</v>
      </c>
      <c r="P20" s="373">
        <v>4</v>
      </c>
      <c r="Q20" s="373">
        <v>4</v>
      </c>
      <c r="R20" s="38">
        <v>4</v>
      </c>
      <c r="S20" s="51"/>
      <c r="T20" s="44">
        <v>1</v>
      </c>
      <c r="U20" s="44"/>
      <c r="V20" s="44"/>
      <c r="W20" s="44"/>
      <c r="X20" s="44"/>
      <c r="Y20" s="44"/>
      <c r="Z20" s="44">
        <f t="shared" si="0"/>
        <v>1</v>
      </c>
      <c r="AA20" s="44"/>
      <c r="AB20" s="44">
        <v>1</v>
      </c>
      <c r="AC20" s="44"/>
      <c r="AD20" s="44"/>
      <c r="AE20" s="44"/>
      <c r="AF20" s="44"/>
      <c r="AG20" s="44"/>
      <c r="AH20" s="44">
        <f t="shared" si="1"/>
        <v>1</v>
      </c>
      <c r="AI20" s="44"/>
      <c r="AJ20" s="44">
        <v>1</v>
      </c>
      <c r="AK20" s="44"/>
      <c r="AL20" s="44"/>
      <c r="AM20" s="44"/>
      <c r="AN20" s="44"/>
      <c r="AO20" s="44"/>
      <c r="AP20" s="44">
        <f t="shared" si="2"/>
        <v>1</v>
      </c>
      <c r="AQ20" s="44"/>
      <c r="AR20" s="44">
        <v>1</v>
      </c>
      <c r="AS20" s="44"/>
      <c r="AT20" s="44"/>
      <c r="AU20" s="44"/>
      <c r="AV20" s="44"/>
      <c r="AW20" s="44"/>
      <c r="AX20" s="44">
        <f t="shared" si="3"/>
        <v>1</v>
      </c>
      <c r="AY20" s="44">
        <f t="shared" ref="AY20:BE56" si="6">+S20+AA20+AI20+AQ20</f>
        <v>0</v>
      </c>
      <c r="AZ20" s="44">
        <f t="shared" si="6"/>
        <v>4</v>
      </c>
      <c r="BA20" s="44">
        <f t="shared" si="6"/>
        <v>0</v>
      </c>
      <c r="BB20" s="44">
        <f t="shared" si="6"/>
        <v>0</v>
      </c>
      <c r="BC20" s="44">
        <f t="shared" si="6"/>
        <v>0</v>
      </c>
      <c r="BD20" s="44">
        <f t="shared" si="6"/>
        <v>0</v>
      </c>
      <c r="BE20" s="44">
        <f t="shared" si="6"/>
        <v>0</v>
      </c>
      <c r="BF20" s="45">
        <f t="shared" si="5"/>
        <v>4</v>
      </c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</row>
    <row r="21" spans="1:71" s="19" customFormat="1" ht="40.5" x14ac:dyDescent="0.25">
      <c r="A21" s="765"/>
      <c r="B21" s="723"/>
      <c r="C21" s="724"/>
      <c r="D21" s="723"/>
      <c r="E21" s="723"/>
      <c r="F21" s="723"/>
      <c r="G21" s="723"/>
      <c r="H21" s="724"/>
      <c r="I21" s="724"/>
      <c r="J21" s="723"/>
      <c r="K21" s="373" t="s">
        <v>613</v>
      </c>
      <c r="L21" s="370" t="s">
        <v>235</v>
      </c>
      <c r="M21" s="373">
        <v>0</v>
      </c>
      <c r="N21" s="373">
        <v>100</v>
      </c>
      <c r="O21" s="373">
        <v>25</v>
      </c>
      <c r="P21" s="373">
        <v>50</v>
      </c>
      <c r="Q21" s="373">
        <v>75</v>
      </c>
      <c r="R21" s="38">
        <v>100</v>
      </c>
      <c r="S21" s="51"/>
      <c r="T21" s="44">
        <v>37</v>
      </c>
      <c r="U21" s="44"/>
      <c r="V21" s="44"/>
      <c r="W21" s="44"/>
      <c r="X21" s="44"/>
      <c r="Y21" s="44"/>
      <c r="Z21" s="44">
        <f t="shared" si="0"/>
        <v>37</v>
      </c>
      <c r="AA21" s="44"/>
      <c r="AB21" s="44">
        <v>37</v>
      </c>
      <c r="AC21" s="44"/>
      <c r="AD21" s="44"/>
      <c r="AE21" s="44"/>
      <c r="AF21" s="44"/>
      <c r="AG21" s="44"/>
      <c r="AH21" s="44">
        <f t="shared" si="1"/>
        <v>37</v>
      </c>
      <c r="AI21" s="44"/>
      <c r="AJ21" s="44">
        <v>37</v>
      </c>
      <c r="AK21" s="44"/>
      <c r="AL21" s="44"/>
      <c r="AM21" s="44"/>
      <c r="AN21" s="44"/>
      <c r="AO21" s="44"/>
      <c r="AP21" s="44">
        <f t="shared" si="2"/>
        <v>37</v>
      </c>
      <c r="AQ21" s="44"/>
      <c r="AR21" s="44">
        <v>37</v>
      </c>
      <c r="AS21" s="44"/>
      <c r="AT21" s="44"/>
      <c r="AU21" s="44"/>
      <c r="AV21" s="44"/>
      <c r="AW21" s="44"/>
      <c r="AX21" s="44">
        <f t="shared" si="3"/>
        <v>37</v>
      </c>
      <c r="AY21" s="44">
        <f t="shared" si="6"/>
        <v>0</v>
      </c>
      <c r="AZ21" s="44">
        <f t="shared" si="6"/>
        <v>148</v>
      </c>
      <c r="BA21" s="44">
        <f t="shared" si="6"/>
        <v>0</v>
      </c>
      <c r="BB21" s="44">
        <f t="shared" si="6"/>
        <v>0</v>
      </c>
      <c r="BC21" s="44">
        <f t="shared" si="6"/>
        <v>0</v>
      </c>
      <c r="BD21" s="44">
        <f t="shared" si="6"/>
        <v>0</v>
      </c>
      <c r="BE21" s="44">
        <f t="shared" si="6"/>
        <v>0</v>
      </c>
      <c r="BF21" s="45">
        <f t="shared" si="5"/>
        <v>148</v>
      </c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</row>
    <row r="22" spans="1:71" s="19" customFormat="1" ht="54" x14ac:dyDescent="0.25">
      <c r="A22" s="765"/>
      <c r="B22" s="723"/>
      <c r="C22" s="724"/>
      <c r="D22" s="723"/>
      <c r="E22" s="723"/>
      <c r="F22" s="723"/>
      <c r="G22" s="723"/>
      <c r="H22" s="724" t="s">
        <v>619</v>
      </c>
      <c r="I22" s="724" t="s">
        <v>1082</v>
      </c>
      <c r="J22" s="723"/>
      <c r="K22" s="373" t="s">
        <v>620</v>
      </c>
      <c r="L22" s="370" t="s">
        <v>621</v>
      </c>
      <c r="M22" s="373">
        <v>0.25</v>
      </c>
      <c r="N22" s="373">
        <v>0.3</v>
      </c>
      <c r="O22" s="373">
        <v>7.5</v>
      </c>
      <c r="P22" s="373">
        <v>15</v>
      </c>
      <c r="Q22" s="373">
        <v>23</v>
      </c>
      <c r="R22" s="38">
        <v>30</v>
      </c>
      <c r="S22" s="51"/>
      <c r="T22" s="44">
        <v>43.6</v>
      </c>
      <c r="U22" s="44"/>
      <c r="V22" s="44"/>
      <c r="W22" s="44"/>
      <c r="X22" s="44"/>
      <c r="Y22" s="44"/>
      <c r="Z22" s="44">
        <f t="shared" si="0"/>
        <v>43.6</v>
      </c>
      <c r="AA22" s="44"/>
      <c r="AB22" s="44">
        <v>43.6</v>
      </c>
      <c r="AC22" s="44"/>
      <c r="AD22" s="44"/>
      <c r="AE22" s="44"/>
      <c r="AF22" s="44"/>
      <c r="AG22" s="44"/>
      <c r="AH22" s="44">
        <f t="shared" si="1"/>
        <v>43.6</v>
      </c>
      <c r="AI22" s="44"/>
      <c r="AJ22" s="44">
        <v>43.6</v>
      </c>
      <c r="AK22" s="44"/>
      <c r="AL22" s="44"/>
      <c r="AM22" s="44"/>
      <c r="AN22" s="44"/>
      <c r="AO22" s="44"/>
      <c r="AP22" s="44">
        <f t="shared" si="2"/>
        <v>43.6</v>
      </c>
      <c r="AQ22" s="44"/>
      <c r="AR22" s="44">
        <v>43.6</v>
      </c>
      <c r="AS22" s="44"/>
      <c r="AT22" s="44"/>
      <c r="AU22" s="44"/>
      <c r="AV22" s="44"/>
      <c r="AW22" s="44"/>
      <c r="AX22" s="44">
        <f t="shared" si="3"/>
        <v>43.6</v>
      </c>
      <c r="AY22" s="44">
        <f t="shared" si="6"/>
        <v>0</v>
      </c>
      <c r="AZ22" s="44">
        <f t="shared" si="6"/>
        <v>174.4</v>
      </c>
      <c r="BA22" s="44">
        <f t="shared" si="6"/>
        <v>0</v>
      </c>
      <c r="BB22" s="44">
        <f t="shared" si="6"/>
        <v>0</v>
      </c>
      <c r="BC22" s="44">
        <f t="shared" si="6"/>
        <v>0</v>
      </c>
      <c r="BD22" s="44">
        <f t="shared" si="6"/>
        <v>0</v>
      </c>
      <c r="BE22" s="44">
        <f t="shared" si="6"/>
        <v>0</v>
      </c>
      <c r="BF22" s="45">
        <f t="shared" si="5"/>
        <v>174.4</v>
      </c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</row>
    <row r="23" spans="1:71" s="19" customFormat="1" ht="40.5" x14ac:dyDescent="0.25">
      <c r="A23" s="765"/>
      <c r="B23" s="723"/>
      <c r="C23" s="724"/>
      <c r="D23" s="723"/>
      <c r="E23" s="723"/>
      <c r="F23" s="723"/>
      <c r="G23" s="723"/>
      <c r="H23" s="724"/>
      <c r="I23" s="724"/>
      <c r="J23" s="723"/>
      <c r="K23" s="20" t="s">
        <v>236</v>
      </c>
      <c r="L23" s="370" t="s">
        <v>612</v>
      </c>
      <c r="M23" s="373">
        <v>29</v>
      </c>
      <c r="N23" s="373">
        <v>29</v>
      </c>
      <c r="O23" s="373">
        <v>29</v>
      </c>
      <c r="P23" s="373">
        <v>29</v>
      </c>
      <c r="Q23" s="373">
        <v>29</v>
      </c>
      <c r="R23" s="38">
        <v>29</v>
      </c>
      <c r="S23" s="51"/>
      <c r="T23" s="44">
        <v>3.6</v>
      </c>
      <c r="U23" s="44"/>
      <c r="V23" s="44"/>
      <c r="W23" s="44"/>
      <c r="X23" s="44"/>
      <c r="Y23" s="44"/>
      <c r="Z23" s="44">
        <f t="shared" si="0"/>
        <v>3.6</v>
      </c>
      <c r="AA23" s="44"/>
      <c r="AB23" s="44">
        <v>3.6</v>
      </c>
      <c r="AC23" s="44"/>
      <c r="AD23" s="44"/>
      <c r="AE23" s="44"/>
      <c r="AF23" s="44"/>
      <c r="AG23" s="44"/>
      <c r="AH23" s="44">
        <f t="shared" si="1"/>
        <v>3.6</v>
      </c>
      <c r="AI23" s="44"/>
      <c r="AJ23" s="44">
        <v>3.6</v>
      </c>
      <c r="AK23" s="44"/>
      <c r="AL23" s="44"/>
      <c r="AM23" s="44"/>
      <c r="AN23" s="44"/>
      <c r="AO23" s="44"/>
      <c r="AP23" s="44">
        <f t="shared" si="2"/>
        <v>3.6</v>
      </c>
      <c r="AQ23" s="44"/>
      <c r="AR23" s="44">
        <v>3.6</v>
      </c>
      <c r="AS23" s="44"/>
      <c r="AT23" s="44"/>
      <c r="AU23" s="44"/>
      <c r="AV23" s="44"/>
      <c r="AW23" s="44"/>
      <c r="AX23" s="44">
        <f t="shared" si="3"/>
        <v>3.6</v>
      </c>
      <c r="AY23" s="44">
        <f t="shared" si="6"/>
        <v>0</v>
      </c>
      <c r="AZ23" s="44">
        <f t="shared" si="6"/>
        <v>14.4</v>
      </c>
      <c r="BA23" s="44">
        <f t="shared" si="6"/>
        <v>0</v>
      </c>
      <c r="BB23" s="44">
        <f t="shared" si="6"/>
        <v>0</v>
      </c>
      <c r="BC23" s="44">
        <f t="shared" si="6"/>
        <v>0</v>
      </c>
      <c r="BD23" s="44">
        <f t="shared" si="6"/>
        <v>0</v>
      </c>
      <c r="BE23" s="44">
        <f t="shared" si="6"/>
        <v>0</v>
      </c>
      <c r="BF23" s="45">
        <f t="shared" si="5"/>
        <v>14.4</v>
      </c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</row>
    <row r="24" spans="1:71" s="19" customFormat="1" ht="40.5" x14ac:dyDescent="0.25">
      <c r="A24" s="765"/>
      <c r="B24" s="723"/>
      <c r="C24" s="724"/>
      <c r="D24" s="723"/>
      <c r="E24" s="723"/>
      <c r="F24" s="723"/>
      <c r="G24" s="723"/>
      <c r="H24" s="724"/>
      <c r="I24" s="724"/>
      <c r="J24" s="723"/>
      <c r="K24" s="373" t="s">
        <v>622</v>
      </c>
      <c r="L24" s="370" t="s">
        <v>623</v>
      </c>
      <c r="M24" s="373">
        <v>0</v>
      </c>
      <c r="N24" s="373">
        <v>100</v>
      </c>
      <c r="O24" s="373">
        <v>100</v>
      </c>
      <c r="P24" s="373">
        <v>100</v>
      </c>
      <c r="Q24" s="373">
        <v>100</v>
      </c>
      <c r="R24" s="38">
        <v>100</v>
      </c>
      <c r="S24" s="51"/>
      <c r="T24" s="44">
        <v>40.6</v>
      </c>
      <c r="U24" s="44"/>
      <c r="V24" s="44"/>
      <c r="W24" s="44"/>
      <c r="X24" s="44"/>
      <c r="Y24" s="44"/>
      <c r="Z24" s="44">
        <f t="shared" si="0"/>
        <v>40.6</v>
      </c>
      <c r="AA24" s="44"/>
      <c r="AB24" s="44">
        <v>40.6</v>
      </c>
      <c r="AC24" s="44"/>
      <c r="AD24" s="44"/>
      <c r="AE24" s="44"/>
      <c r="AF24" s="44"/>
      <c r="AG24" s="44"/>
      <c r="AH24" s="44">
        <f t="shared" si="1"/>
        <v>40.6</v>
      </c>
      <c r="AI24" s="44"/>
      <c r="AJ24" s="44">
        <v>40.6</v>
      </c>
      <c r="AK24" s="44"/>
      <c r="AL24" s="44"/>
      <c r="AM24" s="44"/>
      <c r="AN24" s="44"/>
      <c r="AO24" s="44"/>
      <c r="AP24" s="44">
        <f t="shared" si="2"/>
        <v>40.6</v>
      </c>
      <c r="AQ24" s="44"/>
      <c r="AR24" s="44">
        <v>40.6</v>
      </c>
      <c r="AS24" s="44"/>
      <c r="AT24" s="44"/>
      <c r="AU24" s="44"/>
      <c r="AV24" s="44"/>
      <c r="AW24" s="44"/>
      <c r="AX24" s="44">
        <f t="shared" si="3"/>
        <v>40.6</v>
      </c>
      <c r="AY24" s="44">
        <f t="shared" si="6"/>
        <v>0</v>
      </c>
      <c r="AZ24" s="44">
        <f t="shared" si="6"/>
        <v>162.4</v>
      </c>
      <c r="BA24" s="44">
        <f t="shared" si="6"/>
        <v>0</v>
      </c>
      <c r="BB24" s="44">
        <f t="shared" si="6"/>
        <v>0</v>
      </c>
      <c r="BC24" s="44">
        <f t="shared" si="6"/>
        <v>0</v>
      </c>
      <c r="BD24" s="44">
        <f t="shared" si="6"/>
        <v>0</v>
      </c>
      <c r="BE24" s="44">
        <f t="shared" si="6"/>
        <v>0</v>
      </c>
      <c r="BF24" s="45">
        <f t="shared" si="5"/>
        <v>162.4</v>
      </c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</row>
    <row r="25" spans="1:71" s="19" customFormat="1" ht="67.5" x14ac:dyDescent="0.25">
      <c r="A25" s="765"/>
      <c r="B25" s="723"/>
      <c r="C25" s="724"/>
      <c r="D25" s="723"/>
      <c r="E25" s="723"/>
      <c r="F25" s="723"/>
      <c r="G25" s="723"/>
      <c r="H25" s="724" t="s">
        <v>624</v>
      </c>
      <c r="I25" s="724" t="s">
        <v>1083</v>
      </c>
      <c r="J25" s="723"/>
      <c r="K25" s="373" t="s">
        <v>625</v>
      </c>
      <c r="L25" s="370" t="s">
        <v>626</v>
      </c>
      <c r="M25" s="373">
        <v>0</v>
      </c>
      <c r="N25" s="373">
        <v>100</v>
      </c>
      <c r="O25" s="373">
        <v>100</v>
      </c>
      <c r="P25" s="373">
        <v>100</v>
      </c>
      <c r="Q25" s="373">
        <v>100</v>
      </c>
      <c r="R25" s="38">
        <v>100</v>
      </c>
      <c r="S25" s="51"/>
      <c r="T25" s="44">
        <v>30</v>
      </c>
      <c r="U25" s="44"/>
      <c r="V25" s="44"/>
      <c r="W25" s="44"/>
      <c r="X25" s="44"/>
      <c r="Y25" s="44"/>
      <c r="Z25" s="44">
        <f t="shared" si="0"/>
        <v>30</v>
      </c>
      <c r="AA25" s="44"/>
      <c r="AB25" s="44">
        <v>30</v>
      </c>
      <c r="AC25" s="44"/>
      <c r="AD25" s="44"/>
      <c r="AE25" s="44"/>
      <c r="AF25" s="44"/>
      <c r="AG25" s="44"/>
      <c r="AH25" s="44">
        <f t="shared" si="1"/>
        <v>30</v>
      </c>
      <c r="AI25" s="44"/>
      <c r="AJ25" s="44">
        <v>30</v>
      </c>
      <c r="AK25" s="44"/>
      <c r="AL25" s="44"/>
      <c r="AM25" s="44"/>
      <c r="AN25" s="44"/>
      <c r="AO25" s="44"/>
      <c r="AP25" s="44">
        <f t="shared" si="2"/>
        <v>30</v>
      </c>
      <c r="AQ25" s="44"/>
      <c r="AR25" s="44">
        <v>30</v>
      </c>
      <c r="AS25" s="44"/>
      <c r="AT25" s="44"/>
      <c r="AU25" s="44"/>
      <c r="AV25" s="44"/>
      <c r="AW25" s="44"/>
      <c r="AX25" s="44">
        <f t="shared" si="3"/>
        <v>30</v>
      </c>
      <c r="AY25" s="44">
        <f t="shared" si="6"/>
        <v>0</v>
      </c>
      <c r="AZ25" s="44">
        <f t="shared" si="6"/>
        <v>120</v>
      </c>
      <c r="BA25" s="44">
        <f t="shared" si="6"/>
        <v>0</v>
      </c>
      <c r="BB25" s="44">
        <f t="shared" si="6"/>
        <v>0</v>
      </c>
      <c r="BC25" s="44">
        <f t="shared" si="6"/>
        <v>0</v>
      </c>
      <c r="BD25" s="44">
        <f t="shared" si="6"/>
        <v>0</v>
      </c>
      <c r="BE25" s="44">
        <f t="shared" si="6"/>
        <v>0</v>
      </c>
      <c r="BF25" s="45">
        <f t="shared" si="5"/>
        <v>120</v>
      </c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</row>
    <row r="26" spans="1:71" s="19" customFormat="1" ht="27" x14ac:dyDescent="0.25">
      <c r="A26" s="765"/>
      <c r="B26" s="723"/>
      <c r="C26" s="724"/>
      <c r="D26" s="723"/>
      <c r="E26" s="723"/>
      <c r="F26" s="723"/>
      <c r="G26" s="723"/>
      <c r="H26" s="724"/>
      <c r="I26" s="724"/>
      <c r="J26" s="723"/>
      <c r="K26" s="373" t="s">
        <v>627</v>
      </c>
      <c r="L26" s="370" t="s">
        <v>605</v>
      </c>
      <c r="M26" s="373">
        <v>4</v>
      </c>
      <c r="N26" s="373">
        <v>4</v>
      </c>
      <c r="O26" s="373">
        <v>4</v>
      </c>
      <c r="P26" s="373">
        <v>4</v>
      </c>
      <c r="Q26" s="373">
        <v>4</v>
      </c>
      <c r="R26" s="38">
        <v>4</v>
      </c>
      <c r="S26" s="51"/>
      <c r="T26" s="44">
        <v>1</v>
      </c>
      <c r="U26" s="44"/>
      <c r="V26" s="44"/>
      <c r="W26" s="44"/>
      <c r="X26" s="44"/>
      <c r="Y26" s="44"/>
      <c r="Z26" s="44">
        <f t="shared" si="0"/>
        <v>1</v>
      </c>
      <c r="AA26" s="44"/>
      <c r="AB26" s="44">
        <v>1</v>
      </c>
      <c r="AC26" s="44"/>
      <c r="AD26" s="44"/>
      <c r="AE26" s="44"/>
      <c r="AF26" s="44"/>
      <c r="AG26" s="44"/>
      <c r="AH26" s="44">
        <f t="shared" si="1"/>
        <v>1</v>
      </c>
      <c r="AI26" s="44"/>
      <c r="AJ26" s="44">
        <v>1</v>
      </c>
      <c r="AK26" s="44"/>
      <c r="AL26" s="44"/>
      <c r="AM26" s="44"/>
      <c r="AN26" s="44"/>
      <c r="AO26" s="44"/>
      <c r="AP26" s="44">
        <f t="shared" si="2"/>
        <v>1</v>
      </c>
      <c r="AQ26" s="44"/>
      <c r="AR26" s="44">
        <v>1</v>
      </c>
      <c r="AS26" s="44"/>
      <c r="AT26" s="44"/>
      <c r="AU26" s="44"/>
      <c r="AV26" s="44"/>
      <c r="AW26" s="44"/>
      <c r="AX26" s="44">
        <f t="shared" si="3"/>
        <v>1</v>
      </c>
      <c r="AY26" s="44">
        <f t="shared" si="6"/>
        <v>0</v>
      </c>
      <c r="AZ26" s="44">
        <f t="shared" si="6"/>
        <v>4</v>
      </c>
      <c r="BA26" s="44">
        <f t="shared" si="6"/>
        <v>0</v>
      </c>
      <c r="BB26" s="44">
        <f t="shared" si="6"/>
        <v>0</v>
      </c>
      <c r="BC26" s="44">
        <f t="shared" si="6"/>
        <v>0</v>
      </c>
      <c r="BD26" s="44">
        <f t="shared" si="6"/>
        <v>0</v>
      </c>
      <c r="BE26" s="44">
        <f t="shared" si="6"/>
        <v>0</v>
      </c>
      <c r="BF26" s="45">
        <f t="shared" si="5"/>
        <v>4</v>
      </c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</row>
    <row r="27" spans="1:71" s="19" customFormat="1" ht="54" x14ac:dyDescent="0.25">
      <c r="A27" s="765"/>
      <c r="B27" s="723"/>
      <c r="C27" s="724"/>
      <c r="D27" s="723"/>
      <c r="E27" s="723"/>
      <c r="F27" s="723"/>
      <c r="G27" s="723"/>
      <c r="H27" s="724"/>
      <c r="I27" s="724"/>
      <c r="J27" s="723"/>
      <c r="K27" s="373" t="s">
        <v>628</v>
      </c>
      <c r="L27" s="370" t="s">
        <v>629</v>
      </c>
      <c r="M27" s="373">
        <v>0</v>
      </c>
      <c r="N27" s="373">
        <v>7</v>
      </c>
      <c r="O27" s="373">
        <v>1</v>
      </c>
      <c r="P27" s="373">
        <v>3</v>
      </c>
      <c r="Q27" s="373">
        <v>5</v>
      </c>
      <c r="R27" s="38">
        <v>7</v>
      </c>
      <c r="S27" s="51"/>
      <c r="T27" s="44">
        <v>16.7</v>
      </c>
      <c r="U27" s="44"/>
      <c r="V27" s="44"/>
      <c r="W27" s="44"/>
      <c r="X27" s="44"/>
      <c r="Y27" s="44"/>
      <c r="Z27" s="44">
        <f t="shared" si="0"/>
        <v>16.7</v>
      </c>
      <c r="AA27" s="44"/>
      <c r="AB27" s="44">
        <v>16.7</v>
      </c>
      <c r="AC27" s="44"/>
      <c r="AD27" s="44"/>
      <c r="AE27" s="44"/>
      <c r="AF27" s="44"/>
      <c r="AG27" s="44"/>
      <c r="AH27" s="44">
        <f t="shared" si="1"/>
        <v>16.7</v>
      </c>
      <c r="AI27" s="44"/>
      <c r="AJ27" s="44">
        <v>16.7</v>
      </c>
      <c r="AK27" s="44"/>
      <c r="AL27" s="44"/>
      <c r="AM27" s="44"/>
      <c r="AN27" s="44"/>
      <c r="AO27" s="44"/>
      <c r="AP27" s="44">
        <f t="shared" si="2"/>
        <v>16.7</v>
      </c>
      <c r="AQ27" s="44"/>
      <c r="AR27" s="44">
        <v>16.7</v>
      </c>
      <c r="AS27" s="44"/>
      <c r="AT27" s="44"/>
      <c r="AU27" s="44"/>
      <c r="AV27" s="44"/>
      <c r="AW27" s="44"/>
      <c r="AX27" s="44">
        <f t="shared" si="3"/>
        <v>16.7</v>
      </c>
      <c r="AY27" s="44">
        <f t="shared" si="6"/>
        <v>0</v>
      </c>
      <c r="AZ27" s="44">
        <f t="shared" si="6"/>
        <v>66.8</v>
      </c>
      <c r="BA27" s="44">
        <f t="shared" si="6"/>
        <v>0</v>
      </c>
      <c r="BB27" s="44">
        <f t="shared" si="6"/>
        <v>0</v>
      </c>
      <c r="BC27" s="44">
        <f t="shared" si="6"/>
        <v>0</v>
      </c>
      <c r="BD27" s="44">
        <f t="shared" si="6"/>
        <v>0</v>
      </c>
      <c r="BE27" s="44">
        <f t="shared" si="6"/>
        <v>0</v>
      </c>
      <c r="BF27" s="45">
        <f t="shared" si="5"/>
        <v>66.8</v>
      </c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</row>
    <row r="28" spans="1:71" s="19" customFormat="1" ht="40.5" x14ac:dyDescent="0.25">
      <c r="A28" s="765"/>
      <c r="B28" s="723"/>
      <c r="C28" s="724"/>
      <c r="D28" s="723"/>
      <c r="E28" s="723"/>
      <c r="F28" s="723"/>
      <c r="G28" s="723"/>
      <c r="H28" s="724"/>
      <c r="I28" s="724"/>
      <c r="J28" s="723"/>
      <c r="K28" s="20" t="s">
        <v>237</v>
      </c>
      <c r="L28" s="370" t="s">
        <v>238</v>
      </c>
      <c r="M28" s="373">
        <v>100</v>
      </c>
      <c r="N28" s="373">
        <v>100</v>
      </c>
      <c r="O28" s="373">
        <v>100</v>
      </c>
      <c r="P28" s="373">
        <v>100</v>
      </c>
      <c r="Q28" s="373">
        <v>100</v>
      </c>
      <c r="R28" s="38">
        <v>100</v>
      </c>
      <c r="S28" s="51"/>
      <c r="T28" s="44">
        <v>15</v>
      </c>
      <c r="U28" s="44"/>
      <c r="V28" s="44"/>
      <c r="W28" s="44"/>
      <c r="X28" s="44"/>
      <c r="Y28" s="44"/>
      <c r="Z28" s="44">
        <f t="shared" si="0"/>
        <v>15</v>
      </c>
      <c r="AA28" s="44"/>
      <c r="AB28" s="44">
        <v>15</v>
      </c>
      <c r="AC28" s="44"/>
      <c r="AD28" s="44"/>
      <c r="AE28" s="44"/>
      <c r="AF28" s="44"/>
      <c r="AG28" s="44"/>
      <c r="AH28" s="44">
        <f t="shared" si="1"/>
        <v>15</v>
      </c>
      <c r="AI28" s="44"/>
      <c r="AJ28" s="44">
        <v>15</v>
      </c>
      <c r="AK28" s="44"/>
      <c r="AL28" s="44"/>
      <c r="AM28" s="44"/>
      <c r="AN28" s="44"/>
      <c r="AO28" s="44"/>
      <c r="AP28" s="44">
        <f t="shared" si="2"/>
        <v>15</v>
      </c>
      <c r="AQ28" s="44"/>
      <c r="AR28" s="44">
        <v>15</v>
      </c>
      <c r="AS28" s="44"/>
      <c r="AT28" s="44"/>
      <c r="AU28" s="44"/>
      <c r="AV28" s="44"/>
      <c r="AW28" s="44"/>
      <c r="AX28" s="44">
        <f t="shared" si="3"/>
        <v>15</v>
      </c>
      <c r="AY28" s="44">
        <f t="shared" si="6"/>
        <v>0</v>
      </c>
      <c r="AZ28" s="44">
        <f t="shared" si="6"/>
        <v>60</v>
      </c>
      <c r="BA28" s="44">
        <f t="shared" si="6"/>
        <v>0</v>
      </c>
      <c r="BB28" s="44">
        <f t="shared" si="6"/>
        <v>0</v>
      </c>
      <c r="BC28" s="44">
        <f t="shared" si="6"/>
        <v>0</v>
      </c>
      <c r="BD28" s="44">
        <f t="shared" si="6"/>
        <v>0</v>
      </c>
      <c r="BE28" s="44">
        <f t="shared" si="6"/>
        <v>0</v>
      </c>
      <c r="BF28" s="45">
        <f t="shared" si="5"/>
        <v>60</v>
      </c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</row>
    <row r="29" spans="1:71" s="19" customFormat="1" ht="40.5" x14ac:dyDescent="0.25">
      <c r="A29" s="765"/>
      <c r="B29" s="723"/>
      <c r="C29" s="724"/>
      <c r="D29" s="723"/>
      <c r="E29" s="723"/>
      <c r="F29" s="723"/>
      <c r="G29" s="723"/>
      <c r="H29" s="724" t="s">
        <v>630</v>
      </c>
      <c r="I29" s="724" t="s">
        <v>1091</v>
      </c>
      <c r="J29" s="723"/>
      <c r="K29" s="373" t="s">
        <v>631</v>
      </c>
      <c r="L29" s="370" t="s">
        <v>632</v>
      </c>
      <c r="M29" s="373">
        <v>100</v>
      </c>
      <c r="N29" s="373">
        <v>100</v>
      </c>
      <c r="O29" s="373">
        <v>100</v>
      </c>
      <c r="P29" s="373">
        <v>100</v>
      </c>
      <c r="Q29" s="373">
        <v>100</v>
      </c>
      <c r="R29" s="38">
        <v>100</v>
      </c>
      <c r="S29" s="51"/>
      <c r="T29" s="44">
        <v>35</v>
      </c>
      <c r="U29" s="44"/>
      <c r="V29" s="44"/>
      <c r="W29" s="44"/>
      <c r="X29" s="44"/>
      <c r="Y29" s="44"/>
      <c r="Z29" s="44">
        <f t="shared" si="0"/>
        <v>35</v>
      </c>
      <c r="AA29" s="44"/>
      <c r="AB29" s="44">
        <v>35</v>
      </c>
      <c r="AC29" s="44"/>
      <c r="AD29" s="44"/>
      <c r="AE29" s="44"/>
      <c r="AF29" s="44"/>
      <c r="AG29" s="44"/>
      <c r="AH29" s="44">
        <f t="shared" si="1"/>
        <v>35</v>
      </c>
      <c r="AI29" s="44"/>
      <c r="AJ29" s="44">
        <v>35</v>
      </c>
      <c r="AK29" s="44"/>
      <c r="AL29" s="44"/>
      <c r="AM29" s="44"/>
      <c r="AN29" s="44"/>
      <c r="AO29" s="44"/>
      <c r="AP29" s="44">
        <f t="shared" si="2"/>
        <v>35</v>
      </c>
      <c r="AQ29" s="44"/>
      <c r="AR29" s="44">
        <v>35</v>
      </c>
      <c r="AS29" s="44"/>
      <c r="AT29" s="44"/>
      <c r="AU29" s="44"/>
      <c r="AV29" s="44"/>
      <c r="AW29" s="44"/>
      <c r="AX29" s="44">
        <f t="shared" si="3"/>
        <v>35</v>
      </c>
      <c r="AY29" s="44">
        <f t="shared" si="6"/>
        <v>0</v>
      </c>
      <c r="AZ29" s="44">
        <f t="shared" si="6"/>
        <v>140</v>
      </c>
      <c r="BA29" s="44">
        <f t="shared" si="6"/>
        <v>0</v>
      </c>
      <c r="BB29" s="44">
        <f t="shared" si="6"/>
        <v>0</v>
      </c>
      <c r="BC29" s="44">
        <f t="shared" si="6"/>
        <v>0</v>
      </c>
      <c r="BD29" s="44">
        <f t="shared" si="6"/>
        <v>0</v>
      </c>
      <c r="BE29" s="44">
        <f t="shared" si="6"/>
        <v>0</v>
      </c>
      <c r="BF29" s="45">
        <f t="shared" si="5"/>
        <v>140</v>
      </c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</row>
    <row r="30" spans="1:71" s="19" customFormat="1" ht="40.5" x14ac:dyDescent="0.25">
      <c r="A30" s="765"/>
      <c r="B30" s="723"/>
      <c r="C30" s="724"/>
      <c r="D30" s="723"/>
      <c r="E30" s="723"/>
      <c r="F30" s="723"/>
      <c r="G30" s="723"/>
      <c r="H30" s="724"/>
      <c r="I30" s="724"/>
      <c r="J30" s="723"/>
      <c r="K30" s="373" t="s">
        <v>633</v>
      </c>
      <c r="L30" s="370" t="s">
        <v>634</v>
      </c>
      <c r="M30" s="373">
        <v>100</v>
      </c>
      <c r="N30" s="373">
        <v>100</v>
      </c>
      <c r="O30" s="373">
        <v>100</v>
      </c>
      <c r="P30" s="373">
        <v>100</v>
      </c>
      <c r="Q30" s="373">
        <v>100</v>
      </c>
      <c r="R30" s="38">
        <v>100</v>
      </c>
      <c r="S30" s="51"/>
      <c r="T30" s="44">
        <v>4</v>
      </c>
      <c r="U30" s="44"/>
      <c r="V30" s="44"/>
      <c r="W30" s="44"/>
      <c r="X30" s="44"/>
      <c r="Y30" s="44"/>
      <c r="Z30" s="44">
        <f t="shared" si="0"/>
        <v>4</v>
      </c>
      <c r="AA30" s="44"/>
      <c r="AB30" s="44">
        <v>4</v>
      </c>
      <c r="AC30" s="44"/>
      <c r="AD30" s="44"/>
      <c r="AE30" s="44"/>
      <c r="AF30" s="44"/>
      <c r="AG30" s="44"/>
      <c r="AH30" s="44">
        <f t="shared" si="1"/>
        <v>4</v>
      </c>
      <c r="AI30" s="44"/>
      <c r="AJ30" s="44">
        <v>4</v>
      </c>
      <c r="AK30" s="44"/>
      <c r="AL30" s="44"/>
      <c r="AM30" s="44"/>
      <c r="AN30" s="44"/>
      <c r="AO30" s="44"/>
      <c r="AP30" s="44">
        <f t="shared" si="2"/>
        <v>4</v>
      </c>
      <c r="AQ30" s="44"/>
      <c r="AR30" s="44">
        <v>4</v>
      </c>
      <c r="AS30" s="44"/>
      <c r="AT30" s="44"/>
      <c r="AU30" s="44"/>
      <c r="AV30" s="44"/>
      <c r="AW30" s="44"/>
      <c r="AX30" s="44">
        <f t="shared" si="3"/>
        <v>4</v>
      </c>
      <c r="AY30" s="44">
        <f t="shared" si="6"/>
        <v>0</v>
      </c>
      <c r="AZ30" s="44">
        <f t="shared" si="6"/>
        <v>16</v>
      </c>
      <c r="BA30" s="44">
        <f t="shared" si="6"/>
        <v>0</v>
      </c>
      <c r="BB30" s="44">
        <f t="shared" si="6"/>
        <v>0</v>
      </c>
      <c r="BC30" s="44">
        <f t="shared" si="6"/>
        <v>0</v>
      </c>
      <c r="BD30" s="44">
        <f t="shared" si="6"/>
        <v>0</v>
      </c>
      <c r="BE30" s="44">
        <f t="shared" si="6"/>
        <v>0</v>
      </c>
      <c r="BF30" s="45">
        <f t="shared" si="5"/>
        <v>16</v>
      </c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</row>
    <row r="31" spans="1:71" s="19" customFormat="1" ht="67.5" x14ac:dyDescent="0.25">
      <c r="A31" s="765"/>
      <c r="B31" s="723"/>
      <c r="C31" s="724"/>
      <c r="D31" s="723"/>
      <c r="E31" s="723"/>
      <c r="F31" s="723"/>
      <c r="G31" s="723"/>
      <c r="H31" s="724"/>
      <c r="I31" s="724"/>
      <c r="J31" s="723"/>
      <c r="K31" s="373" t="s">
        <v>635</v>
      </c>
      <c r="L31" s="370" t="s">
        <v>636</v>
      </c>
      <c r="M31" s="373">
        <v>100</v>
      </c>
      <c r="N31" s="373">
        <v>100</v>
      </c>
      <c r="O31" s="373">
        <v>25</v>
      </c>
      <c r="P31" s="373">
        <v>25</v>
      </c>
      <c r="Q31" s="373">
        <v>25</v>
      </c>
      <c r="R31" s="38">
        <v>25</v>
      </c>
      <c r="S31" s="51"/>
      <c r="T31" s="44">
        <v>1</v>
      </c>
      <c r="U31" s="44"/>
      <c r="V31" s="44"/>
      <c r="W31" s="44"/>
      <c r="X31" s="44"/>
      <c r="Y31" s="44"/>
      <c r="Z31" s="44">
        <f t="shared" si="0"/>
        <v>1</v>
      </c>
      <c r="AA31" s="44"/>
      <c r="AB31" s="44">
        <v>1</v>
      </c>
      <c r="AC31" s="44"/>
      <c r="AD31" s="44"/>
      <c r="AE31" s="44"/>
      <c r="AF31" s="44"/>
      <c r="AG31" s="44"/>
      <c r="AH31" s="44">
        <f t="shared" si="1"/>
        <v>1</v>
      </c>
      <c r="AI31" s="44"/>
      <c r="AJ31" s="44">
        <v>1</v>
      </c>
      <c r="AK31" s="44"/>
      <c r="AL31" s="44"/>
      <c r="AM31" s="44"/>
      <c r="AN31" s="44"/>
      <c r="AO31" s="44"/>
      <c r="AP31" s="44">
        <f t="shared" si="2"/>
        <v>1</v>
      </c>
      <c r="AQ31" s="44"/>
      <c r="AR31" s="44">
        <v>1</v>
      </c>
      <c r="AS31" s="44"/>
      <c r="AT31" s="44"/>
      <c r="AU31" s="44"/>
      <c r="AV31" s="44"/>
      <c r="AW31" s="44"/>
      <c r="AX31" s="44">
        <f t="shared" si="3"/>
        <v>1</v>
      </c>
      <c r="AY31" s="44">
        <f t="shared" si="6"/>
        <v>0</v>
      </c>
      <c r="AZ31" s="44">
        <f t="shared" si="6"/>
        <v>4</v>
      </c>
      <c r="BA31" s="44">
        <f t="shared" si="6"/>
        <v>0</v>
      </c>
      <c r="BB31" s="44">
        <f t="shared" si="6"/>
        <v>0</v>
      </c>
      <c r="BC31" s="44">
        <f t="shared" si="6"/>
        <v>0</v>
      </c>
      <c r="BD31" s="44">
        <f t="shared" si="6"/>
        <v>0</v>
      </c>
      <c r="BE31" s="44">
        <f t="shared" si="6"/>
        <v>0</v>
      </c>
      <c r="BF31" s="45">
        <f t="shared" si="5"/>
        <v>4</v>
      </c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</row>
    <row r="32" spans="1:71" s="19" customFormat="1" ht="27" x14ac:dyDescent="0.25">
      <c r="A32" s="765"/>
      <c r="B32" s="723"/>
      <c r="C32" s="724"/>
      <c r="D32" s="723"/>
      <c r="E32" s="723"/>
      <c r="F32" s="723"/>
      <c r="G32" s="723"/>
      <c r="H32" s="724"/>
      <c r="I32" s="724"/>
      <c r="J32" s="723"/>
      <c r="K32" s="20" t="s">
        <v>637</v>
      </c>
      <c r="L32" s="370" t="s">
        <v>636</v>
      </c>
      <c r="M32" s="373">
        <v>0</v>
      </c>
      <c r="N32" s="373">
        <v>100</v>
      </c>
      <c r="O32" s="373">
        <v>25</v>
      </c>
      <c r="P32" s="373">
        <v>25</v>
      </c>
      <c r="Q32" s="373">
        <v>25</v>
      </c>
      <c r="R32" s="38">
        <v>25</v>
      </c>
      <c r="S32" s="51"/>
      <c r="T32" s="44">
        <v>10</v>
      </c>
      <c r="U32" s="44"/>
      <c r="V32" s="44"/>
      <c r="W32" s="44"/>
      <c r="X32" s="44"/>
      <c r="Y32" s="44"/>
      <c r="Z32" s="44">
        <f t="shared" si="0"/>
        <v>10</v>
      </c>
      <c r="AA32" s="44"/>
      <c r="AB32" s="44">
        <v>10</v>
      </c>
      <c r="AC32" s="44"/>
      <c r="AD32" s="44"/>
      <c r="AE32" s="44"/>
      <c r="AF32" s="44"/>
      <c r="AG32" s="44"/>
      <c r="AH32" s="44">
        <f t="shared" si="1"/>
        <v>10</v>
      </c>
      <c r="AI32" s="44"/>
      <c r="AJ32" s="44">
        <v>10</v>
      </c>
      <c r="AK32" s="44"/>
      <c r="AL32" s="44"/>
      <c r="AM32" s="44"/>
      <c r="AN32" s="44"/>
      <c r="AO32" s="44"/>
      <c r="AP32" s="44">
        <f t="shared" si="2"/>
        <v>10</v>
      </c>
      <c r="AQ32" s="44"/>
      <c r="AR32" s="44">
        <v>10</v>
      </c>
      <c r="AS32" s="44"/>
      <c r="AT32" s="44"/>
      <c r="AU32" s="44"/>
      <c r="AV32" s="44"/>
      <c r="AW32" s="44"/>
      <c r="AX32" s="44">
        <f t="shared" si="3"/>
        <v>10</v>
      </c>
      <c r="AY32" s="44">
        <f t="shared" si="6"/>
        <v>0</v>
      </c>
      <c r="AZ32" s="44">
        <f t="shared" si="6"/>
        <v>40</v>
      </c>
      <c r="BA32" s="44">
        <f t="shared" si="6"/>
        <v>0</v>
      </c>
      <c r="BB32" s="44">
        <f t="shared" si="6"/>
        <v>0</v>
      </c>
      <c r="BC32" s="44">
        <f t="shared" si="6"/>
        <v>0</v>
      </c>
      <c r="BD32" s="44">
        <f t="shared" si="6"/>
        <v>0</v>
      </c>
      <c r="BE32" s="44">
        <f t="shared" si="6"/>
        <v>0</v>
      </c>
      <c r="BF32" s="45">
        <f t="shared" si="5"/>
        <v>40</v>
      </c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</row>
    <row r="33" spans="1:71" s="19" customFormat="1" ht="40.5" x14ac:dyDescent="0.25">
      <c r="A33" s="765"/>
      <c r="B33" s="723"/>
      <c r="C33" s="724"/>
      <c r="D33" s="723"/>
      <c r="E33" s="723"/>
      <c r="F33" s="723"/>
      <c r="G33" s="723"/>
      <c r="H33" s="724" t="s">
        <v>638</v>
      </c>
      <c r="I33" s="724" t="s">
        <v>1092</v>
      </c>
      <c r="J33" s="760"/>
      <c r="K33" s="20" t="s">
        <v>639</v>
      </c>
      <c r="L33" s="370" t="s">
        <v>636</v>
      </c>
      <c r="M33" s="373">
        <v>0</v>
      </c>
      <c r="N33" s="373">
        <v>100</v>
      </c>
      <c r="O33" s="373">
        <v>25</v>
      </c>
      <c r="P33" s="373">
        <v>25</v>
      </c>
      <c r="Q33" s="373">
        <v>25</v>
      </c>
      <c r="R33" s="38">
        <v>25</v>
      </c>
      <c r="S33" s="51"/>
      <c r="T33" s="44">
        <v>64.5</v>
      </c>
      <c r="U33" s="44"/>
      <c r="V33" s="44"/>
      <c r="W33" s="44"/>
      <c r="X33" s="44"/>
      <c r="Y33" s="44"/>
      <c r="Z33" s="44">
        <f t="shared" si="0"/>
        <v>64.5</v>
      </c>
      <c r="AA33" s="44"/>
      <c r="AB33" s="44">
        <v>64.5</v>
      </c>
      <c r="AC33" s="44"/>
      <c r="AD33" s="44"/>
      <c r="AE33" s="44"/>
      <c r="AF33" s="44"/>
      <c r="AG33" s="44"/>
      <c r="AH33" s="44">
        <f t="shared" si="1"/>
        <v>64.5</v>
      </c>
      <c r="AI33" s="44"/>
      <c r="AJ33" s="44">
        <v>64.5</v>
      </c>
      <c r="AK33" s="44"/>
      <c r="AL33" s="44"/>
      <c r="AM33" s="44"/>
      <c r="AN33" s="44"/>
      <c r="AO33" s="44"/>
      <c r="AP33" s="44">
        <f t="shared" si="2"/>
        <v>64.5</v>
      </c>
      <c r="AQ33" s="44"/>
      <c r="AR33" s="44">
        <v>64.5</v>
      </c>
      <c r="AS33" s="44"/>
      <c r="AT33" s="44"/>
      <c r="AU33" s="44"/>
      <c r="AV33" s="44"/>
      <c r="AW33" s="44"/>
      <c r="AX33" s="44">
        <f t="shared" si="3"/>
        <v>64.5</v>
      </c>
      <c r="AY33" s="44">
        <f t="shared" si="6"/>
        <v>0</v>
      </c>
      <c r="AZ33" s="44">
        <f t="shared" si="6"/>
        <v>258</v>
      </c>
      <c r="BA33" s="44">
        <f t="shared" si="6"/>
        <v>0</v>
      </c>
      <c r="BB33" s="44">
        <f t="shared" si="6"/>
        <v>0</v>
      </c>
      <c r="BC33" s="44">
        <f t="shared" si="6"/>
        <v>0</v>
      </c>
      <c r="BD33" s="44">
        <f t="shared" si="6"/>
        <v>0</v>
      </c>
      <c r="BE33" s="44">
        <f t="shared" si="6"/>
        <v>0</v>
      </c>
      <c r="BF33" s="45">
        <f t="shared" si="5"/>
        <v>258</v>
      </c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</row>
    <row r="34" spans="1:71" s="19" customFormat="1" ht="54" x14ac:dyDescent="0.25">
      <c r="A34" s="765"/>
      <c r="B34" s="723"/>
      <c r="C34" s="724"/>
      <c r="D34" s="723"/>
      <c r="E34" s="723"/>
      <c r="F34" s="723"/>
      <c r="G34" s="723"/>
      <c r="H34" s="724"/>
      <c r="I34" s="724"/>
      <c r="J34" s="760"/>
      <c r="K34" s="20" t="s">
        <v>239</v>
      </c>
      <c r="L34" s="370" t="s">
        <v>612</v>
      </c>
      <c r="M34" s="373">
        <v>29</v>
      </c>
      <c r="N34" s="373">
        <v>29</v>
      </c>
      <c r="O34" s="373">
        <v>29</v>
      </c>
      <c r="P34" s="373">
        <v>29</v>
      </c>
      <c r="Q34" s="373">
        <v>29</v>
      </c>
      <c r="R34" s="38">
        <v>29</v>
      </c>
      <c r="S34" s="51"/>
      <c r="T34" s="44">
        <v>15</v>
      </c>
      <c r="U34" s="44"/>
      <c r="V34" s="44"/>
      <c r="W34" s="44"/>
      <c r="X34" s="44"/>
      <c r="Y34" s="44"/>
      <c r="Z34" s="44">
        <f t="shared" si="0"/>
        <v>15</v>
      </c>
      <c r="AA34" s="44"/>
      <c r="AB34" s="44">
        <v>15</v>
      </c>
      <c r="AC34" s="44"/>
      <c r="AD34" s="44"/>
      <c r="AE34" s="44"/>
      <c r="AF34" s="44"/>
      <c r="AG34" s="44"/>
      <c r="AH34" s="44">
        <f t="shared" si="1"/>
        <v>15</v>
      </c>
      <c r="AI34" s="44"/>
      <c r="AJ34" s="44">
        <v>15</v>
      </c>
      <c r="AK34" s="44"/>
      <c r="AL34" s="44"/>
      <c r="AM34" s="44"/>
      <c r="AN34" s="44"/>
      <c r="AO34" s="44"/>
      <c r="AP34" s="44">
        <f t="shared" si="2"/>
        <v>15</v>
      </c>
      <c r="AQ34" s="44"/>
      <c r="AR34" s="44">
        <v>15</v>
      </c>
      <c r="AS34" s="44"/>
      <c r="AT34" s="44"/>
      <c r="AU34" s="44"/>
      <c r="AV34" s="44"/>
      <c r="AW34" s="44"/>
      <c r="AX34" s="44">
        <f t="shared" si="3"/>
        <v>15</v>
      </c>
      <c r="AY34" s="44">
        <f t="shared" si="6"/>
        <v>0</v>
      </c>
      <c r="AZ34" s="44">
        <f t="shared" si="6"/>
        <v>60</v>
      </c>
      <c r="BA34" s="44">
        <f t="shared" si="6"/>
        <v>0</v>
      </c>
      <c r="BB34" s="44">
        <f t="shared" si="6"/>
        <v>0</v>
      </c>
      <c r="BC34" s="44">
        <f t="shared" si="6"/>
        <v>0</v>
      </c>
      <c r="BD34" s="44">
        <f t="shared" si="6"/>
        <v>0</v>
      </c>
      <c r="BE34" s="44">
        <f t="shared" si="6"/>
        <v>0</v>
      </c>
      <c r="BF34" s="45">
        <f t="shared" si="5"/>
        <v>60</v>
      </c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</row>
    <row r="35" spans="1:71" s="19" customFormat="1" ht="27" x14ac:dyDescent="0.25">
      <c r="A35" s="765"/>
      <c r="B35" s="723"/>
      <c r="C35" s="724"/>
      <c r="D35" s="723"/>
      <c r="E35" s="723"/>
      <c r="F35" s="723"/>
      <c r="G35" s="723"/>
      <c r="H35" s="724" t="s">
        <v>914</v>
      </c>
      <c r="I35" s="724" t="s">
        <v>1093</v>
      </c>
      <c r="J35" s="760"/>
      <c r="K35" s="373" t="s">
        <v>640</v>
      </c>
      <c r="L35" s="370" t="s">
        <v>641</v>
      </c>
      <c r="M35" s="373">
        <v>90</v>
      </c>
      <c r="N35" s="373">
        <v>90</v>
      </c>
      <c r="O35" s="373">
        <v>90</v>
      </c>
      <c r="P35" s="373">
        <v>90</v>
      </c>
      <c r="Q35" s="373">
        <v>90</v>
      </c>
      <c r="R35" s="38">
        <v>90</v>
      </c>
      <c r="S35" s="51"/>
      <c r="T35" s="44">
        <v>215.5</v>
      </c>
      <c r="U35" s="44"/>
      <c r="V35" s="44"/>
      <c r="W35" s="44"/>
      <c r="X35" s="44"/>
      <c r="Y35" s="44"/>
      <c r="Z35" s="44">
        <f t="shared" si="0"/>
        <v>215.5</v>
      </c>
      <c r="AA35" s="44"/>
      <c r="AB35" s="44">
        <v>215.5</v>
      </c>
      <c r="AC35" s="44"/>
      <c r="AD35" s="44"/>
      <c r="AE35" s="44"/>
      <c r="AF35" s="44"/>
      <c r="AG35" s="44"/>
      <c r="AH35" s="44">
        <f t="shared" si="1"/>
        <v>215.5</v>
      </c>
      <c r="AI35" s="44"/>
      <c r="AJ35" s="44">
        <v>215.5</v>
      </c>
      <c r="AK35" s="44"/>
      <c r="AL35" s="44"/>
      <c r="AM35" s="44"/>
      <c r="AN35" s="44"/>
      <c r="AO35" s="44"/>
      <c r="AP35" s="44">
        <f t="shared" si="2"/>
        <v>215.5</v>
      </c>
      <c r="AQ35" s="44"/>
      <c r="AR35" s="44">
        <v>215.5</v>
      </c>
      <c r="AS35" s="44"/>
      <c r="AT35" s="44"/>
      <c r="AU35" s="44"/>
      <c r="AV35" s="44"/>
      <c r="AW35" s="44"/>
      <c r="AX35" s="44">
        <f t="shared" si="3"/>
        <v>215.5</v>
      </c>
      <c r="AY35" s="44">
        <f t="shared" si="6"/>
        <v>0</v>
      </c>
      <c r="AZ35" s="44">
        <f t="shared" si="6"/>
        <v>862</v>
      </c>
      <c r="BA35" s="44">
        <f t="shared" si="6"/>
        <v>0</v>
      </c>
      <c r="BB35" s="44">
        <f t="shared" si="6"/>
        <v>0</v>
      </c>
      <c r="BC35" s="44">
        <f t="shared" si="6"/>
        <v>0</v>
      </c>
      <c r="BD35" s="44">
        <f t="shared" si="6"/>
        <v>0</v>
      </c>
      <c r="BE35" s="44">
        <f t="shared" si="6"/>
        <v>0</v>
      </c>
      <c r="BF35" s="45">
        <f t="shared" si="5"/>
        <v>862</v>
      </c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</row>
    <row r="36" spans="1:71" s="19" customFormat="1" ht="40.5" x14ac:dyDescent="0.25">
      <c r="A36" s="765"/>
      <c r="B36" s="723"/>
      <c r="C36" s="724"/>
      <c r="D36" s="723"/>
      <c r="E36" s="723"/>
      <c r="F36" s="723"/>
      <c r="G36" s="723"/>
      <c r="H36" s="724"/>
      <c r="I36" s="724"/>
      <c r="J36" s="760"/>
      <c r="K36" s="373" t="s">
        <v>642</v>
      </c>
      <c r="L36" s="370" t="s">
        <v>643</v>
      </c>
      <c r="M36" s="373">
        <v>0</v>
      </c>
      <c r="N36" s="373">
        <v>100</v>
      </c>
      <c r="O36" s="373">
        <v>25</v>
      </c>
      <c r="P36" s="373">
        <v>25</v>
      </c>
      <c r="Q36" s="373">
        <v>25</v>
      </c>
      <c r="R36" s="38">
        <v>25</v>
      </c>
      <c r="S36" s="51"/>
      <c r="T36" s="44">
        <v>5</v>
      </c>
      <c r="U36" s="44"/>
      <c r="V36" s="44"/>
      <c r="W36" s="44"/>
      <c r="X36" s="44"/>
      <c r="Y36" s="44"/>
      <c r="Z36" s="44">
        <f t="shared" si="0"/>
        <v>5</v>
      </c>
      <c r="AA36" s="44"/>
      <c r="AB36" s="44">
        <v>5</v>
      </c>
      <c r="AC36" s="44"/>
      <c r="AD36" s="44"/>
      <c r="AE36" s="44"/>
      <c r="AF36" s="44"/>
      <c r="AG36" s="44"/>
      <c r="AH36" s="44">
        <f t="shared" si="1"/>
        <v>5</v>
      </c>
      <c r="AI36" s="44"/>
      <c r="AJ36" s="44">
        <v>5</v>
      </c>
      <c r="AK36" s="44"/>
      <c r="AL36" s="44"/>
      <c r="AM36" s="44"/>
      <c r="AN36" s="44"/>
      <c r="AO36" s="44"/>
      <c r="AP36" s="44">
        <f t="shared" si="2"/>
        <v>5</v>
      </c>
      <c r="AQ36" s="44"/>
      <c r="AR36" s="44">
        <v>5</v>
      </c>
      <c r="AS36" s="44"/>
      <c r="AT36" s="44"/>
      <c r="AU36" s="44"/>
      <c r="AV36" s="44"/>
      <c r="AW36" s="44"/>
      <c r="AX36" s="44">
        <f t="shared" si="3"/>
        <v>5</v>
      </c>
      <c r="AY36" s="44">
        <f t="shared" si="6"/>
        <v>0</v>
      </c>
      <c r="AZ36" s="44">
        <f t="shared" si="6"/>
        <v>20</v>
      </c>
      <c r="BA36" s="44">
        <f t="shared" si="6"/>
        <v>0</v>
      </c>
      <c r="BB36" s="44">
        <f t="shared" si="6"/>
        <v>0</v>
      </c>
      <c r="BC36" s="44">
        <f t="shared" si="6"/>
        <v>0</v>
      </c>
      <c r="BD36" s="44">
        <f t="shared" si="6"/>
        <v>0</v>
      </c>
      <c r="BE36" s="44">
        <f t="shared" si="6"/>
        <v>0</v>
      </c>
      <c r="BF36" s="45">
        <f t="shared" si="5"/>
        <v>20</v>
      </c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</row>
    <row r="37" spans="1:71" s="19" customFormat="1" ht="40.5" x14ac:dyDescent="0.25">
      <c r="A37" s="765"/>
      <c r="B37" s="723"/>
      <c r="C37" s="724"/>
      <c r="D37" s="723"/>
      <c r="E37" s="723"/>
      <c r="F37" s="723"/>
      <c r="G37" s="723"/>
      <c r="H37" s="724"/>
      <c r="I37" s="724"/>
      <c r="J37" s="760"/>
      <c r="K37" s="373" t="s">
        <v>644</v>
      </c>
      <c r="L37" s="370" t="s">
        <v>645</v>
      </c>
      <c r="M37" s="373">
        <v>0</v>
      </c>
      <c r="N37" s="373">
        <v>29</v>
      </c>
      <c r="O37" s="373">
        <v>29</v>
      </c>
      <c r="P37" s="373">
        <v>29</v>
      </c>
      <c r="Q37" s="373">
        <v>29</v>
      </c>
      <c r="R37" s="38">
        <v>29</v>
      </c>
      <c r="S37" s="51"/>
      <c r="T37" s="44">
        <v>5</v>
      </c>
      <c r="U37" s="44"/>
      <c r="V37" s="44"/>
      <c r="W37" s="44"/>
      <c r="X37" s="44"/>
      <c r="Y37" s="44"/>
      <c r="Z37" s="44">
        <f t="shared" si="0"/>
        <v>5</v>
      </c>
      <c r="AA37" s="44"/>
      <c r="AB37" s="44">
        <v>5</v>
      </c>
      <c r="AC37" s="44"/>
      <c r="AD37" s="44"/>
      <c r="AE37" s="44"/>
      <c r="AF37" s="44"/>
      <c r="AG37" s="44"/>
      <c r="AH37" s="44">
        <f t="shared" si="1"/>
        <v>5</v>
      </c>
      <c r="AI37" s="44"/>
      <c r="AJ37" s="44">
        <v>5</v>
      </c>
      <c r="AK37" s="44"/>
      <c r="AL37" s="44"/>
      <c r="AM37" s="44"/>
      <c r="AN37" s="44"/>
      <c r="AO37" s="44"/>
      <c r="AP37" s="44">
        <f t="shared" si="2"/>
        <v>5</v>
      </c>
      <c r="AQ37" s="44"/>
      <c r="AR37" s="44">
        <v>5</v>
      </c>
      <c r="AS37" s="44"/>
      <c r="AT37" s="44"/>
      <c r="AU37" s="44"/>
      <c r="AV37" s="44"/>
      <c r="AW37" s="44"/>
      <c r="AX37" s="44">
        <f t="shared" si="3"/>
        <v>5</v>
      </c>
      <c r="AY37" s="44">
        <f t="shared" si="6"/>
        <v>0</v>
      </c>
      <c r="AZ37" s="44">
        <f t="shared" si="6"/>
        <v>20</v>
      </c>
      <c r="BA37" s="44">
        <f t="shared" si="6"/>
        <v>0</v>
      </c>
      <c r="BB37" s="44">
        <f t="shared" si="6"/>
        <v>0</v>
      </c>
      <c r="BC37" s="44">
        <f t="shared" si="6"/>
        <v>0</v>
      </c>
      <c r="BD37" s="44">
        <f t="shared" si="6"/>
        <v>0</v>
      </c>
      <c r="BE37" s="44">
        <f t="shared" si="6"/>
        <v>0</v>
      </c>
      <c r="BF37" s="45">
        <f t="shared" si="5"/>
        <v>20</v>
      </c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</row>
    <row r="38" spans="1:71" s="19" customFormat="1" ht="27" x14ac:dyDescent="0.25">
      <c r="A38" s="765"/>
      <c r="B38" s="723"/>
      <c r="C38" s="724"/>
      <c r="D38" s="723"/>
      <c r="E38" s="723"/>
      <c r="F38" s="723"/>
      <c r="G38" s="723"/>
      <c r="H38" s="724"/>
      <c r="I38" s="724"/>
      <c r="J38" s="760"/>
      <c r="K38" s="373" t="s">
        <v>646</v>
      </c>
      <c r="L38" s="370" t="s">
        <v>647</v>
      </c>
      <c r="M38" s="373">
        <v>0</v>
      </c>
      <c r="N38" s="373">
        <v>100</v>
      </c>
      <c r="O38" s="373">
        <v>25</v>
      </c>
      <c r="P38" s="373">
        <v>50</v>
      </c>
      <c r="Q38" s="373">
        <v>75</v>
      </c>
      <c r="R38" s="38">
        <v>100</v>
      </c>
      <c r="S38" s="51"/>
      <c r="T38" s="44">
        <v>29</v>
      </c>
      <c r="U38" s="44"/>
      <c r="V38" s="44"/>
      <c r="W38" s="44"/>
      <c r="X38" s="44"/>
      <c r="Y38" s="44"/>
      <c r="Z38" s="44">
        <f t="shared" si="0"/>
        <v>29</v>
      </c>
      <c r="AA38" s="44"/>
      <c r="AB38" s="44">
        <v>29</v>
      </c>
      <c r="AC38" s="44"/>
      <c r="AD38" s="44"/>
      <c r="AE38" s="44"/>
      <c r="AF38" s="44"/>
      <c r="AG38" s="44"/>
      <c r="AH38" s="44">
        <f t="shared" si="1"/>
        <v>29</v>
      </c>
      <c r="AI38" s="44"/>
      <c r="AJ38" s="44">
        <v>29</v>
      </c>
      <c r="AK38" s="44"/>
      <c r="AL38" s="44"/>
      <c r="AM38" s="44"/>
      <c r="AN38" s="44"/>
      <c r="AO38" s="44"/>
      <c r="AP38" s="44">
        <f t="shared" si="2"/>
        <v>29</v>
      </c>
      <c r="AQ38" s="44"/>
      <c r="AR38" s="44">
        <v>29</v>
      </c>
      <c r="AS38" s="44"/>
      <c r="AT38" s="44"/>
      <c r="AU38" s="44"/>
      <c r="AV38" s="44"/>
      <c r="AW38" s="44"/>
      <c r="AX38" s="44">
        <f t="shared" si="3"/>
        <v>29</v>
      </c>
      <c r="AY38" s="44">
        <f t="shared" si="6"/>
        <v>0</v>
      </c>
      <c r="AZ38" s="44">
        <f t="shared" si="6"/>
        <v>116</v>
      </c>
      <c r="BA38" s="44">
        <f t="shared" si="6"/>
        <v>0</v>
      </c>
      <c r="BB38" s="44">
        <f t="shared" si="6"/>
        <v>0</v>
      </c>
      <c r="BC38" s="44">
        <f t="shared" si="6"/>
        <v>0</v>
      </c>
      <c r="BD38" s="44">
        <f t="shared" si="6"/>
        <v>0</v>
      </c>
      <c r="BE38" s="44">
        <f t="shared" si="6"/>
        <v>0</v>
      </c>
      <c r="BF38" s="45">
        <f t="shared" si="5"/>
        <v>116</v>
      </c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</row>
    <row r="39" spans="1:71" s="19" customFormat="1" ht="40.5" x14ac:dyDescent="0.25">
      <c r="A39" s="765"/>
      <c r="B39" s="723"/>
      <c r="C39" s="724"/>
      <c r="D39" s="723"/>
      <c r="E39" s="723"/>
      <c r="F39" s="723"/>
      <c r="G39" s="723"/>
      <c r="H39" s="724"/>
      <c r="I39" s="724"/>
      <c r="J39" s="760"/>
      <c r="K39" s="373" t="s">
        <v>648</v>
      </c>
      <c r="L39" s="370" t="s">
        <v>649</v>
      </c>
      <c r="M39" s="373">
        <v>29</v>
      </c>
      <c r="N39" s="373">
        <v>29</v>
      </c>
      <c r="O39" s="373">
        <v>29</v>
      </c>
      <c r="P39" s="373">
        <v>29</v>
      </c>
      <c r="Q39" s="373">
        <v>29</v>
      </c>
      <c r="R39" s="38">
        <v>29</v>
      </c>
      <c r="S39" s="51"/>
      <c r="T39" s="44">
        <v>5</v>
      </c>
      <c r="U39" s="44"/>
      <c r="V39" s="44"/>
      <c r="W39" s="44"/>
      <c r="X39" s="44"/>
      <c r="Y39" s="44"/>
      <c r="Z39" s="44">
        <f t="shared" si="0"/>
        <v>5</v>
      </c>
      <c r="AA39" s="44"/>
      <c r="AB39" s="44">
        <v>5</v>
      </c>
      <c r="AC39" s="44"/>
      <c r="AD39" s="44"/>
      <c r="AE39" s="44"/>
      <c r="AF39" s="44"/>
      <c r="AG39" s="44"/>
      <c r="AH39" s="44">
        <f t="shared" si="1"/>
        <v>5</v>
      </c>
      <c r="AI39" s="44"/>
      <c r="AJ39" s="44">
        <v>5</v>
      </c>
      <c r="AK39" s="44"/>
      <c r="AL39" s="44"/>
      <c r="AM39" s="44"/>
      <c r="AN39" s="44"/>
      <c r="AO39" s="44"/>
      <c r="AP39" s="44">
        <f t="shared" si="2"/>
        <v>5</v>
      </c>
      <c r="AQ39" s="44"/>
      <c r="AR39" s="44">
        <v>5</v>
      </c>
      <c r="AS39" s="44"/>
      <c r="AT39" s="44"/>
      <c r="AU39" s="44"/>
      <c r="AV39" s="44"/>
      <c r="AW39" s="44"/>
      <c r="AX39" s="44">
        <f t="shared" si="3"/>
        <v>5</v>
      </c>
      <c r="AY39" s="44">
        <f t="shared" si="6"/>
        <v>0</v>
      </c>
      <c r="AZ39" s="44">
        <f t="shared" si="6"/>
        <v>20</v>
      </c>
      <c r="BA39" s="44">
        <f t="shared" si="6"/>
        <v>0</v>
      </c>
      <c r="BB39" s="44">
        <f t="shared" si="6"/>
        <v>0</v>
      </c>
      <c r="BC39" s="44">
        <f t="shared" si="6"/>
        <v>0</v>
      </c>
      <c r="BD39" s="44">
        <f t="shared" si="6"/>
        <v>0</v>
      </c>
      <c r="BE39" s="44">
        <f t="shared" si="6"/>
        <v>0</v>
      </c>
      <c r="BF39" s="45">
        <f t="shared" si="5"/>
        <v>20</v>
      </c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</row>
    <row r="40" spans="1:71" s="19" customFormat="1" ht="54" x14ac:dyDescent="0.25">
      <c r="A40" s="765"/>
      <c r="B40" s="723"/>
      <c r="C40" s="724"/>
      <c r="D40" s="723"/>
      <c r="E40" s="723"/>
      <c r="F40" s="723"/>
      <c r="G40" s="723"/>
      <c r="H40" s="724" t="s">
        <v>650</v>
      </c>
      <c r="I40" s="724" t="s">
        <v>1094</v>
      </c>
      <c r="J40" s="723"/>
      <c r="K40" s="373" t="s">
        <v>651</v>
      </c>
      <c r="L40" s="370" t="s">
        <v>652</v>
      </c>
      <c r="M40" s="373">
        <v>80</v>
      </c>
      <c r="N40" s="373">
        <v>100</v>
      </c>
      <c r="O40" s="373">
        <v>100</v>
      </c>
      <c r="P40" s="373">
        <v>100</v>
      </c>
      <c r="Q40" s="373">
        <v>100</v>
      </c>
      <c r="R40" s="38">
        <v>100</v>
      </c>
      <c r="S40" s="51"/>
      <c r="T40" s="44">
        <v>89.1</v>
      </c>
      <c r="U40" s="44"/>
      <c r="V40" s="44"/>
      <c r="W40" s="44"/>
      <c r="X40" s="44"/>
      <c r="Y40" s="44"/>
      <c r="Z40" s="44">
        <f t="shared" si="0"/>
        <v>89.1</v>
      </c>
      <c r="AA40" s="44"/>
      <c r="AB40" s="44">
        <v>89.1</v>
      </c>
      <c r="AC40" s="44"/>
      <c r="AD40" s="44"/>
      <c r="AE40" s="44"/>
      <c r="AF40" s="44"/>
      <c r="AG40" s="44"/>
      <c r="AH40" s="44">
        <f t="shared" si="1"/>
        <v>89.1</v>
      </c>
      <c r="AI40" s="44"/>
      <c r="AJ40" s="44">
        <v>89.1</v>
      </c>
      <c r="AK40" s="44"/>
      <c r="AL40" s="44"/>
      <c r="AM40" s="44"/>
      <c r="AN40" s="44"/>
      <c r="AO40" s="44"/>
      <c r="AP40" s="44">
        <f t="shared" si="2"/>
        <v>89.1</v>
      </c>
      <c r="AQ40" s="44"/>
      <c r="AR40" s="44">
        <v>89.1</v>
      </c>
      <c r="AS40" s="44"/>
      <c r="AT40" s="44"/>
      <c r="AU40" s="44"/>
      <c r="AV40" s="44"/>
      <c r="AW40" s="44"/>
      <c r="AX40" s="44">
        <f t="shared" si="3"/>
        <v>89.1</v>
      </c>
      <c r="AY40" s="44">
        <f t="shared" si="6"/>
        <v>0</v>
      </c>
      <c r="AZ40" s="44">
        <f t="shared" si="6"/>
        <v>356.4</v>
      </c>
      <c r="BA40" s="44">
        <f t="shared" si="6"/>
        <v>0</v>
      </c>
      <c r="BB40" s="44">
        <f t="shared" si="6"/>
        <v>0</v>
      </c>
      <c r="BC40" s="44">
        <f t="shared" si="6"/>
        <v>0</v>
      </c>
      <c r="BD40" s="44">
        <f t="shared" si="6"/>
        <v>0</v>
      </c>
      <c r="BE40" s="44">
        <f t="shared" si="6"/>
        <v>0</v>
      </c>
      <c r="BF40" s="45">
        <f t="shared" si="5"/>
        <v>356.4</v>
      </c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</row>
    <row r="41" spans="1:71" s="19" customFormat="1" ht="40.5" x14ac:dyDescent="0.25">
      <c r="A41" s="765"/>
      <c r="B41" s="723"/>
      <c r="C41" s="724"/>
      <c r="D41" s="723"/>
      <c r="E41" s="723"/>
      <c r="F41" s="723"/>
      <c r="G41" s="723"/>
      <c r="H41" s="724"/>
      <c r="I41" s="724"/>
      <c r="J41" s="723"/>
      <c r="K41" s="373" t="s">
        <v>653</v>
      </c>
      <c r="L41" s="370" t="s">
        <v>654</v>
      </c>
      <c r="M41" s="373">
        <v>0</v>
      </c>
      <c r="N41" s="373">
        <v>100</v>
      </c>
      <c r="O41" s="373">
        <v>100</v>
      </c>
      <c r="P41" s="373">
        <v>100</v>
      </c>
      <c r="Q41" s="373">
        <v>100</v>
      </c>
      <c r="R41" s="38">
        <v>100</v>
      </c>
      <c r="S41" s="51"/>
      <c r="T41" s="44">
        <v>6</v>
      </c>
      <c r="U41" s="44"/>
      <c r="V41" s="44"/>
      <c r="W41" s="44"/>
      <c r="X41" s="44"/>
      <c r="Y41" s="44"/>
      <c r="Z41" s="44">
        <f t="shared" si="0"/>
        <v>6</v>
      </c>
      <c r="AA41" s="44"/>
      <c r="AB41" s="44">
        <v>6</v>
      </c>
      <c r="AC41" s="44"/>
      <c r="AD41" s="44"/>
      <c r="AE41" s="44"/>
      <c r="AF41" s="44"/>
      <c r="AG41" s="44"/>
      <c r="AH41" s="44">
        <f t="shared" si="1"/>
        <v>6</v>
      </c>
      <c r="AI41" s="44"/>
      <c r="AJ41" s="44">
        <v>6</v>
      </c>
      <c r="AK41" s="44"/>
      <c r="AL41" s="44"/>
      <c r="AM41" s="44"/>
      <c r="AN41" s="44"/>
      <c r="AO41" s="44"/>
      <c r="AP41" s="44">
        <f t="shared" si="2"/>
        <v>6</v>
      </c>
      <c r="AQ41" s="44"/>
      <c r="AR41" s="44">
        <v>6</v>
      </c>
      <c r="AS41" s="44"/>
      <c r="AT41" s="44"/>
      <c r="AU41" s="44"/>
      <c r="AV41" s="44"/>
      <c r="AW41" s="44"/>
      <c r="AX41" s="44">
        <f t="shared" si="3"/>
        <v>6</v>
      </c>
      <c r="AY41" s="44">
        <f t="shared" si="6"/>
        <v>0</v>
      </c>
      <c r="AZ41" s="44">
        <f t="shared" si="6"/>
        <v>24</v>
      </c>
      <c r="BA41" s="44">
        <f t="shared" si="6"/>
        <v>0</v>
      </c>
      <c r="BB41" s="44">
        <f t="shared" si="6"/>
        <v>0</v>
      </c>
      <c r="BC41" s="44">
        <f t="shared" si="6"/>
        <v>0</v>
      </c>
      <c r="BD41" s="44">
        <f t="shared" si="6"/>
        <v>0</v>
      </c>
      <c r="BE41" s="44">
        <f t="shared" si="6"/>
        <v>0</v>
      </c>
      <c r="BF41" s="45">
        <f t="shared" si="5"/>
        <v>24</v>
      </c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</row>
    <row r="42" spans="1:71" s="19" customFormat="1" ht="40.5" x14ac:dyDescent="0.25">
      <c r="A42" s="765"/>
      <c r="B42" s="723"/>
      <c r="C42" s="724"/>
      <c r="D42" s="723"/>
      <c r="E42" s="723"/>
      <c r="F42" s="723"/>
      <c r="G42" s="723"/>
      <c r="H42" s="724"/>
      <c r="I42" s="724"/>
      <c r="J42" s="723"/>
      <c r="K42" s="373" t="s">
        <v>655</v>
      </c>
      <c r="L42" s="370" t="s">
        <v>656</v>
      </c>
      <c r="M42" s="373">
        <v>100</v>
      </c>
      <c r="N42" s="373">
        <v>100</v>
      </c>
      <c r="O42" s="373">
        <v>100</v>
      </c>
      <c r="P42" s="373">
        <v>100</v>
      </c>
      <c r="Q42" s="373">
        <v>100</v>
      </c>
      <c r="R42" s="38">
        <v>100</v>
      </c>
      <c r="S42" s="51"/>
      <c r="T42" s="44">
        <v>20</v>
      </c>
      <c r="U42" s="44"/>
      <c r="V42" s="44"/>
      <c r="W42" s="44"/>
      <c r="X42" s="44"/>
      <c r="Y42" s="44"/>
      <c r="Z42" s="44">
        <f t="shared" si="0"/>
        <v>20</v>
      </c>
      <c r="AA42" s="44"/>
      <c r="AB42" s="44">
        <v>20</v>
      </c>
      <c r="AC42" s="44"/>
      <c r="AD42" s="44"/>
      <c r="AE42" s="44"/>
      <c r="AF42" s="44"/>
      <c r="AG42" s="44"/>
      <c r="AH42" s="44">
        <f t="shared" si="1"/>
        <v>20</v>
      </c>
      <c r="AI42" s="44"/>
      <c r="AJ42" s="44">
        <v>20</v>
      </c>
      <c r="AK42" s="44"/>
      <c r="AL42" s="44"/>
      <c r="AM42" s="44"/>
      <c r="AN42" s="44"/>
      <c r="AO42" s="44"/>
      <c r="AP42" s="44">
        <f t="shared" si="2"/>
        <v>20</v>
      </c>
      <c r="AQ42" s="44"/>
      <c r="AR42" s="44">
        <v>20</v>
      </c>
      <c r="AS42" s="44"/>
      <c r="AT42" s="44"/>
      <c r="AU42" s="44"/>
      <c r="AV42" s="44"/>
      <c r="AW42" s="44"/>
      <c r="AX42" s="44">
        <f t="shared" si="3"/>
        <v>20</v>
      </c>
      <c r="AY42" s="44">
        <f t="shared" si="6"/>
        <v>0</v>
      </c>
      <c r="AZ42" s="44">
        <f t="shared" si="6"/>
        <v>80</v>
      </c>
      <c r="BA42" s="44">
        <f t="shared" si="6"/>
        <v>0</v>
      </c>
      <c r="BB42" s="44">
        <f t="shared" si="6"/>
        <v>0</v>
      </c>
      <c r="BC42" s="44">
        <f t="shared" si="6"/>
        <v>0</v>
      </c>
      <c r="BD42" s="44">
        <f t="shared" si="6"/>
        <v>0</v>
      </c>
      <c r="BE42" s="44">
        <f t="shared" si="6"/>
        <v>0</v>
      </c>
      <c r="BF42" s="45">
        <f t="shared" si="5"/>
        <v>80</v>
      </c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</row>
    <row r="43" spans="1:71" s="19" customFormat="1" ht="40.5" x14ac:dyDescent="0.25">
      <c r="A43" s="765"/>
      <c r="B43" s="723"/>
      <c r="C43" s="724"/>
      <c r="D43" s="723"/>
      <c r="E43" s="723"/>
      <c r="F43" s="723"/>
      <c r="G43" s="723"/>
      <c r="H43" s="724" t="s">
        <v>657</v>
      </c>
      <c r="I43" s="724" t="s">
        <v>1095</v>
      </c>
      <c r="J43" s="760"/>
      <c r="K43" s="373" t="s">
        <v>1399</v>
      </c>
      <c r="L43" s="370" t="s">
        <v>240</v>
      </c>
      <c r="M43" s="373">
        <v>100</v>
      </c>
      <c r="N43" s="373">
        <v>100</v>
      </c>
      <c r="O43" s="373">
        <v>25</v>
      </c>
      <c r="P43" s="373">
        <v>50</v>
      </c>
      <c r="Q43" s="373">
        <v>75</v>
      </c>
      <c r="R43" s="38">
        <v>100</v>
      </c>
      <c r="S43" s="51"/>
      <c r="T43" s="44">
        <v>61.6</v>
      </c>
      <c r="U43" s="44"/>
      <c r="V43" s="44">
        <v>126.18</v>
      </c>
      <c r="W43" s="44"/>
      <c r="X43" s="44"/>
      <c r="Y43" s="44"/>
      <c r="Z43" s="44">
        <f t="shared" si="0"/>
        <v>187.78</v>
      </c>
      <c r="AA43" s="44"/>
      <c r="AB43" s="44">
        <v>61.6</v>
      </c>
      <c r="AC43" s="44"/>
      <c r="AD43" s="44">
        <v>126.1</v>
      </c>
      <c r="AE43" s="44"/>
      <c r="AF43" s="44"/>
      <c r="AG43" s="44"/>
      <c r="AH43" s="44">
        <f t="shared" si="1"/>
        <v>187.7</v>
      </c>
      <c r="AI43" s="44"/>
      <c r="AJ43" s="44">
        <v>61.6</v>
      </c>
      <c r="AK43" s="44"/>
      <c r="AL43" s="44">
        <v>126.1</v>
      </c>
      <c r="AM43" s="44"/>
      <c r="AN43" s="44"/>
      <c r="AO43" s="44"/>
      <c r="AP43" s="44">
        <f t="shared" si="2"/>
        <v>187.7</v>
      </c>
      <c r="AQ43" s="44"/>
      <c r="AR43" s="44">
        <v>61.6</v>
      </c>
      <c r="AS43" s="44"/>
      <c r="AT43" s="44">
        <v>126.1</v>
      </c>
      <c r="AU43" s="44"/>
      <c r="AV43" s="44"/>
      <c r="AW43" s="44"/>
      <c r="AX43" s="44">
        <f t="shared" si="3"/>
        <v>187.7</v>
      </c>
      <c r="AY43" s="44">
        <f t="shared" si="6"/>
        <v>0</v>
      </c>
      <c r="AZ43" s="44">
        <f t="shared" si="6"/>
        <v>246.4</v>
      </c>
      <c r="BA43" s="44">
        <f t="shared" si="6"/>
        <v>0</v>
      </c>
      <c r="BB43" s="44">
        <f t="shared" si="6"/>
        <v>504.48</v>
      </c>
      <c r="BC43" s="44">
        <f t="shared" si="6"/>
        <v>0</v>
      </c>
      <c r="BD43" s="44">
        <f t="shared" si="6"/>
        <v>0</v>
      </c>
      <c r="BE43" s="44">
        <f t="shared" si="6"/>
        <v>0</v>
      </c>
      <c r="BF43" s="45">
        <f t="shared" si="5"/>
        <v>750.88</v>
      </c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</row>
    <row r="44" spans="1:71" s="19" customFormat="1" ht="54" x14ac:dyDescent="0.25">
      <c r="A44" s="765"/>
      <c r="B44" s="723"/>
      <c r="C44" s="724"/>
      <c r="D44" s="723"/>
      <c r="E44" s="723"/>
      <c r="F44" s="723"/>
      <c r="G44" s="723"/>
      <c r="H44" s="724"/>
      <c r="I44" s="724"/>
      <c r="J44" s="760"/>
      <c r="K44" s="373" t="s">
        <v>241</v>
      </c>
      <c r="L44" s="370" t="s">
        <v>242</v>
      </c>
      <c r="M44" s="17">
        <v>100</v>
      </c>
      <c r="N44" s="373">
        <v>100</v>
      </c>
      <c r="O44" s="373">
        <v>100</v>
      </c>
      <c r="P44" s="373">
        <v>100</v>
      </c>
      <c r="Q44" s="373">
        <v>100</v>
      </c>
      <c r="R44" s="38">
        <v>100</v>
      </c>
      <c r="S44" s="51"/>
      <c r="T44" s="44">
        <v>2</v>
      </c>
      <c r="U44" s="44"/>
      <c r="V44" s="44">
        <v>12</v>
      </c>
      <c r="W44" s="44"/>
      <c r="X44" s="44"/>
      <c r="Y44" s="44"/>
      <c r="Z44" s="44">
        <f t="shared" si="0"/>
        <v>14</v>
      </c>
      <c r="AA44" s="44"/>
      <c r="AB44" s="44">
        <v>2</v>
      </c>
      <c r="AC44" s="44"/>
      <c r="AD44" s="44">
        <v>12</v>
      </c>
      <c r="AE44" s="44"/>
      <c r="AF44" s="44"/>
      <c r="AG44" s="44"/>
      <c r="AH44" s="44">
        <f t="shared" si="1"/>
        <v>14</v>
      </c>
      <c r="AI44" s="44"/>
      <c r="AJ44" s="44">
        <v>2</v>
      </c>
      <c r="AK44" s="44"/>
      <c r="AL44" s="44">
        <v>12</v>
      </c>
      <c r="AM44" s="44"/>
      <c r="AN44" s="44"/>
      <c r="AO44" s="44"/>
      <c r="AP44" s="44">
        <f t="shared" si="2"/>
        <v>14</v>
      </c>
      <c r="AQ44" s="44"/>
      <c r="AR44" s="44">
        <v>2</v>
      </c>
      <c r="AS44" s="44"/>
      <c r="AT44" s="44">
        <v>12</v>
      </c>
      <c r="AU44" s="44"/>
      <c r="AV44" s="44"/>
      <c r="AW44" s="44"/>
      <c r="AX44" s="44">
        <f t="shared" si="3"/>
        <v>14</v>
      </c>
      <c r="AY44" s="44">
        <f t="shared" si="6"/>
        <v>0</v>
      </c>
      <c r="AZ44" s="44">
        <f t="shared" si="6"/>
        <v>8</v>
      </c>
      <c r="BA44" s="44">
        <f t="shared" si="6"/>
        <v>0</v>
      </c>
      <c r="BB44" s="44">
        <f t="shared" si="6"/>
        <v>48</v>
      </c>
      <c r="BC44" s="44">
        <f t="shared" si="6"/>
        <v>0</v>
      </c>
      <c r="BD44" s="44">
        <f t="shared" si="6"/>
        <v>0</v>
      </c>
      <c r="BE44" s="44">
        <f t="shared" si="6"/>
        <v>0</v>
      </c>
      <c r="BF44" s="45">
        <f t="shared" si="5"/>
        <v>56</v>
      </c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</row>
    <row r="45" spans="1:71" s="19" customFormat="1" ht="41.25" thickBot="1" x14ac:dyDescent="0.3">
      <c r="A45" s="765"/>
      <c r="B45" s="750"/>
      <c r="C45" s="753"/>
      <c r="D45" s="750"/>
      <c r="E45" s="750"/>
      <c r="F45" s="750"/>
      <c r="G45" s="750"/>
      <c r="H45" s="753"/>
      <c r="I45" s="753"/>
      <c r="J45" s="761"/>
      <c r="K45" s="376" t="s">
        <v>658</v>
      </c>
      <c r="L45" s="440" t="s">
        <v>243</v>
      </c>
      <c r="M45" s="376">
        <v>100</v>
      </c>
      <c r="N45" s="376">
        <v>100</v>
      </c>
      <c r="O45" s="376">
        <v>25</v>
      </c>
      <c r="P45" s="376">
        <v>50</v>
      </c>
      <c r="Q45" s="376">
        <v>75</v>
      </c>
      <c r="R45" s="149">
        <v>100</v>
      </c>
      <c r="S45" s="139"/>
      <c r="T45" s="123">
        <v>24.8</v>
      </c>
      <c r="U45" s="123"/>
      <c r="V45" s="123"/>
      <c r="W45" s="123"/>
      <c r="X45" s="123"/>
      <c r="Y45" s="123"/>
      <c r="Z45" s="123">
        <f t="shared" si="0"/>
        <v>24.8</v>
      </c>
      <c r="AA45" s="123"/>
      <c r="AB45" s="123">
        <v>24.8</v>
      </c>
      <c r="AC45" s="123"/>
      <c r="AD45" s="123"/>
      <c r="AE45" s="123"/>
      <c r="AF45" s="123"/>
      <c r="AG45" s="123"/>
      <c r="AH45" s="123">
        <f t="shared" si="1"/>
        <v>24.8</v>
      </c>
      <c r="AI45" s="123"/>
      <c r="AJ45" s="123">
        <v>24.8</v>
      </c>
      <c r="AK45" s="123"/>
      <c r="AL45" s="123"/>
      <c r="AM45" s="123"/>
      <c r="AN45" s="123"/>
      <c r="AO45" s="123"/>
      <c r="AP45" s="123">
        <f t="shared" si="2"/>
        <v>24.8</v>
      </c>
      <c r="AQ45" s="123"/>
      <c r="AR45" s="123">
        <v>24.8</v>
      </c>
      <c r="AS45" s="123"/>
      <c r="AT45" s="123"/>
      <c r="AU45" s="123"/>
      <c r="AV45" s="123"/>
      <c r="AW45" s="123"/>
      <c r="AX45" s="123">
        <f t="shared" si="3"/>
        <v>24.8</v>
      </c>
      <c r="AY45" s="123">
        <f t="shared" si="6"/>
        <v>0</v>
      </c>
      <c r="AZ45" s="123">
        <f t="shared" si="6"/>
        <v>99.2</v>
      </c>
      <c r="BA45" s="123">
        <f t="shared" si="6"/>
        <v>0</v>
      </c>
      <c r="BB45" s="123">
        <f t="shared" si="6"/>
        <v>0</v>
      </c>
      <c r="BC45" s="123">
        <f t="shared" si="6"/>
        <v>0</v>
      </c>
      <c r="BD45" s="123">
        <f t="shared" si="6"/>
        <v>0</v>
      </c>
      <c r="BE45" s="123">
        <f t="shared" si="6"/>
        <v>0</v>
      </c>
      <c r="BF45" s="199">
        <f t="shared" si="5"/>
        <v>99.2</v>
      </c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</row>
    <row r="46" spans="1:71" s="19" customFormat="1" ht="108" x14ac:dyDescent="0.25">
      <c r="A46" s="765"/>
      <c r="B46" s="748" t="s">
        <v>843</v>
      </c>
      <c r="C46" s="751" t="s">
        <v>356</v>
      </c>
      <c r="D46" s="772" t="s">
        <v>351</v>
      </c>
      <c r="E46" s="772" t="s">
        <v>352</v>
      </c>
      <c r="F46" s="772" t="s">
        <v>537</v>
      </c>
      <c r="G46" s="772">
        <v>29</v>
      </c>
      <c r="H46" s="775" t="s">
        <v>844</v>
      </c>
      <c r="I46" s="775" t="s">
        <v>1342</v>
      </c>
      <c r="J46" s="772"/>
      <c r="K46" s="445" t="s">
        <v>353</v>
      </c>
      <c r="L46" s="369" t="s">
        <v>354</v>
      </c>
      <c r="M46" s="369" t="s">
        <v>537</v>
      </c>
      <c r="N46" s="446">
        <v>4</v>
      </c>
      <c r="O46" s="446">
        <v>2</v>
      </c>
      <c r="P46" s="446">
        <v>4</v>
      </c>
      <c r="Q46" s="446">
        <v>0</v>
      </c>
      <c r="R46" s="447">
        <v>0</v>
      </c>
      <c r="S46" s="133">
        <v>10</v>
      </c>
      <c r="T46" s="124"/>
      <c r="U46" s="124"/>
      <c r="V46" s="124"/>
      <c r="W46" s="124"/>
      <c r="X46" s="124"/>
      <c r="Y46" s="124"/>
      <c r="Z46" s="124">
        <f t="shared" si="0"/>
        <v>10</v>
      </c>
      <c r="AA46" s="124">
        <v>10</v>
      </c>
      <c r="AB46" s="124"/>
      <c r="AC46" s="124"/>
      <c r="AD46" s="124"/>
      <c r="AE46" s="124"/>
      <c r="AF46" s="124"/>
      <c r="AG46" s="124"/>
      <c r="AH46" s="124">
        <f t="shared" si="1"/>
        <v>10</v>
      </c>
      <c r="AI46" s="124"/>
      <c r="AJ46" s="124"/>
      <c r="AK46" s="124"/>
      <c r="AL46" s="124"/>
      <c r="AM46" s="124"/>
      <c r="AN46" s="124"/>
      <c r="AO46" s="124"/>
      <c r="AP46" s="124">
        <f t="shared" si="2"/>
        <v>0</v>
      </c>
      <c r="AQ46" s="124"/>
      <c r="AR46" s="124"/>
      <c r="AS46" s="124"/>
      <c r="AT46" s="124"/>
      <c r="AU46" s="124"/>
      <c r="AV46" s="124"/>
      <c r="AW46" s="124"/>
      <c r="AX46" s="124">
        <f t="shared" si="3"/>
        <v>0</v>
      </c>
      <c r="AY46" s="124">
        <f t="shared" si="6"/>
        <v>20</v>
      </c>
      <c r="AZ46" s="124">
        <f t="shared" si="6"/>
        <v>0</v>
      </c>
      <c r="BA46" s="124">
        <f t="shared" si="6"/>
        <v>0</v>
      </c>
      <c r="BB46" s="124">
        <f t="shared" si="6"/>
        <v>0</v>
      </c>
      <c r="BC46" s="124">
        <f t="shared" si="6"/>
        <v>0</v>
      </c>
      <c r="BD46" s="124">
        <f t="shared" si="6"/>
        <v>0</v>
      </c>
      <c r="BE46" s="124">
        <f t="shared" si="6"/>
        <v>0</v>
      </c>
      <c r="BF46" s="277">
        <f t="shared" si="5"/>
        <v>20</v>
      </c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</row>
    <row r="47" spans="1:71" s="19" customFormat="1" ht="67.5" x14ac:dyDescent="0.25">
      <c r="A47" s="765"/>
      <c r="B47" s="749"/>
      <c r="C47" s="752"/>
      <c r="D47" s="746"/>
      <c r="E47" s="746"/>
      <c r="F47" s="746"/>
      <c r="G47" s="746"/>
      <c r="H47" s="773"/>
      <c r="I47" s="773"/>
      <c r="J47" s="746"/>
      <c r="K47" s="271" t="s">
        <v>255</v>
      </c>
      <c r="L47" s="370" t="s">
        <v>355</v>
      </c>
      <c r="M47" s="17" t="s">
        <v>537</v>
      </c>
      <c r="N47" s="17">
        <v>29</v>
      </c>
      <c r="O47" s="17">
        <v>7</v>
      </c>
      <c r="P47" s="17">
        <v>14</v>
      </c>
      <c r="Q47" s="17">
        <v>20</v>
      </c>
      <c r="R47" s="39">
        <v>29</v>
      </c>
      <c r="S47" s="51">
        <v>5</v>
      </c>
      <c r="T47" s="44"/>
      <c r="U47" s="44"/>
      <c r="V47" s="44"/>
      <c r="W47" s="44"/>
      <c r="X47" s="44"/>
      <c r="Y47" s="44"/>
      <c r="Z47" s="44">
        <f t="shared" si="0"/>
        <v>5</v>
      </c>
      <c r="AA47" s="44">
        <v>5</v>
      </c>
      <c r="AB47" s="44"/>
      <c r="AC47" s="44"/>
      <c r="AD47" s="44"/>
      <c r="AE47" s="44"/>
      <c r="AF47" s="44"/>
      <c r="AG47" s="44"/>
      <c r="AH47" s="44">
        <f t="shared" si="1"/>
        <v>5</v>
      </c>
      <c r="AI47" s="44">
        <v>5</v>
      </c>
      <c r="AJ47" s="44"/>
      <c r="AK47" s="44"/>
      <c r="AL47" s="44"/>
      <c r="AM47" s="44"/>
      <c r="AN47" s="44"/>
      <c r="AO47" s="44"/>
      <c r="AP47" s="44">
        <f t="shared" si="2"/>
        <v>5</v>
      </c>
      <c r="AQ47" s="44">
        <v>5</v>
      </c>
      <c r="AR47" s="44"/>
      <c r="AS47" s="44"/>
      <c r="AT47" s="44"/>
      <c r="AU47" s="44"/>
      <c r="AV47" s="44"/>
      <c r="AW47" s="44"/>
      <c r="AX47" s="44">
        <f t="shared" si="3"/>
        <v>5</v>
      </c>
      <c r="AY47" s="44">
        <f t="shared" si="6"/>
        <v>20</v>
      </c>
      <c r="AZ47" s="44">
        <f t="shared" si="6"/>
        <v>0</v>
      </c>
      <c r="BA47" s="44">
        <f t="shared" si="6"/>
        <v>0</v>
      </c>
      <c r="BB47" s="44">
        <f t="shared" si="6"/>
        <v>0</v>
      </c>
      <c r="BC47" s="44">
        <f t="shared" si="6"/>
        <v>0</v>
      </c>
      <c r="BD47" s="44">
        <f t="shared" si="6"/>
        <v>0</v>
      </c>
      <c r="BE47" s="44">
        <f t="shared" si="6"/>
        <v>0</v>
      </c>
      <c r="BF47" s="45">
        <f t="shared" si="5"/>
        <v>20</v>
      </c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</row>
    <row r="48" spans="1:71" s="22" customFormat="1" ht="65.25" customHeight="1" x14ac:dyDescent="0.25">
      <c r="A48" s="765"/>
      <c r="B48" s="749"/>
      <c r="C48" s="752"/>
      <c r="D48" s="746"/>
      <c r="E48" s="746"/>
      <c r="F48" s="746"/>
      <c r="G48" s="746"/>
      <c r="H48" s="773"/>
      <c r="I48" s="773"/>
      <c r="J48" s="746"/>
      <c r="K48" s="745" t="s">
        <v>365</v>
      </c>
      <c r="L48" s="370" t="s">
        <v>1371</v>
      </c>
      <c r="M48" s="373">
        <v>0</v>
      </c>
      <c r="N48" s="373">
        <v>1</v>
      </c>
      <c r="O48" s="373"/>
      <c r="P48" s="373">
        <v>1</v>
      </c>
      <c r="Q48" s="373"/>
      <c r="R48" s="38"/>
      <c r="S48" s="51"/>
      <c r="T48" s="44"/>
      <c r="U48" s="44"/>
      <c r="V48" s="44"/>
      <c r="W48" s="44"/>
      <c r="X48" s="44"/>
      <c r="Y48" s="44">
        <v>40</v>
      </c>
      <c r="Z48" s="44">
        <f t="shared" ref="Z48:Z49" si="7">SUM(S48:Y48)</f>
        <v>40</v>
      </c>
      <c r="AA48" s="44">
        <v>15</v>
      </c>
      <c r="AB48" s="44"/>
      <c r="AC48" s="44"/>
      <c r="AD48" s="44"/>
      <c r="AE48" s="44"/>
      <c r="AF48" s="44"/>
      <c r="AG48" s="44">
        <v>15</v>
      </c>
      <c r="AH48" s="44">
        <f t="shared" ref="AH48:AH49" si="8">SUM(AA48:AG48)</f>
        <v>30</v>
      </c>
      <c r="AI48" s="44"/>
      <c r="AJ48" s="44"/>
      <c r="AK48" s="44"/>
      <c r="AL48" s="44"/>
      <c r="AM48" s="44"/>
      <c r="AN48" s="44"/>
      <c r="AO48" s="44"/>
      <c r="AP48" s="44">
        <f t="shared" ref="AP48:AP49" si="9">SUM(AI48:AO48)</f>
        <v>0</v>
      </c>
      <c r="AQ48" s="44"/>
      <c r="AR48" s="44"/>
      <c r="AS48" s="44"/>
      <c r="AT48" s="44"/>
      <c r="AU48" s="44"/>
      <c r="AV48" s="44"/>
      <c r="AW48" s="44"/>
      <c r="AX48" s="44">
        <f t="shared" ref="AX48:AX49" si="10">SUM(AQ48:AW48)</f>
        <v>0</v>
      </c>
      <c r="AY48" s="44">
        <f t="shared" si="6"/>
        <v>15</v>
      </c>
      <c r="AZ48" s="44">
        <f t="shared" si="6"/>
        <v>0</v>
      </c>
      <c r="BA48" s="44">
        <f t="shared" si="6"/>
        <v>0</v>
      </c>
      <c r="BB48" s="44">
        <f t="shared" si="6"/>
        <v>0</v>
      </c>
      <c r="BC48" s="44">
        <f t="shared" si="6"/>
        <v>0</v>
      </c>
      <c r="BD48" s="44">
        <f t="shared" si="6"/>
        <v>0</v>
      </c>
      <c r="BE48" s="44">
        <f t="shared" si="6"/>
        <v>55</v>
      </c>
      <c r="BF48" s="45">
        <f t="shared" si="5"/>
        <v>70</v>
      </c>
    </row>
    <row r="49" spans="1:71" s="22" customFormat="1" ht="81.75" customHeight="1" x14ac:dyDescent="0.25">
      <c r="A49" s="765"/>
      <c r="B49" s="749"/>
      <c r="C49" s="752"/>
      <c r="D49" s="762"/>
      <c r="E49" s="762"/>
      <c r="F49" s="762"/>
      <c r="G49" s="762"/>
      <c r="H49" s="756"/>
      <c r="I49" s="756"/>
      <c r="J49" s="762"/>
      <c r="K49" s="762"/>
      <c r="L49" s="370" t="s">
        <v>366</v>
      </c>
      <c r="M49" s="373">
        <v>0</v>
      </c>
      <c r="N49" s="373">
        <v>29</v>
      </c>
      <c r="O49" s="373"/>
      <c r="P49" s="373">
        <v>10</v>
      </c>
      <c r="Q49" s="373">
        <v>20</v>
      </c>
      <c r="R49" s="38">
        <v>29</v>
      </c>
      <c r="S49" s="51"/>
      <c r="T49" s="44"/>
      <c r="U49" s="44"/>
      <c r="V49" s="44"/>
      <c r="W49" s="44"/>
      <c r="X49" s="44"/>
      <c r="Y49" s="44"/>
      <c r="Z49" s="44">
        <f t="shared" si="7"/>
        <v>0</v>
      </c>
      <c r="AA49" s="44">
        <v>10</v>
      </c>
      <c r="AB49" s="44"/>
      <c r="AC49" s="44"/>
      <c r="AD49" s="44"/>
      <c r="AE49" s="44"/>
      <c r="AF49" s="44"/>
      <c r="AG49" s="44">
        <v>30</v>
      </c>
      <c r="AH49" s="44">
        <f t="shared" si="8"/>
        <v>40</v>
      </c>
      <c r="AI49" s="44">
        <v>10</v>
      </c>
      <c r="AJ49" s="44"/>
      <c r="AK49" s="44"/>
      <c r="AL49" s="44"/>
      <c r="AM49" s="44"/>
      <c r="AN49" s="44"/>
      <c r="AO49" s="44">
        <v>20</v>
      </c>
      <c r="AP49" s="44">
        <f t="shared" si="9"/>
        <v>30</v>
      </c>
      <c r="AQ49" s="44">
        <v>10</v>
      </c>
      <c r="AR49" s="44"/>
      <c r="AS49" s="44"/>
      <c r="AT49" s="44"/>
      <c r="AU49" s="44"/>
      <c r="AV49" s="44"/>
      <c r="AW49" s="44"/>
      <c r="AX49" s="44">
        <f t="shared" si="10"/>
        <v>10</v>
      </c>
      <c r="AY49" s="44">
        <f t="shared" si="6"/>
        <v>30</v>
      </c>
      <c r="AZ49" s="44">
        <f t="shared" si="6"/>
        <v>0</v>
      </c>
      <c r="BA49" s="44">
        <f t="shared" si="6"/>
        <v>0</v>
      </c>
      <c r="BB49" s="44">
        <f t="shared" si="6"/>
        <v>0</v>
      </c>
      <c r="BC49" s="44">
        <f t="shared" si="6"/>
        <v>0</v>
      </c>
      <c r="BD49" s="44">
        <f t="shared" si="6"/>
        <v>0</v>
      </c>
      <c r="BE49" s="44">
        <f t="shared" si="6"/>
        <v>50</v>
      </c>
      <c r="BF49" s="45">
        <f t="shared" si="5"/>
        <v>80</v>
      </c>
    </row>
    <row r="50" spans="1:71" s="19" customFormat="1" ht="78.75" customHeight="1" x14ac:dyDescent="0.25">
      <c r="A50" s="765"/>
      <c r="B50" s="749"/>
      <c r="C50" s="752"/>
      <c r="D50" s="723" t="s">
        <v>256</v>
      </c>
      <c r="E50" s="373" t="s">
        <v>257</v>
      </c>
      <c r="F50" s="370" t="s">
        <v>537</v>
      </c>
      <c r="G50" s="370">
        <v>2</v>
      </c>
      <c r="H50" s="724" t="s">
        <v>845</v>
      </c>
      <c r="I50" s="777" t="s">
        <v>1343</v>
      </c>
      <c r="J50" s="745"/>
      <c r="K50" s="373" t="s">
        <v>357</v>
      </c>
      <c r="L50" s="370" t="s">
        <v>259</v>
      </c>
      <c r="M50" s="17" t="s">
        <v>537</v>
      </c>
      <c r="N50" s="373">
        <v>1</v>
      </c>
      <c r="O50" s="373"/>
      <c r="P50" s="373">
        <v>1</v>
      </c>
      <c r="Q50" s="373"/>
      <c r="R50" s="38"/>
      <c r="S50" s="51"/>
      <c r="T50" s="44"/>
      <c r="U50" s="44"/>
      <c r="V50" s="44"/>
      <c r="W50" s="44"/>
      <c r="X50" s="44"/>
      <c r="Y50" s="44"/>
      <c r="Z50" s="44">
        <f t="shared" si="0"/>
        <v>0</v>
      </c>
      <c r="AA50" s="44"/>
      <c r="AB50" s="44"/>
      <c r="AC50" s="44"/>
      <c r="AD50" s="44"/>
      <c r="AE50" s="44"/>
      <c r="AF50" s="44">
        <v>1500</v>
      </c>
      <c r="AG50" s="44"/>
      <c r="AH50" s="44">
        <f t="shared" si="1"/>
        <v>1500</v>
      </c>
      <c r="AI50" s="44"/>
      <c r="AJ50" s="44"/>
      <c r="AK50" s="44"/>
      <c r="AL50" s="44"/>
      <c r="AM50" s="44"/>
      <c r="AN50" s="44"/>
      <c r="AO50" s="44"/>
      <c r="AP50" s="44">
        <f t="shared" si="2"/>
        <v>0</v>
      </c>
      <c r="AQ50" s="44"/>
      <c r="AR50" s="44"/>
      <c r="AS50" s="44"/>
      <c r="AT50" s="44"/>
      <c r="AU50" s="44"/>
      <c r="AV50" s="44"/>
      <c r="AW50" s="44"/>
      <c r="AX50" s="44">
        <f t="shared" si="3"/>
        <v>0</v>
      </c>
      <c r="AY50" s="44">
        <f t="shared" si="6"/>
        <v>0</v>
      </c>
      <c r="AZ50" s="44">
        <f t="shared" si="6"/>
        <v>0</v>
      </c>
      <c r="BA50" s="44">
        <f t="shared" si="6"/>
        <v>0</v>
      </c>
      <c r="BB50" s="44">
        <f t="shared" si="6"/>
        <v>0</v>
      </c>
      <c r="BC50" s="44">
        <f t="shared" si="6"/>
        <v>0</v>
      </c>
      <c r="BD50" s="44">
        <f t="shared" si="6"/>
        <v>1500</v>
      </c>
      <c r="BE50" s="44">
        <f t="shared" si="6"/>
        <v>0</v>
      </c>
      <c r="BF50" s="45">
        <f t="shared" si="5"/>
        <v>1500</v>
      </c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</row>
    <row r="51" spans="1:71" s="19" customFormat="1" ht="100.5" customHeight="1" x14ac:dyDescent="0.25">
      <c r="A51" s="765"/>
      <c r="B51" s="749"/>
      <c r="C51" s="752"/>
      <c r="D51" s="723"/>
      <c r="E51" s="723" t="s">
        <v>258</v>
      </c>
      <c r="F51" s="723" t="s">
        <v>537</v>
      </c>
      <c r="G51" s="723">
        <v>2</v>
      </c>
      <c r="H51" s="724"/>
      <c r="I51" s="778"/>
      <c r="J51" s="746"/>
      <c r="K51" s="373" t="s">
        <v>260</v>
      </c>
      <c r="L51" s="370" t="s">
        <v>261</v>
      </c>
      <c r="M51" s="373">
        <v>0</v>
      </c>
      <c r="N51" s="373">
        <v>12</v>
      </c>
      <c r="O51" s="373">
        <v>4</v>
      </c>
      <c r="P51" s="373">
        <v>8</v>
      </c>
      <c r="Q51" s="373">
        <v>12</v>
      </c>
      <c r="R51" s="38"/>
      <c r="S51" s="51">
        <v>10</v>
      </c>
      <c r="T51" s="44"/>
      <c r="U51" s="44"/>
      <c r="V51" s="44"/>
      <c r="W51" s="44"/>
      <c r="X51" s="44"/>
      <c r="Y51" s="44">
        <v>20</v>
      </c>
      <c r="Z51" s="44">
        <f t="shared" si="0"/>
        <v>30</v>
      </c>
      <c r="AA51" s="44">
        <v>5</v>
      </c>
      <c r="AB51" s="44"/>
      <c r="AC51" s="44"/>
      <c r="AD51" s="44"/>
      <c r="AE51" s="44"/>
      <c r="AF51" s="44"/>
      <c r="AG51" s="44"/>
      <c r="AH51" s="44">
        <f t="shared" si="1"/>
        <v>5</v>
      </c>
      <c r="AI51" s="44">
        <v>25</v>
      </c>
      <c r="AJ51" s="44"/>
      <c r="AK51" s="44"/>
      <c r="AL51" s="44"/>
      <c r="AM51" s="44"/>
      <c r="AN51" s="44"/>
      <c r="AO51" s="44"/>
      <c r="AP51" s="44">
        <f t="shared" si="2"/>
        <v>25</v>
      </c>
      <c r="AQ51" s="44"/>
      <c r="AR51" s="44"/>
      <c r="AS51" s="44"/>
      <c r="AT51" s="44"/>
      <c r="AU51" s="44"/>
      <c r="AV51" s="44"/>
      <c r="AW51" s="44"/>
      <c r="AX51" s="44">
        <f t="shared" si="3"/>
        <v>0</v>
      </c>
      <c r="AY51" s="44">
        <f t="shared" si="6"/>
        <v>40</v>
      </c>
      <c r="AZ51" s="44">
        <f t="shared" si="6"/>
        <v>0</v>
      </c>
      <c r="BA51" s="44">
        <f t="shared" si="6"/>
        <v>0</v>
      </c>
      <c r="BB51" s="44">
        <f t="shared" si="6"/>
        <v>0</v>
      </c>
      <c r="BC51" s="44">
        <f t="shared" si="6"/>
        <v>0</v>
      </c>
      <c r="BD51" s="44">
        <f t="shared" si="6"/>
        <v>0</v>
      </c>
      <c r="BE51" s="44">
        <f t="shared" si="6"/>
        <v>20</v>
      </c>
      <c r="BF51" s="45">
        <f t="shared" si="5"/>
        <v>60</v>
      </c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</row>
    <row r="52" spans="1:71" s="19" customFormat="1" ht="40.5" x14ac:dyDescent="0.25">
      <c r="A52" s="765"/>
      <c r="B52" s="749"/>
      <c r="C52" s="752"/>
      <c r="D52" s="723"/>
      <c r="E52" s="723"/>
      <c r="F52" s="723"/>
      <c r="G52" s="723"/>
      <c r="H52" s="724"/>
      <c r="I52" s="778"/>
      <c r="J52" s="746"/>
      <c r="K52" s="373" t="s">
        <v>262</v>
      </c>
      <c r="L52" s="370" t="s">
        <v>358</v>
      </c>
      <c r="M52" s="373">
        <v>1</v>
      </c>
      <c r="N52" s="373">
        <v>1</v>
      </c>
      <c r="O52" s="373"/>
      <c r="P52" s="373">
        <v>1</v>
      </c>
      <c r="Q52" s="373"/>
      <c r="R52" s="38"/>
      <c r="S52" s="51"/>
      <c r="T52" s="44"/>
      <c r="U52" s="44"/>
      <c r="V52" s="44"/>
      <c r="W52" s="44"/>
      <c r="X52" s="44"/>
      <c r="Y52" s="44"/>
      <c r="Z52" s="44">
        <f t="shared" si="0"/>
        <v>0</v>
      </c>
      <c r="AA52" s="44">
        <v>30</v>
      </c>
      <c r="AB52" s="44"/>
      <c r="AC52" s="44"/>
      <c r="AD52" s="44"/>
      <c r="AE52" s="44"/>
      <c r="AF52" s="44"/>
      <c r="AG52" s="44"/>
      <c r="AH52" s="44">
        <f t="shared" si="1"/>
        <v>30</v>
      </c>
      <c r="AI52" s="44"/>
      <c r="AJ52" s="44"/>
      <c r="AK52" s="44"/>
      <c r="AL52" s="44"/>
      <c r="AM52" s="44"/>
      <c r="AN52" s="44"/>
      <c r="AO52" s="44"/>
      <c r="AP52" s="44">
        <f t="shared" si="2"/>
        <v>0</v>
      </c>
      <c r="AQ52" s="44"/>
      <c r="AR52" s="44"/>
      <c r="AS52" s="44"/>
      <c r="AT52" s="44"/>
      <c r="AU52" s="44"/>
      <c r="AV52" s="44"/>
      <c r="AW52" s="44"/>
      <c r="AX52" s="44">
        <f t="shared" si="3"/>
        <v>0</v>
      </c>
      <c r="AY52" s="44">
        <f t="shared" si="6"/>
        <v>30</v>
      </c>
      <c r="AZ52" s="44">
        <f t="shared" si="6"/>
        <v>0</v>
      </c>
      <c r="BA52" s="44">
        <f t="shared" si="6"/>
        <v>0</v>
      </c>
      <c r="BB52" s="44">
        <f t="shared" si="6"/>
        <v>0</v>
      </c>
      <c r="BC52" s="44">
        <f t="shared" si="6"/>
        <v>0</v>
      </c>
      <c r="BD52" s="44">
        <f t="shared" si="6"/>
        <v>0</v>
      </c>
      <c r="BE52" s="44">
        <f t="shared" si="6"/>
        <v>0</v>
      </c>
      <c r="BF52" s="45">
        <f t="shared" si="5"/>
        <v>30</v>
      </c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</row>
    <row r="53" spans="1:71" s="19" customFormat="1" ht="40.5" x14ac:dyDescent="0.25">
      <c r="A53" s="765"/>
      <c r="B53" s="749"/>
      <c r="C53" s="752"/>
      <c r="D53" s="723"/>
      <c r="E53" s="723"/>
      <c r="F53" s="723"/>
      <c r="G53" s="723"/>
      <c r="H53" s="724"/>
      <c r="I53" s="778"/>
      <c r="J53" s="746"/>
      <c r="K53" s="373" t="s">
        <v>359</v>
      </c>
      <c r="L53" s="370" t="s">
        <v>360</v>
      </c>
      <c r="M53" s="373">
        <v>1</v>
      </c>
      <c r="N53" s="373">
        <v>1</v>
      </c>
      <c r="O53" s="373"/>
      <c r="P53" s="373">
        <v>1</v>
      </c>
      <c r="Q53" s="373"/>
      <c r="R53" s="38"/>
      <c r="S53" s="51"/>
      <c r="T53" s="44"/>
      <c r="U53" s="44"/>
      <c r="V53" s="44"/>
      <c r="W53" s="44"/>
      <c r="X53" s="44"/>
      <c r="Y53" s="44"/>
      <c r="Z53" s="44">
        <f t="shared" si="0"/>
        <v>0</v>
      </c>
      <c r="AA53" s="44">
        <v>50</v>
      </c>
      <c r="AB53" s="44"/>
      <c r="AC53" s="44"/>
      <c r="AD53" s="44"/>
      <c r="AE53" s="44"/>
      <c r="AF53" s="44"/>
      <c r="AG53" s="44"/>
      <c r="AH53" s="44">
        <f t="shared" si="1"/>
        <v>50</v>
      </c>
      <c r="AI53" s="44"/>
      <c r="AJ53" s="44"/>
      <c r="AK53" s="44"/>
      <c r="AL53" s="44"/>
      <c r="AM53" s="44"/>
      <c r="AN53" s="44"/>
      <c r="AO53" s="44"/>
      <c r="AP53" s="44">
        <f t="shared" si="2"/>
        <v>0</v>
      </c>
      <c r="AQ53" s="44"/>
      <c r="AR53" s="44"/>
      <c r="AS53" s="44"/>
      <c r="AT53" s="44"/>
      <c r="AU53" s="44"/>
      <c r="AV53" s="44"/>
      <c r="AW53" s="44"/>
      <c r="AX53" s="44">
        <f t="shared" si="3"/>
        <v>0</v>
      </c>
      <c r="AY53" s="44">
        <f t="shared" si="6"/>
        <v>50</v>
      </c>
      <c r="AZ53" s="44">
        <f t="shared" si="6"/>
        <v>0</v>
      </c>
      <c r="BA53" s="44">
        <f t="shared" si="6"/>
        <v>0</v>
      </c>
      <c r="BB53" s="44">
        <f t="shared" si="6"/>
        <v>0</v>
      </c>
      <c r="BC53" s="44">
        <f t="shared" si="6"/>
        <v>0</v>
      </c>
      <c r="BD53" s="44">
        <f t="shared" si="6"/>
        <v>0</v>
      </c>
      <c r="BE53" s="44">
        <f t="shared" si="6"/>
        <v>0</v>
      </c>
      <c r="BF53" s="45">
        <f t="shared" si="5"/>
        <v>50</v>
      </c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</row>
    <row r="54" spans="1:71" s="19" customFormat="1" ht="67.5" x14ac:dyDescent="0.25">
      <c r="A54" s="765"/>
      <c r="B54" s="749"/>
      <c r="C54" s="752"/>
      <c r="D54" s="723"/>
      <c r="E54" s="723"/>
      <c r="F54" s="723"/>
      <c r="G54" s="723"/>
      <c r="H54" s="724"/>
      <c r="I54" s="778"/>
      <c r="J54" s="746"/>
      <c r="K54" s="373" t="s">
        <v>361</v>
      </c>
      <c r="L54" s="370" t="s">
        <v>362</v>
      </c>
      <c r="M54" s="373">
        <v>0</v>
      </c>
      <c r="N54" s="373">
        <v>1</v>
      </c>
      <c r="O54" s="373"/>
      <c r="P54" s="373">
        <v>1</v>
      </c>
      <c r="Q54" s="373"/>
      <c r="R54" s="38"/>
      <c r="S54" s="51"/>
      <c r="T54" s="44"/>
      <c r="U54" s="44"/>
      <c r="V54" s="44"/>
      <c r="W54" s="44"/>
      <c r="X54" s="44"/>
      <c r="Y54" s="44"/>
      <c r="Z54" s="44">
        <f t="shared" si="0"/>
        <v>0</v>
      </c>
      <c r="AA54" s="44">
        <v>10</v>
      </c>
      <c r="AB54" s="44"/>
      <c r="AC54" s="44"/>
      <c r="AD54" s="44"/>
      <c r="AE54" s="44"/>
      <c r="AF54" s="44"/>
      <c r="AG54" s="44"/>
      <c r="AH54" s="44">
        <f t="shared" si="1"/>
        <v>10</v>
      </c>
      <c r="AI54" s="44"/>
      <c r="AJ54" s="44"/>
      <c r="AK54" s="44"/>
      <c r="AL54" s="44"/>
      <c r="AM54" s="44"/>
      <c r="AN54" s="44"/>
      <c r="AO54" s="44"/>
      <c r="AP54" s="44">
        <f t="shared" si="2"/>
        <v>0</v>
      </c>
      <c r="AQ54" s="44"/>
      <c r="AR54" s="44"/>
      <c r="AS54" s="44"/>
      <c r="AT54" s="44"/>
      <c r="AU54" s="44"/>
      <c r="AV54" s="44"/>
      <c r="AW54" s="44"/>
      <c r="AX54" s="44">
        <f t="shared" si="3"/>
        <v>0</v>
      </c>
      <c r="AY54" s="44">
        <f t="shared" si="6"/>
        <v>10</v>
      </c>
      <c r="AZ54" s="44">
        <f t="shared" si="6"/>
        <v>0</v>
      </c>
      <c r="BA54" s="44">
        <f t="shared" si="6"/>
        <v>0</v>
      </c>
      <c r="BB54" s="44">
        <f t="shared" si="6"/>
        <v>0</v>
      </c>
      <c r="BC54" s="44">
        <f t="shared" si="6"/>
        <v>0</v>
      </c>
      <c r="BD54" s="44">
        <f t="shared" si="6"/>
        <v>0</v>
      </c>
      <c r="BE54" s="44">
        <f t="shared" si="6"/>
        <v>0</v>
      </c>
      <c r="BF54" s="45">
        <f t="shared" si="5"/>
        <v>10</v>
      </c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</row>
    <row r="55" spans="1:71" s="19" customFormat="1" ht="54" x14ac:dyDescent="0.25">
      <c r="A55" s="765"/>
      <c r="B55" s="749"/>
      <c r="C55" s="752"/>
      <c r="D55" s="723"/>
      <c r="E55" s="723"/>
      <c r="F55" s="723"/>
      <c r="G55" s="723"/>
      <c r="H55" s="724"/>
      <c r="I55" s="778"/>
      <c r="J55" s="746"/>
      <c r="K55" s="373" t="s">
        <v>363</v>
      </c>
      <c r="L55" s="370" t="s">
        <v>267</v>
      </c>
      <c r="M55" s="17" t="s">
        <v>537</v>
      </c>
      <c r="N55" s="373">
        <v>4</v>
      </c>
      <c r="O55" s="373"/>
      <c r="P55" s="373"/>
      <c r="Q55" s="373">
        <v>2</v>
      </c>
      <c r="R55" s="38">
        <v>4</v>
      </c>
      <c r="S55" s="51"/>
      <c r="T55" s="44"/>
      <c r="U55" s="44"/>
      <c r="V55" s="44"/>
      <c r="W55" s="44"/>
      <c r="X55" s="44"/>
      <c r="Y55" s="44"/>
      <c r="Z55" s="44">
        <f t="shared" si="0"/>
        <v>0</v>
      </c>
      <c r="AA55" s="44"/>
      <c r="AB55" s="44"/>
      <c r="AC55" s="44"/>
      <c r="AD55" s="44"/>
      <c r="AE55" s="44"/>
      <c r="AF55" s="44"/>
      <c r="AG55" s="44">
        <v>50</v>
      </c>
      <c r="AH55" s="44">
        <f t="shared" si="1"/>
        <v>50</v>
      </c>
      <c r="AI55" s="44">
        <v>20</v>
      </c>
      <c r="AJ55" s="44"/>
      <c r="AK55" s="44"/>
      <c r="AL55" s="44"/>
      <c r="AM55" s="44"/>
      <c r="AN55" s="44"/>
      <c r="AO55" s="44"/>
      <c r="AP55" s="44">
        <f t="shared" si="2"/>
        <v>20</v>
      </c>
      <c r="AQ55" s="44">
        <v>20</v>
      </c>
      <c r="AR55" s="44"/>
      <c r="AS55" s="44"/>
      <c r="AT55" s="44"/>
      <c r="AU55" s="44"/>
      <c r="AV55" s="44"/>
      <c r="AW55" s="44"/>
      <c r="AX55" s="44">
        <f t="shared" si="3"/>
        <v>20</v>
      </c>
      <c r="AY55" s="44">
        <f t="shared" si="6"/>
        <v>40</v>
      </c>
      <c r="AZ55" s="44">
        <f t="shared" si="6"/>
        <v>0</v>
      </c>
      <c r="BA55" s="44">
        <f t="shared" si="6"/>
        <v>0</v>
      </c>
      <c r="BB55" s="44">
        <f t="shared" si="6"/>
        <v>0</v>
      </c>
      <c r="BC55" s="44">
        <f t="shared" si="6"/>
        <v>0</v>
      </c>
      <c r="BD55" s="44">
        <f t="shared" si="6"/>
        <v>0</v>
      </c>
      <c r="BE55" s="44">
        <f t="shared" si="6"/>
        <v>50</v>
      </c>
      <c r="BF55" s="45">
        <f t="shared" si="5"/>
        <v>90</v>
      </c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</row>
    <row r="56" spans="1:71" s="19" customFormat="1" ht="54" x14ac:dyDescent="0.25">
      <c r="A56" s="765"/>
      <c r="B56" s="749"/>
      <c r="C56" s="752"/>
      <c r="D56" s="723"/>
      <c r="E56" s="723"/>
      <c r="F56" s="723"/>
      <c r="G56" s="723"/>
      <c r="H56" s="724"/>
      <c r="I56" s="778"/>
      <c r="J56" s="746"/>
      <c r="K56" s="373" t="s">
        <v>263</v>
      </c>
      <c r="L56" s="370" t="s">
        <v>364</v>
      </c>
      <c r="M56" s="448" t="s">
        <v>537</v>
      </c>
      <c r="N56" s="449">
        <v>5</v>
      </c>
      <c r="O56" s="449">
        <v>2</v>
      </c>
      <c r="P56" s="449">
        <v>5</v>
      </c>
      <c r="Q56" s="449"/>
      <c r="R56" s="450"/>
      <c r="S56" s="51">
        <v>10</v>
      </c>
      <c r="T56" s="44"/>
      <c r="U56" s="44"/>
      <c r="V56" s="44"/>
      <c r="W56" s="44"/>
      <c r="X56" s="44"/>
      <c r="Y56" s="44"/>
      <c r="Z56" s="44">
        <f t="shared" si="0"/>
        <v>10</v>
      </c>
      <c r="AA56" s="44">
        <v>10</v>
      </c>
      <c r="AB56" s="44"/>
      <c r="AC56" s="44"/>
      <c r="AD56" s="44"/>
      <c r="AE56" s="44"/>
      <c r="AF56" s="44"/>
      <c r="AG56" s="44">
        <v>50</v>
      </c>
      <c r="AH56" s="44">
        <f t="shared" si="1"/>
        <v>60</v>
      </c>
      <c r="AI56" s="44"/>
      <c r="AJ56" s="44"/>
      <c r="AK56" s="44"/>
      <c r="AL56" s="44"/>
      <c r="AM56" s="44"/>
      <c r="AN56" s="44"/>
      <c r="AO56" s="44"/>
      <c r="AP56" s="44">
        <f t="shared" si="2"/>
        <v>0</v>
      </c>
      <c r="AQ56" s="44"/>
      <c r="AR56" s="44"/>
      <c r="AS56" s="44"/>
      <c r="AT56" s="44"/>
      <c r="AU56" s="44"/>
      <c r="AV56" s="44"/>
      <c r="AW56" s="44"/>
      <c r="AX56" s="44">
        <f t="shared" si="3"/>
        <v>0</v>
      </c>
      <c r="AY56" s="44">
        <f t="shared" si="6"/>
        <v>20</v>
      </c>
      <c r="AZ56" s="44">
        <f t="shared" si="6"/>
        <v>0</v>
      </c>
      <c r="BA56" s="44">
        <f t="shared" si="6"/>
        <v>0</v>
      </c>
      <c r="BB56" s="44">
        <f t="shared" ref="BB56:BE104" si="11">+V56+AD56+AL56+AT56</f>
        <v>0</v>
      </c>
      <c r="BC56" s="44">
        <f t="shared" si="11"/>
        <v>0</v>
      </c>
      <c r="BD56" s="44">
        <f t="shared" si="11"/>
        <v>0</v>
      </c>
      <c r="BE56" s="44">
        <f t="shared" si="11"/>
        <v>50</v>
      </c>
      <c r="BF56" s="45">
        <f t="shared" si="5"/>
        <v>70</v>
      </c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</row>
    <row r="57" spans="1:71" s="22" customFormat="1" ht="85.5" customHeight="1" x14ac:dyDescent="0.25">
      <c r="A57" s="765"/>
      <c r="B57" s="749"/>
      <c r="C57" s="752"/>
      <c r="D57" s="723"/>
      <c r="E57" s="723"/>
      <c r="F57" s="723"/>
      <c r="G57" s="723"/>
      <c r="H57" s="724"/>
      <c r="I57" s="778"/>
      <c r="J57" s="746"/>
      <c r="K57" s="373" t="s">
        <v>1344</v>
      </c>
      <c r="L57" s="463" t="s">
        <v>1345</v>
      </c>
      <c r="M57" s="272">
        <v>2</v>
      </c>
      <c r="N57" s="272">
        <v>4</v>
      </c>
      <c r="O57" s="272">
        <v>1</v>
      </c>
      <c r="P57" s="272">
        <v>2</v>
      </c>
      <c r="Q57" s="272">
        <v>3</v>
      </c>
      <c r="R57" s="38">
        <v>4</v>
      </c>
      <c r="S57" s="185">
        <v>10</v>
      </c>
      <c r="T57" s="44"/>
      <c r="U57" s="44"/>
      <c r="V57" s="44"/>
      <c r="W57" s="44"/>
      <c r="X57" s="44"/>
      <c r="Y57" s="44"/>
      <c r="Z57" s="44">
        <v>10</v>
      </c>
      <c r="AA57" s="44">
        <v>10</v>
      </c>
      <c r="AB57" s="44"/>
      <c r="AC57" s="44"/>
      <c r="AD57" s="44"/>
      <c r="AE57" s="44"/>
      <c r="AF57" s="44"/>
      <c r="AG57" s="44"/>
      <c r="AH57" s="44">
        <v>10</v>
      </c>
      <c r="AI57" s="44">
        <v>20</v>
      </c>
      <c r="AJ57" s="44"/>
      <c r="AK57" s="44"/>
      <c r="AL57" s="44"/>
      <c r="AM57" s="44"/>
      <c r="AN57" s="44"/>
      <c r="AO57" s="44"/>
      <c r="AP57" s="44">
        <v>10</v>
      </c>
      <c r="AQ57" s="44">
        <v>20</v>
      </c>
      <c r="AR57" s="44"/>
      <c r="AS57" s="44"/>
      <c r="AT57" s="44"/>
      <c r="AU57" s="44"/>
      <c r="AV57" s="44"/>
      <c r="AW57" s="44"/>
      <c r="AX57" s="44">
        <v>10</v>
      </c>
      <c r="AY57" s="44">
        <f t="shared" ref="AY57:BF104" si="12">+S57+AA57+AI57+AQ57</f>
        <v>60</v>
      </c>
      <c r="AZ57" s="44">
        <f t="shared" si="12"/>
        <v>0</v>
      </c>
      <c r="BA57" s="44">
        <f t="shared" si="12"/>
        <v>0</v>
      </c>
      <c r="BB57" s="44">
        <f t="shared" si="11"/>
        <v>0</v>
      </c>
      <c r="BC57" s="44">
        <f t="shared" si="11"/>
        <v>0</v>
      </c>
      <c r="BD57" s="44">
        <f t="shared" si="11"/>
        <v>0</v>
      </c>
      <c r="BE57" s="44">
        <f t="shared" si="11"/>
        <v>0</v>
      </c>
      <c r="BF57" s="45">
        <f t="shared" si="5"/>
        <v>60</v>
      </c>
    </row>
    <row r="58" spans="1:71" s="22" customFormat="1" ht="147" customHeight="1" x14ac:dyDescent="0.25">
      <c r="A58" s="765"/>
      <c r="B58" s="749"/>
      <c r="C58" s="752"/>
      <c r="D58" s="723" t="s">
        <v>1346</v>
      </c>
      <c r="E58" s="723" t="s">
        <v>1347</v>
      </c>
      <c r="F58" s="723" t="s">
        <v>367</v>
      </c>
      <c r="G58" s="723" t="s">
        <v>368</v>
      </c>
      <c r="H58" s="724" t="s">
        <v>244</v>
      </c>
      <c r="I58" s="724" t="s">
        <v>1348</v>
      </c>
      <c r="J58" s="723"/>
      <c r="K58" s="723" t="s">
        <v>264</v>
      </c>
      <c r="L58" s="370" t="s">
        <v>1349</v>
      </c>
      <c r="M58" s="373">
        <v>89</v>
      </c>
      <c r="N58" s="373">
        <v>12</v>
      </c>
      <c r="O58" s="373">
        <v>3</v>
      </c>
      <c r="P58" s="373">
        <v>6</v>
      </c>
      <c r="Q58" s="373">
        <v>9</v>
      </c>
      <c r="R58" s="38">
        <v>12</v>
      </c>
      <c r="S58" s="51"/>
      <c r="T58" s="44"/>
      <c r="U58" s="44"/>
      <c r="V58" s="44"/>
      <c r="W58" s="44"/>
      <c r="X58" s="44">
        <v>8087</v>
      </c>
      <c r="Y58" s="44">
        <v>1500</v>
      </c>
      <c r="Z58" s="44">
        <f t="shared" si="0"/>
        <v>9587</v>
      </c>
      <c r="AA58" s="44">
        <v>500</v>
      </c>
      <c r="AB58" s="44"/>
      <c r="AC58" s="44"/>
      <c r="AD58" s="44"/>
      <c r="AE58" s="44"/>
      <c r="AF58" s="44"/>
      <c r="AG58" s="44">
        <v>1500</v>
      </c>
      <c r="AH58" s="44">
        <f t="shared" si="1"/>
        <v>2000</v>
      </c>
      <c r="AI58" s="44">
        <v>500</v>
      </c>
      <c r="AJ58" s="44"/>
      <c r="AK58" s="44"/>
      <c r="AL58" s="44"/>
      <c r="AM58" s="44"/>
      <c r="AN58" s="44"/>
      <c r="AO58" s="44">
        <v>1500</v>
      </c>
      <c r="AP58" s="44">
        <f t="shared" si="2"/>
        <v>2000</v>
      </c>
      <c r="AQ58" s="44">
        <v>500</v>
      </c>
      <c r="AR58" s="44"/>
      <c r="AS58" s="44"/>
      <c r="AT58" s="44"/>
      <c r="AU58" s="44"/>
      <c r="AV58" s="44">
        <v>500</v>
      </c>
      <c r="AW58" s="44">
        <v>1500</v>
      </c>
      <c r="AX58" s="44">
        <f t="shared" si="3"/>
        <v>2500</v>
      </c>
      <c r="AY58" s="44">
        <f t="shared" si="12"/>
        <v>1500</v>
      </c>
      <c r="AZ58" s="44">
        <f t="shared" si="12"/>
        <v>0</v>
      </c>
      <c r="BA58" s="44">
        <f t="shared" si="12"/>
        <v>0</v>
      </c>
      <c r="BB58" s="44">
        <f t="shared" si="11"/>
        <v>0</v>
      </c>
      <c r="BC58" s="44">
        <f t="shared" si="11"/>
        <v>0</v>
      </c>
      <c r="BD58" s="44">
        <f t="shared" si="11"/>
        <v>8587</v>
      </c>
      <c r="BE58" s="44">
        <f t="shared" si="11"/>
        <v>6000</v>
      </c>
      <c r="BF58" s="45">
        <f t="shared" si="5"/>
        <v>16087</v>
      </c>
    </row>
    <row r="59" spans="1:71" s="19" customFormat="1" ht="69.75" customHeight="1" x14ac:dyDescent="0.25">
      <c r="A59" s="765"/>
      <c r="B59" s="749"/>
      <c r="C59" s="752"/>
      <c r="D59" s="723"/>
      <c r="E59" s="723"/>
      <c r="F59" s="723"/>
      <c r="G59" s="723"/>
      <c r="H59" s="724"/>
      <c r="I59" s="724"/>
      <c r="J59" s="723"/>
      <c r="K59" s="723"/>
      <c r="L59" s="370" t="s">
        <v>369</v>
      </c>
      <c r="M59" s="373">
        <v>3</v>
      </c>
      <c r="N59" s="373">
        <v>2</v>
      </c>
      <c r="O59" s="373"/>
      <c r="P59" s="373"/>
      <c r="Q59" s="373">
        <v>2</v>
      </c>
      <c r="R59" s="38"/>
      <c r="S59" s="51"/>
      <c r="T59" s="44"/>
      <c r="U59" s="44"/>
      <c r="V59" s="44"/>
      <c r="W59" s="44"/>
      <c r="X59" s="44"/>
      <c r="Y59" s="44"/>
      <c r="Z59" s="44">
        <f t="shared" si="0"/>
        <v>0</v>
      </c>
      <c r="AA59" s="44"/>
      <c r="AB59" s="44"/>
      <c r="AC59" s="44"/>
      <c r="AD59" s="44"/>
      <c r="AE59" s="44"/>
      <c r="AF59" s="44"/>
      <c r="AG59" s="44"/>
      <c r="AH59" s="44">
        <f t="shared" si="1"/>
        <v>0</v>
      </c>
      <c r="AI59" s="44"/>
      <c r="AJ59" s="44"/>
      <c r="AK59" s="44"/>
      <c r="AL59" s="44"/>
      <c r="AM59" s="44"/>
      <c r="AN59" s="44"/>
      <c r="AO59" s="44">
        <v>10000</v>
      </c>
      <c r="AP59" s="44">
        <f t="shared" si="2"/>
        <v>10000</v>
      </c>
      <c r="AQ59" s="44"/>
      <c r="AR59" s="44"/>
      <c r="AS59" s="44"/>
      <c r="AT59" s="44"/>
      <c r="AU59" s="44"/>
      <c r="AV59" s="44"/>
      <c r="AW59" s="44"/>
      <c r="AX59" s="44">
        <f t="shared" si="3"/>
        <v>0</v>
      </c>
      <c r="AY59" s="44">
        <f t="shared" si="12"/>
        <v>0</v>
      </c>
      <c r="AZ59" s="44">
        <f t="shared" si="12"/>
        <v>0</v>
      </c>
      <c r="BA59" s="44">
        <f t="shared" si="12"/>
        <v>0</v>
      </c>
      <c r="BB59" s="44">
        <f t="shared" si="11"/>
        <v>0</v>
      </c>
      <c r="BC59" s="44">
        <f t="shared" si="11"/>
        <v>0</v>
      </c>
      <c r="BD59" s="44">
        <f t="shared" si="11"/>
        <v>0</v>
      </c>
      <c r="BE59" s="44">
        <f t="shared" si="11"/>
        <v>10000</v>
      </c>
      <c r="BF59" s="45">
        <f t="shared" si="5"/>
        <v>10000</v>
      </c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</row>
    <row r="60" spans="1:71" s="19" customFormat="1" ht="54" x14ac:dyDescent="0.25">
      <c r="A60" s="765"/>
      <c r="B60" s="749"/>
      <c r="C60" s="752"/>
      <c r="D60" s="723"/>
      <c r="E60" s="723"/>
      <c r="F60" s="723"/>
      <c r="G60" s="723"/>
      <c r="H60" s="724"/>
      <c r="I60" s="724"/>
      <c r="J60" s="723"/>
      <c r="K60" s="723"/>
      <c r="L60" s="370" t="s">
        <v>1350</v>
      </c>
      <c r="M60" s="46" t="s">
        <v>571</v>
      </c>
      <c r="N60" s="44">
        <v>2089</v>
      </c>
      <c r="O60" s="46">
        <v>522</v>
      </c>
      <c r="P60" s="46">
        <f>+O60+522</f>
        <v>1044</v>
      </c>
      <c r="Q60" s="46">
        <f>+P60+522</f>
        <v>1566</v>
      </c>
      <c r="R60" s="38">
        <v>2089</v>
      </c>
      <c r="S60" s="44"/>
      <c r="T60" s="44"/>
      <c r="U60" s="44"/>
      <c r="V60" s="44"/>
      <c r="W60" s="44"/>
      <c r="X60" s="44"/>
      <c r="Y60" s="44">
        <f>24*522</f>
        <v>12528</v>
      </c>
      <c r="Z60" s="44">
        <f t="shared" ref="Z60" si="13">SUM(S60:Y60)</f>
        <v>12528</v>
      </c>
      <c r="AA60" s="44"/>
      <c r="AB60" s="44"/>
      <c r="AC60" s="44"/>
      <c r="AD60" s="44"/>
      <c r="AE60" s="44"/>
      <c r="AF60" s="44"/>
      <c r="AG60" s="44">
        <f>522*24</f>
        <v>12528</v>
      </c>
      <c r="AH60" s="44">
        <f t="shared" ref="AH60" si="14">SUM(AA60:AG60)</f>
        <v>12528</v>
      </c>
      <c r="AI60" s="44"/>
      <c r="AJ60" s="44"/>
      <c r="AK60" s="44"/>
      <c r="AL60" s="44"/>
      <c r="AM60" s="44"/>
      <c r="AN60" s="44"/>
      <c r="AO60" s="44">
        <v>12528</v>
      </c>
      <c r="AP60" s="44">
        <f t="shared" ref="AP60" si="15">SUM(AI60:AO60)</f>
        <v>12528</v>
      </c>
      <c r="AQ60" s="44"/>
      <c r="AR60" s="44"/>
      <c r="AS60" s="44"/>
      <c r="AT60" s="44"/>
      <c r="AU60" s="44"/>
      <c r="AV60" s="44"/>
      <c r="AW60" s="44">
        <v>12528</v>
      </c>
      <c r="AX60" s="44">
        <f t="shared" ref="AX60" si="16">SUM(AQ60:AW60)</f>
        <v>12528</v>
      </c>
      <c r="AY60" s="44">
        <f t="shared" si="12"/>
        <v>0</v>
      </c>
      <c r="AZ60" s="44">
        <f t="shared" si="12"/>
        <v>0</v>
      </c>
      <c r="BA60" s="44">
        <f t="shared" si="12"/>
        <v>0</v>
      </c>
      <c r="BB60" s="44">
        <f t="shared" si="11"/>
        <v>0</v>
      </c>
      <c r="BC60" s="44">
        <f t="shared" si="11"/>
        <v>0</v>
      </c>
      <c r="BD60" s="44">
        <f t="shared" si="11"/>
        <v>0</v>
      </c>
      <c r="BE60" s="44">
        <f t="shared" si="11"/>
        <v>50112</v>
      </c>
      <c r="BF60" s="83">
        <f t="shared" ref="BF60" si="17">+AY60+AZ60+BA60+BB60+BC60+BD60+BE60:BE61</f>
        <v>50112</v>
      </c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</row>
    <row r="61" spans="1:71" s="22" customFormat="1" ht="40.5" x14ac:dyDescent="0.25">
      <c r="A61" s="765"/>
      <c r="B61" s="749"/>
      <c r="C61" s="752"/>
      <c r="D61" s="745" t="s">
        <v>370</v>
      </c>
      <c r="E61" s="745" t="s">
        <v>371</v>
      </c>
      <c r="F61" s="745" t="s">
        <v>537</v>
      </c>
      <c r="G61" s="745">
        <v>3</v>
      </c>
      <c r="H61" s="755" t="s">
        <v>245</v>
      </c>
      <c r="I61" s="755" t="s">
        <v>1351</v>
      </c>
      <c r="J61" s="745"/>
      <c r="K61" s="373" t="s">
        <v>1352</v>
      </c>
      <c r="L61" s="370" t="s">
        <v>1353</v>
      </c>
      <c r="M61" s="373">
        <v>0</v>
      </c>
      <c r="N61" s="373">
        <v>29</v>
      </c>
      <c r="O61" s="373">
        <v>6</v>
      </c>
      <c r="P61" s="373">
        <v>16</v>
      </c>
      <c r="Q61" s="373">
        <v>25</v>
      </c>
      <c r="R61" s="38">
        <v>29</v>
      </c>
      <c r="S61" s="51">
        <v>5</v>
      </c>
      <c r="T61" s="44"/>
      <c r="U61" s="44"/>
      <c r="V61" s="44"/>
      <c r="W61" s="44"/>
      <c r="X61" s="44"/>
      <c r="Y61" s="44">
        <v>10</v>
      </c>
      <c r="Z61" s="44">
        <f t="shared" si="0"/>
        <v>15</v>
      </c>
      <c r="AA61" s="44">
        <v>10</v>
      </c>
      <c r="AB61" s="44"/>
      <c r="AC61" s="44"/>
      <c r="AD61" s="44"/>
      <c r="AE61" s="44"/>
      <c r="AF61" s="44"/>
      <c r="AG61" s="44">
        <v>10</v>
      </c>
      <c r="AH61" s="44">
        <f t="shared" si="1"/>
        <v>20</v>
      </c>
      <c r="AI61" s="44">
        <v>20</v>
      </c>
      <c r="AJ61" s="44"/>
      <c r="AK61" s="44"/>
      <c r="AL61" s="44"/>
      <c r="AM61" s="44"/>
      <c r="AN61" s="44"/>
      <c r="AO61" s="44">
        <v>10</v>
      </c>
      <c r="AP61" s="44">
        <f t="shared" si="2"/>
        <v>30</v>
      </c>
      <c r="AQ61" s="44">
        <v>20</v>
      </c>
      <c r="AR61" s="44"/>
      <c r="AS61" s="44"/>
      <c r="AT61" s="44"/>
      <c r="AU61" s="44"/>
      <c r="AV61" s="44"/>
      <c r="AW61" s="44">
        <v>10</v>
      </c>
      <c r="AX61" s="44">
        <f t="shared" si="3"/>
        <v>30</v>
      </c>
      <c r="AY61" s="44">
        <f t="shared" si="12"/>
        <v>55</v>
      </c>
      <c r="AZ61" s="44">
        <f t="shared" si="12"/>
        <v>0</v>
      </c>
      <c r="BA61" s="44">
        <f t="shared" si="12"/>
        <v>0</v>
      </c>
      <c r="BB61" s="44">
        <f t="shared" si="11"/>
        <v>0</v>
      </c>
      <c r="BC61" s="44">
        <f t="shared" si="11"/>
        <v>0</v>
      </c>
      <c r="BD61" s="44">
        <f t="shared" si="11"/>
        <v>0</v>
      </c>
      <c r="BE61" s="44">
        <f t="shared" si="11"/>
        <v>40</v>
      </c>
      <c r="BF61" s="45">
        <f t="shared" si="5"/>
        <v>95</v>
      </c>
    </row>
    <row r="62" spans="1:71" s="22" customFormat="1" ht="67.5" x14ac:dyDescent="0.25">
      <c r="A62" s="765"/>
      <c r="B62" s="749"/>
      <c r="C62" s="752"/>
      <c r="D62" s="746"/>
      <c r="E62" s="746"/>
      <c r="F62" s="746"/>
      <c r="G62" s="746"/>
      <c r="H62" s="773"/>
      <c r="I62" s="773"/>
      <c r="J62" s="746"/>
      <c r="K62" s="373" t="s">
        <v>1354</v>
      </c>
      <c r="L62" s="370" t="s">
        <v>1355</v>
      </c>
      <c r="M62" s="373">
        <v>0</v>
      </c>
      <c r="N62" s="373">
        <v>29</v>
      </c>
      <c r="O62" s="373">
        <v>6</v>
      </c>
      <c r="P62" s="373">
        <v>16</v>
      </c>
      <c r="Q62" s="373">
        <v>25</v>
      </c>
      <c r="R62" s="38">
        <v>29</v>
      </c>
      <c r="S62" s="51">
        <v>5</v>
      </c>
      <c r="T62" s="44"/>
      <c r="U62" s="44"/>
      <c r="V62" s="44"/>
      <c r="W62" s="44"/>
      <c r="X62" s="44"/>
      <c r="Y62" s="44">
        <v>5</v>
      </c>
      <c r="Z62" s="44">
        <f t="shared" si="0"/>
        <v>10</v>
      </c>
      <c r="AA62" s="44">
        <v>5</v>
      </c>
      <c r="AB62" s="44"/>
      <c r="AC62" s="44"/>
      <c r="AD62" s="44"/>
      <c r="AE62" s="44"/>
      <c r="AF62" s="44"/>
      <c r="AG62" s="44">
        <v>5</v>
      </c>
      <c r="AH62" s="44">
        <f t="shared" si="1"/>
        <v>10</v>
      </c>
      <c r="AI62" s="44">
        <v>20</v>
      </c>
      <c r="AJ62" s="44"/>
      <c r="AK62" s="44"/>
      <c r="AL62" s="44"/>
      <c r="AM62" s="44"/>
      <c r="AN62" s="44"/>
      <c r="AO62" s="44">
        <v>5</v>
      </c>
      <c r="AP62" s="44">
        <f t="shared" si="2"/>
        <v>25</v>
      </c>
      <c r="AQ62" s="44">
        <v>20</v>
      </c>
      <c r="AR62" s="44"/>
      <c r="AS62" s="44"/>
      <c r="AT62" s="44"/>
      <c r="AU62" s="44"/>
      <c r="AV62" s="44"/>
      <c r="AW62" s="44"/>
      <c r="AX62" s="44">
        <f t="shared" si="3"/>
        <v>20</v>
      </c>
      <c r="AY62" s="44">
        <f t="shared" si="12"/>
        <v>50</v>
      </c>
      <c r="AZ62" s="44">
        <f t="shared" si="12"/>
        <v>0</v>
      </c>
      <c r="BA62" s="44">
        <f t="shared" si="12"/>
        <v>0</v>
      </c>
      <c r="BB62" s="44">
        <f t="shared" si="11"/>
        <v>0</v>
      </c>
      <c r="BC62" s="44">
        <f t="shared" si="11"/>
        <v>0</v>
      </c>
      <c r="BD62" s="44">
        <f t="shared" si="11"/>
        <v>0</v>
      </c>
      <c r="BE62" s="44">
        <f t="shared" si="11"/>
        <v>15</v>
      </c>
      <c r="BF62" s="45">
        <f t="shared" si="5"/>
        <v>65</v>
      </c>
    </row>
    <row r="63" spans="1:71" s="19" customFormat="1" ht="67.5" x14ac:dyDescent="0.25">
      <c r="A63" s="765"/>
      <c r="B63" s="749"/>
      <c r="C63" s="752"/>
      <c r="D63" s="746"/>
      <c r="E63" s="746"/>
      <c r="F63" s="746"/>
      <c r="G63" s="746"/>
      <c r="H63" s="773"/>
      <c r="I63" s="773"/>
      <c r="J63" s="746"/>
      <c r="K63" s="373" t="s">
        <v>265</v>
      </c>
      <c r="L63" s="370" t="s">
        <v>266</v>
      </c>
      <c r="M63" s="373">
        <v>0</v>
      </c>
      <c r="N63" s="373">
        <v>16</v>
      </c>
      <c r="O63" s="373">
        <v>4</v>
      </c>
      <c r="P63" s="373">
        <v>8</v>
      </c>
      <c r="Q63" s="373">
        <v>12</v>
      </c>
      <c r="R63" s="38">
        <v>16</v>
      </c>
      <c r="S63" s="51"/>
      <c r="T63" s="44"/>
      <c r="U63" s="44"/>
      <c r="V63" s="44"/>
      <c r="W63" s="44"/>
      <c r="X63" s="44"/>
      <c r="Y63" s="44">
        <v>10</v>
      </c>
      <c r="Z63" s="44">
        <f t="shared" si="0"/>
        <v>10</v>
      </c>
      <c r="AA63" s="44"/>
      <c r="AB63" s="44"/>
      <c r="AC63" s="44"/>
      <c r="AD63" s="44"/>
      <c r="AE63" s="44"/>
      <c r="AF63" s="44"/>
      <c r="AG63" s="44">
        <v>10</v>
      </c>
      <c r="AH63" s="44">
        <f t="shared" si="1"/>
        <v>10</v>
      </c>
      <c r="AI63" s="44"/>
      <c r="AJ63" s="44"/>
      <c r="AK63" s="44"/>
      <c r="AL63" s="44"/>
      <c r="AM63" s="44"/>
      <c r="AN63" s="44"/>
      <c r="AO63" s="44">
        <v>10</v>
      </c>
      <c r="AP63" s="44">
        <f t="shared" si="2"/>
        <v>10</v>
      </c>
      <c r="AQ63" s="44"/>
      <c r="AR63" s="44"/>
      <c r="AS63" s="44"/>
      <c r="AT63" s="44"/>
      <c r="AU63" s="44"/>
      <c r="AV63" s="44"/>
      <c r="AW63" s="44">
        <v>10</v>
      </c>
      <c r="AX63" s="44">
        <f t="shared" si="3"/>
        <v>10</v>
      </c>
      <c r="AY63" s="44">
        <f t="shared" si="12"/>
        <v>0</v>
      </c>
      <c r="AZ63" s="44">
        <f t="shared" si="12"/>
        <v>0</v>
      </c>
      <c r="BA63" s="44">
        <f t="shared" si="12"/>
        <v>0</v>
      </c>
      <c r="BB63" s="44">
        <f t="shared" si="11"/>
        <v>0</v>
      </c>
      <c r="BC63" s="44">
        <f t="shared" si="11"/>
        <v>0</v>
      </c>
      <c r="BD63" s="44">
        <f t="shared" si="11"/>
        <v>0</v>
      </c>
      <c r="BE63" s="44">
        <f t="shared" si="11"/>
        <v>40</v>
      </c>
      <c r="BF63" s="45">
        <f t="shared" si="5"/>
        <v>40</v>
      </c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</row>
    <row r="64" spans="1:71" s="19" customFormat="1" ht="40.5" x14ac:dyDescent="0.25">
      <c r="A64" s="765"/>
      <c r="B64" s="749"/>
      <c r="C64" s="752"/>
      <c r="D64" s="746"/>
      <c r="E64" s="746"/>
      <c r="F64" s="746"/>
      <c r="G64" s="746"/>
      <c r="H64" s="773"/>
      <c r="I64" s="773"/>
      <c r="J64" s="746"/>
      <c r="K64" s="724" t="s">
        <v>372</v>
      </c>
      <c r="L64" s="370" t="s">
        <v>1356</v>
      </c>
      <c r="M64" s="373">
        <v>0</v>
      </c>
      <c r="N64" s="373">
        <v>15</v>
      </c>
      <c r="O64" s="373">
        <v>15</v>
      </c>
      <c r="P64" s="373"/>
      <c r="Q64" s="373"/>
      <c r="R64" s="38"/>
      <c r="S64" s="51"/>
      <c r="T64" s="44"/>
      <c r="U64" s="44"/>
      <c r="V64" s="44"/>
      <c r="W64" s="44"/>
      <c r="X64" s="44"/>
      <c r="Y64" s="44">
        <v>15</v>
      </c>
      <c r="Z64" s="44">
        <f t="shared" si="0"/>
        <v>15</v>
      </c>
      <c r="AA64" s="44"/>
      <c r="AB64" s="44"/>
      <c r="AC64" s="44"/>
      <c r="AD64" s="44"/>
      <c r="AE64" s="44"/>
      <c r="AF64" s="44"/>
      <c r="AG64" s="44"/>
      <c r="AH64" s="44">
        <f t="shared" si="1"/>
        <v>0</v>
      </c>
      <c r="AI64" s="44"/>
      <c r="AJ64" s="44"/>
      <c r="AK64" s="44"/>
      <c r="AL64" s="44"/>
      <c r="AM64" s="44"/>
      <c r="AN64" s="44"/>
      <c r="AO64" s="44"/>
      <c r="AP64" s="44">
        <f t="shared" si="2"/>
        <v>0</v>
      </c>
      <c r="AQ64" s="44"/>
      <c r="AR64" s="44"/>
      <c r="AS64" s="44"/>
      <c r="AT64" s="44"/>
      <c r="AU64" s="44"/>
      <c r="AV64" s="44"/>
      <c r="AW64" s="44"/>
      <c r="AX64" s="44">
        <f t="shared" si="3"/>
        <v>0</v>
      </c>
      <c r="AY64" s="44">
        <f t="shared" si="12"/>
        <v>0</v>
      </c>
      <c r="AZ64" s="44">
        <f t="shared" si="12"/>
        <v>0</v>
      </c>
      <c r="BA64" s="44">
        <f t="shared" si="12"/>
        <v>0</v>
      </c>
      <c r="BB64" s="44">
        <f t="shared" si="11"/>
        <v>0</v>
      </c>
      <c r="BC64" s="44">
        <f t="shared" si="11"/>
        <v>0</v>
      </c>
      <c r="BD64" s="44">
        <f t="shared" si="11"/>
        <v>0</v>
      </c>
      <c r="BE64" s="44">
        <f t="shared" si="11"/>
        <v>15</v>
      </c>
      <c r="BF64" s="45">
        <f t="shared" si="5"/>
        <v>15</v>
      </c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</row>
    <row r="65" spans="1:71" s="19" customFormat="1" ht="54" x14ac:dyDescent="0.25">
      <c r="A65" s="765"/>
      <c r="B65" s="749"/>
      <c r="C65" s="752"/>
      <c r="D65" s="746"/>
      <c r="E65" s="746"/>
      <c r="F65" s="746"/>
      <c r="G65" s="746"/>
      <c r="H65" s="773"/>
      <c r="I65" s="773"/>
      <c r="J65" s="746"/>
      <c r="K65" s="724"/>
      <c r="L65" s="370" t="s">
        <v>1357</v>
      </c>
      <c r="M65" s="373">
        <v>0</v>
      </c>
      <c r="N65" s="373">
        <v>15</v>
      </c>
      <c r="O65" s="373">
        <v>15</v>
      </c>
      <c r="P65" s="373"/>
      <c r="Q65" s="373"/>
      <c r="R65" s="38"/>
      <c r="S65" s="51"/>
      <c r="T65" s="44"/>
      <c r="U65" s="44"/>
      <c r="V65" s="44"/>
      <c r="W65" s="44"/>
      <c r="X65" s="44"/>
      <c r="Y65" s="44">
        <v>15</v>
      </c>
      <c r="Z65" s="44">
        <f t="shared" si="0"/>
        <v>15</v>
      </c>
      <c r="AA65" s="44"/>
      <c r="AB65" s="44"/>
      <c r="AC65" s="44"/>
      <c r="AD65" s="44"/>
      <c r="AE65" s="44"/>
      <c r="AF65" s="44"/>
      <c r="AG65" s="44"/>
      <c r="AH65" s="44">
        <f t="shared" si="1"/>
        <v>0</v>
      </c>
      <c r="AI65" s="44"/>
      <c r="AJ65" s="44"/>
      <c r="AK65" s="44"/>
      <c r="AL65" s="44"/>
      <c r="AM65" s="44"/>
      <c r="AN65" s="44"/>
      <c r="AO65" s="44"/>
      <c r="AP65" s="44">
        <f t="shared" si="2"/>
        <v>0</v>
      </c>
      <c r="AQ65" s="44"/>
      <c r="AR65" s="44"/>
      <c r="AS65" s="44"/>
      <c r="AT65" s="44"/>
      <c r="AU65" s="44"/>
      <c r="AV65" s="44"/>
      <c r="AW65" s="44"/>
      <c r="AX65" s="44">
        <f t="shared" si="3"/>
        <v>0</v>
      </c>
      <c r="AY65" s="44">
        <f t="shared" si="12"/>
        <v>0</v>
      </c>
      <c r="AZ65" s="44">
        <f t="shared" si="12"/>
        <v>0</v>
      </c>
      <c r="BA65" s="44">
        <f t="shared" si="12"/>
        <v>0</v>
      </c>
      <c r="BB65" s="44">
        <f t="shared" si="11"/>
        <v>0</v>
      </c>
      <c r="BC65" s="44">
        <f t="shared" si="11"/>
        <v>0</v>
      </c>
      <c r="BD65" s="44">
        <f t="shared" si="11"/>
        <v>0</v>
      </c>
      <c r="BE65" s="44">
        <f t="shared" si="11"/>
        <v>15</v>
      </c>
      <c r="BF65" s="45">
        <f t="shared" si="5"/>
        <v>15</v>
      </c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</row>
    <row r="66" spans="1:71" s="19" customFormat="1" ht="67.5" x14ac:dyDescent="0.25">
      <c r="A66" s="765"/>
      <c r="B66" s="749"/>
      <c r="C66" s="752"/>
      <c r="D66" s="746"/>
      <c r="E66" s="746"/>
      <c r="F66" s="746"/>
      <c r="G66" s="746"/>
      <c r="H66" s="773"/>
      <c r="I66" s="773"/>
      <c r="J66" s="746"/>
      <c r="K66" s="373" t="s">
        <v>373</v>
      </c>
      <c r="L66" s="370" t="s">
        <v>1358</v>
      </c>
      <c r="M66" s="373">
        <v>0</v>
      </c>
      <c r="N66" s="373">
        <v>29</v>
      </c>
      <c r="O66" s="373">
        <v>29</v>
      </c>
      <c r="P66" s="373"/>
      <c r="Q66" s="373"/>
      <c r="R66" s="38"/>
      <c r="S66" s="51">
        <v>8</v>
      </c>
      <c r="T66" s="44"/>
      <c r="U66" s="44"/>
      <c r="V66" s="44"/>
      <c r="W66" s="44"/>
      <c r="X66" s="44"/>
      <c r="Y66" s="44">
        <v>60</v>
      </c>
      <c r="Z66" s="44">
        <f t="shared" si="0"/>
        <v>68</v>
      </c>
      <c r="AA66" s="44"/>
      <c r="AB66" s="44"/>
      <c r="AC66" s="44"/>
      <c r="AD66" s="44"/>
      <c r="AE66" s="44"/>
      <c r="AF66" s="44"/>
      <c r="AG66" s="44"/>
      <c r="AH66" s="44">
        <f t="shared" si="1"/>
        <v>0</v>
      </c>
      <c r="AI66" s="44"/>
      <c r="AJ66" s="44"/>
      <c r="AK66" s="44"/>
      <c r="AL66" s="44"/>
      <c r="AM66" s="44"/>
      <c r="AN66" s="44"/>
      <c r="AO66" s="44"/>
      <c r="AP66" s="44">
        <f t="shared" si="2"/>
        <v>0</v>
      </c>
      <c r="AQ66" s="44"/>
      <c r="AR66" s="44"/>
      <c r="AS66" s="44"/>
      <c r="AT66" s="44"/>
      <c r="AU66" s="44"/>
      <c r="AV66" s="44"/>
      <c r="AW66" s="44"/>
      <c r="AX66" s="44">
        <f t="shared" si="3"/>
        <v>0</v>
      </c>
      <c r="AY66" s="44">
        <f t="shared" si="12"/>
        <v>8</v>
      </c>
      <c r="AZ66" s="44">
        <f t="shared" si="12"/>
        <v>0</v>
      </c>
      <c r="BA66" s="44">
        <f t="shared" si="12"/>
        <v>0</v>
      </c>
      <c r="BB66" s="44">
        <f t="shared" si="11"/>
        <v>0</v>
      </c>
      <c r="BC66" s="44">
        <f t="shared" si="11"/>
        <v>0</v>
      </c>
      <c r="BD66" s="44">
        <f t="shared" si="11"/>
        <v>0</v>
      </c>
      <c r="BE66" s="44">
        <f t="shared" si="11"/>
        <v>60</v>
      </c>
      <c r="BF66" s="45">
        <f t="shared" si="5"/>
        <v>68</v>
      </c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</row>
    <row r="67" spans="1:71" s="22" customFormat="1" ht="40.5" x14ac:dyDescent="0.25">
      <c r="A67" s="765"/>
      <c r="B67" s="749"/>
      <c r="C67" s="752"/>
      <c r="D67" s="746"/>
      <c r="E67" s="746"/>
      <c r="F67" s="746"/>
      <c r="G67" s="746"/>
      <c r="H67" s="773"/>
      <c r="I67" s="773"/>
      <c r="J67" s="746"/>
      <c r="K67" s="373" t="s">
        <v>1359</v>
      </c>
      <c r="L67" s="370" t="s">
        <v>374</v>
      </c>
      <c r="M67" s="373">
        <v>1</v>
      </c>
      <c r="N67" s="373">
        <v>4</v>
      </c>
      <c r="O67" s="373">
        <v>1</v>
      </c>
      <c r="P67" s="373">
        <v>2</v>
      </c>
      <c r="Q67" s="373">
        <v>3</v>
      </c>
      <c r="R67" s="38">
        <v>4</v>
      </c>
      <c r="S67" s="51">
        <v>5</v>
      </c>
      <c r="T67" s="44"/>
      <c r="U67" s="44"/>
      <c r="V67" s="44"/>
      <c r="W67" s="44"/>
      <c r="X67" s="44"/>
      <c r="Y67" s="44"/>
      <c r="Z67" s="44">
        <f t="shared" si="0"/>
        <v>5</v>
      </c>
      <c r="AA67" s="44">
        <v>5</v>
      </c>
      <c r="AB67" s="44"/>
      <c r="AC67" s="44"/>
      <c r="AD67" s="44"/>
      <c r="AE67" s="44"/>
      <c r="AF67" s="44"/>
      <c r="AG67" s="44"/>
      <c r="AH67" s="44">
        <f t="shared" si="1"/>
        <v>5</v>
      </c>
      <c r="AI67" s="44">
        <v>10</v>
      </c>
      <c r="AJ67" s="44"/>
      <c r="AK67" s="44"/>
      <c r="AL67" s="44"/>
      <c r="AM67" s="44"/>
      <c r="AN67" s="44"/>
      <c r="AO67" s="44"/>
      <c r="AP67" s="44">
        <f t="shared" si="2"/>
        <v>10</v>
      </c>
      <c r="AQ67" s="44">
        <v>10</v>
      </c>
      <c r="AR67" s="44"/>
      <c r="AS67" s="44"/>
      <c r="AT67" s="44"/>
      <c r="AU67" s="44"/>
      <c r="AV67" s="44"/>
      <c r="AW67" s="44"/>
      <c r="AX67" s="44">
        <f t="shared" si="3"/>
        <v>10</v>
      </c>
      <c r="AY67" s="44">
        <f t="shared" si="12"/>
        <v>30</v>
      </c>
      <c r="AZ67" s="44">
        <f t="shared" si="12"/>
        <v>0</v>
      </c>
      <c r="BA67" s="44">
        <f t="shared" si="12"/>
        <v>0</v>
      </c>
      <c r="BB67" s="44">
        <f t="shared" si="11"/>
        <v>0</v>
      </c>
      <c r="BC67" s="44">
        <f t="shared" si="11"/>
        <v>0</v>
      </c>
      <c r="BD67" s="44">
        <f t="shared" si="11"/>
        <v>0</v>
      </c>
      <c r="BE67" s="44">
        <f t="shared" si="11"/>
        <v>0</v>
      </c>
      <c r="BF67" s="45">
        <f t="shared" si="5"/>
        <v>30</v>
      </c>
    </row>
    <row r="68" spans="1:71" s="22" customFormat="1" ht="54.75" customHeight="1" x14ac:dyDescent="0.25">
      <c r="A68" s="765"/>
      <c r="B68" s="749"/>
      <c r="C68" s="752"/>
      <c r="D68" s="746"/>
      <c r="E68" s="746"/>
      <c r="F68" s="746"/>
      <c r="G68" s="746"/>
      <c r="H68" s="773"/>
      <c r="I68" s="773"/>
      <c r="J68" s="746"/>
      <c r="K68" s="373" t="s">
        <v>375</v>
      </c>
      <c r="L68" s="370" t="s">
        <v>1372</v>
      </c>
      <c r="M68" s="373">
        <v>100</v>
      </c>
      <c r="N68" s="373">
        <v>100</v>
      </c>
      <c r="O68" s="373">
        <v>100</v>
      </c>
      <c r="P68" s="373">
        <v>100</v>
      </c>
      <c r="Q68" s="373">
        <v>100</v>
      </c>
      <c r="R68" s="38">
        <v>100</v>
      </c>
      <c r="S68" s="51"/>
      <c r="T68" s="44"/>
      <c r="U68" s="44"/>
      <c r="V68" s="44"/>
      <c r="W68" s="44"/>
      <c r="X68" s="44"/>
      <c r="Y68" s="44">
        <v>4000</v>
      </c>
      <c r="Z68" s="44">
        <f t="shared" si="0"/>
        <v>4000</v>
      </c>
      <c r="AA68" s="44">
        <v>100</v>
      </c>
      <c r="AB68" s="44"/>
      <c r="AC68" s="44"/>
      <c r="AD68" s="44"/>
      <c r="AE68" s="44"/>
      <c r="AF68" s="44"/>
      <c r="AG68" s="44">
        <v>4000</v>
      </c>
      <c r="AH68" s="44">
        <f t="shared" si="1"/>
        <v>4100</v>
      </c>
      <c r="AI68" s="44">
        <v>200</v>
      </c>
      <c r="AJ68" s="44"/>
      <c r="AK68" s="44"/>
      <c r="AL68" s="44"/>
      <c r="AM68" s="44"/>
      <c r="AN68" s="44"/>
      <c r="AO68" s="44">
        <v>4000</v>
      </c>
      <c r="AP68" s="44">
        <f t="shared" si="2"/>
        <v>4200</v>
      </c>
      <c r="AQ68" s="44">
        <v>200</v>
      </c>
      <c r="AR68" s="44"/>
      <c r="AS68" s="44"/>
      <c r="AT68" s="44"/>
      <c r="AU68" s="44"/>
      <c r="AV68" s="44"/>
      <c r="AW68" s="44">
        <v>4000</v>
      </c>
      <c r="AX68" s="44">
        <f t="shared" si="3"/>
        <v>4200</v>
      </c>
      <c r="AY68" s="44">
        <f t="shared" si="12"/>
        <v>500</v>
      </c>
      <c r="AZ68" s="44">
        <f t="shared" si="12"/>
        <v>0</v>
      </c>
      <c r="BA68" s="44">
        <f t="shared" si="12"/>
        <v>0</v>
      </c>
      <c r="BB68" s="44">
        <f t="shared" si="11"/>
        <v>0</v>
      </c>
      <c r="BC68" s="44">
        <f t="shared" si="11"/>
        <v>0</v>
      </c>
      <c r="BD68" s="44">
        <f t="shared" si="11"/>
        <v>0</v>
      </c>
      <c r="BE68" s="44">
        <f t="shared" si="11"/>
        <v>16000</v>
      </c>
      <c r="BF68" s="45">
        <f t="shared" si="5"/>
        <v>16500</v>
      </c>
    </row>
    <row r="69" spans="1:71" s="19" customFormat="1" ht="67.5" x14ac:dyDescent="0.25">
      <c r="A69" s="765"/>
      <c r="B69" s="749"/>
      <c r="C69" s="752"/>
      <c r="D69" s="746"/>
      <c r="E69" s="746"/>
      <c r="F69" s="746"/>
      <c r="G69" s="746"/>
      <c r="H69" s="773"/>
      <c r="I69" s="773"/>
      <c r="J69" s="746"/>
      <c r="K69" s="373" t="s">
        <v>268</v>
      </c>
      <c r="L69" s="370" t="s">
        <v>269</v>
      </c>
      <c r="M69" s="373">
        <v>0</v>
      </c>
      <c r="N69" s="373">
        <v>2</v>
      </c>
      <c r="O69" s="373">
        <v>1</v>
      </c>
      <c r="P69" s="373">
        <v>2</v>
      </c>
      <c r="Q69" s="373"/>
      <c r="R69" s="38"/>
      <c r="S69" s="51">
        <v>10</v>
      </c>
      <c r="T69" s="44"/>
      <c r="U69" s="44"/>
      <c r="V69" s="44"/>
      <c r="W69" s="44"/>
      <c r="X69" s="44"/>
      <c r="Y69" s="44"/>
      <c r="Z69" s="44">
        <f t="shared" ref="Z69:Z97" si="18">SUM(S69:Y69)</f>
        <v>10</v>
      </c>
      <c r="AA69" s="44">
        <v>20</v>
      </c>
      <c r="AB69" s="44"/>
      <c r="AC69" s="44"/>
      <c r="AD69" s="44"/>
      <c r="AE69" s="44"/>
      <c r="AF69" s="44"/>
      <c r="AG69" s="44"/>
      <c r="AH69" s="44">
        <f t="shared" ref="AH69:AH97" si="19">SUM(AA69:AG69)</f>
        <v>20</v>
      </c>
      <c r="AI69" s="44"/>
      <c r="AJ69" s="44"/>
      <c r="AK69" s="44"/>
      <c r="AL69" s="44"/>
      <c r="AM69" s="44"/>
      <c r="AN69" s="44"/>
      <c r="AO69" s="44"/>
      <c r="AP69" s="44">
        <f t="shared" ref="AP69:AP97" si="20">SUM(AI69:AO69)</f>
        <v>0</v>
      </c>
      <c r="AQ69" s="44"/>
      <c r="AR69" s="44"/>
      <c r="AS69" s="44"/>
      <c r="AT69" s="44"/>
      <c r="AU69" s="44"/>
      <c r="AV69" s="44"/>
      <c r="AW69" s="44"/>
      <c r="AX69" s="44">
        <f t="shared" ref="AX69:AX97" si="21">SUM(AQ69:AW69)</f>
        <v>0</v>
      </c>
      <c r="AY69" s="44">
        <f t="shared" si="12"/>
        <v>30</v>
      </c>
      <c r="AZ69" s="44">
        <f t="shared" si="12"/>
        <v>0</v>
      </c>
      <c r="BA69" s="44">
        <f t="shared" si="12"/>
        <v>0</v>
      </c>
      <c r="BB69" s="44">
        <f t="shared" si="11"/>
        <v>0</v>
      </c>
      <c r="BC69" s="44">
        <f t="shared" si="11"/>
        <v>0</v>
      </c>
      <c r="BD69" s="44">
        <f t="shared" si="11"/>
        <v>0</v>
      </c>
      <c r="BE69" s="44">
        <f t="shared" si="11"/>
        <v>0</v>
      </c>
      <c r="BF69" s="45">
        <f t="shared" si="5"/>
        <v>30</v>
      </c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</row>
    <row r="70" spans="1:71" s="19" customFormat="1" ht="90.75" customHeight="1" x14ac:dyDescent="0.25">
      <c r="A70" s="765"/>
      <c r="B70" s="749"/>
      <c r="C70" s="752"/>
      <c r="D70" s="746"/>
      <c r="E70" s="746"/>
      <c r="F70" s="746"/>
      <c r="G70" s="746"/>
      <c r="H70" s="773"/>
      <c r="I70" s="773"/>
      <c r="J70" s="746"/>
      <c r="K70" s="755" t="s">
        <v>960</v>
      </c>
      <c r="L70" s="370" t="s">
        <v>961</v>
      </c>
      <c r="M70" s="448" t="s">
        <v>537</v>
      </c>
      <c r="N70" s="449">
        <v>30</v>
      </c>
      <c r="O70" s="449"/>
      <c r="P70" s="449">
        <v>10</v>
      </c>
      <c r="Q70" s="449">
        <v>20</v>
      </c>
      <c r="R70" s="38">
        <v>30</v>
      </c>
      <c r="S70" s="51"/>
      <c r="T70" s="44"/>
      <c r="U70" s="44"/>
      <c r="V70" s="44"/>
      <c r="W70" s="44"/>
      <c r="X70" s="44"/>
      <c r="Y70" s="44"/>
      <c r="Z70" s="44">
        <f t="shared" si="18"/>
        <v>0</v>
      </c>
      <c r="AA70" s="44"/>
      <c r="AB70" s="44"/>
      <c r="AC70" s="44"/>
      <c r="AD70" s="44"/>
      <c r="AE70" s="44"/>
      <c r="AF70" s="44"/>
      <c r="AG70" s="44">
        <v>10</v>
      </c>
      <c r="AH70" s="44">
        <f t="shared" si="19"/>
        <v>10</v>
      </c>
      <c r="AI70" s="44"/>
      <c r="AJ70" s="44"/>
      <c r="AK70" s="44"/>
      <c r="AL70" s="44"/>
      <c r="AM70" s="44"/>
      <c r="AN70" s="44"/>
      <c r="AO70" s="44">
        <v>10</v>
      </c>
      <c r="AP70" s="44">
        <f t="shared" si="20"/>
        <v>10</v>
      </c>
      <c r="AQ70" s="44"/>
      <c r="AR70" s="44"/>
      <c r="AS70" s="44"/>
      <c r="AT70" s="44"/>
      <c r="AU70" s="44"/>
      <c r="AV70" s="44"/>
      <c r="AW70" s="44">
        <v>10</v>
      </c>
      <c r="AX70" s="44">
        <f t="shared" si="21"/>
        <v>10</v>
      </c>
      <c r="AY70" s="44">
        <f t="shared" si="12"/>
        <v>0</v>
      </c>
      <c r="AZ70" s="44">
        <f t="shared" si="12"/>
        <v>0</v>
      </c>
      <c r="BA70" s="44">
        <f t="shared" si="12"/>
        <v>0</v>
      </c>
      <c r="BB70" s="44">
        <f t="shared" si="11"/>
        <v>0</v>
      </c>
      <c r="BC70" s="44">
        <f t="shared" si="11"/>
        <v>0</v>
      </c>
      <c r="BD70" s="44">
        <f t="shared" si="11"/>
        <v>0</v>
      </c>
      <c r="BE70" s="44">
        <f t="shared" si="11"/>
        <v>30</v>
      </c>
      <c r="BF70" s="45">
        <f t="shared" si="5"/>
        <v>30</v>
      </c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</row>
    <row r="71" spans="1:71" s="19" customFormat="1" ht="136.5" customHeight="1" x14ac:dyDescent="0.25">
      <c r="A71" s="765"/>
      <c r="B71" s="749"/>
      <c r="C71" s="752"/>
      <c r="D71" s="746"/>
      <c r="E71" s="746"/>
      <c r="F71" s="746"/>
      <c r="G71" s="746"/>
      <c r="H71" s="773"/>
      <c r="I71" s="773"/>
      <c r="J71" s="746"/>
      <c r="K71" s="756"/>
      <c r="L71" s="463" t="s">
        <v>1360</v>
      </c>
      <c r="M71" s="272" t="s">
        <v>537</v>
      </c>
      <c r="N71" s="272">
        <v>1</v>
      </c>
      <c r="O71" s="272"/>
      <c r="P71" s="272">
        <v>1</v>
      </c>
      <c r="Q71" s="272">
        <v>1</v>
      </c>
      <c r="R71" s="451"/>
      <c r="S71" s="51"/>
      <c r="T71" s="44"/>
      <c r="U71" s="44"/>
      <c r="V71" s="44"/>
      <c r="W71" s="44"/>
      <c r="X71" s="44"/>
      <c r="Y71" s="44"/>
      <c r="Z71" s="44">
        <f t="shared" si="18"/>
        <v>0</v>
      </c>
      <c r="AA71" s="44"/>
      <c r="AB71" s="44"/>
      <c r="AC71" s="44"/>
      <c r="AD71" s="44"/>
      <c r="AE71" s="44"/>
      <c r="AF71" s="44"/>
      <c r="AG71" s="44"/>
      <c r="AH71" s="44">
        <f t="shared" si="19"/>
        <v>0</v>
      </c>
      <c r="AI71" s="44"/>
      <c r="AJ71" s="44"/>
      <c r="AK71" s="44"/>
      <c r="AL71" s="44"/>
      <c r="AM71" s="44"/>
      <c r="AN71" s="44"/>
      <c r="AO71" s="44"/>
      <c r="AP71" s="44">
        <f t="shared" si="20"/>
        <v>0</v>
      </c>
      <c r="AQ71" s="44"/>
      <c r="AR71" s="44"/>
      <c r="AS71" s="44"/>
      <c r="AT71" s="44"/>
      <c r="AU71" s="44"/>
      <c r="AV71" s="44"/>
      <c r="AW71" s="44"/>
      <c r="AX71" s="44"/>
      <c r="AY71" s="44"/>
      <c r="AZ71" s="44">
        <f t="shared" si="12"/>
        <v>0</v>
      </c>
      <c r="BA71" s="44">
        <f t="shared" si="12"/>
        <v>0</v>
      </c>
      <c r="BB71" s="44">
        <f t="shared" si="11"/>
        <v>0</v>
      </c>
      <c r="BC71" s="44">
        <f t="shared" si="11"/>
        <v>0</v>
      </c>
      <c r="BD71" s="44">
        <f t="shared" si="11"/>
        <v>0</v>
      </c>
      <c r="BE71" s="44">
        <f t="shared" si="11"/>
        <v>0</v>
      </c>
      <c r="BF71" s="45">
        <f t="shared" ref="BF71:BF104" si="22">SUM(AY71:BE71)</f>
        <v>0</v>
      </c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</row>
    <row r="72" spans="1:71" s="19" customFormat="1" ht="109.5" customHeight="1" x14ac:dyDescent="0.25">
      <c r="A72" s="765"/>
      <c r="B72" s="749"/>
      <c r="C72" s="752"/>
      <c r="D72" s="762"/>
      <c r="E72" s="762"/>
      <c r="F72" s="762"/>
      <c r="G72" s="762"/>
      <c r="H72" s="756"/>
      <c r="I72" s="756"/>
      <c r="J72" s="762"/>
      <c r="K72" s="373" t="s">
        <v>1361</v>
      </c>
      <c r="L72" s="370" t="s">
        <v>1362</v>
      </c>
      <c r="M72" s="452" t="s">
        <v>537</v>
      </c>
      <c r="N72" s="453">
        <v>1</v>
      </c>
      <c r="O72" s="453"/>
      <c r="P72" s="453">
        <v>1</v>
      </c>
      <c r="Q72" s="453">
        <v>1</v>
      </c>
      <c r="R72" s="38"/>
      <c r="S72" s="51"/>
      <c r="T72" s="44"/>
      <c r="U72" s="44"/>
      <c r="V72" s="44"/>
      <c r="W72" s="44"/>
      <c r="X72" s="44"/>
      <c r="Y72" s="44"/>
      <c r="Z72" s="44">
        <f t="shared" si="18"/>
        <v>0</v>
      </c>
      <c r="AA72" s="44"/>
      <c r="AB72" s="44"/>
      <c r="AC72" s="44"/>
      <c r="AD72" s="44"/>
      <c r="AE72" s="44"/>
      <c r="AF72" s="44"/>
      <c r="AG72" s="44">
        <v>50</v>
      </c>
      <c r="AH72" s="44">
        <f t="shared" si="19"/>
        <v>50</v>
      </c>
      <c r="AI72" s="44"/>
      <c r="AJ72" s="44"/>
      <c r="AK72" s="44"/>
      <c r="AL72" s="44"/>
      <c r="AM72" s="44"/>
      <c r="AN72" s="44"/>
      <c r="AO72" s="44">
        <v>50</v>
      </c>
      <c r="AP72" s="44">
        <f t="shared" si="20"/>
        <v>50</v>
      </c>
      <c r="AQ72" s="44"/>
      <c r="AR72" s="44"/>
      <c r="AS72" s="44"/>
      <c r="AT72" s="44"/>
      <c r="AU72" s="44"/>
      <c r="AV72" s="44"/>
      <c r="AW72" s="44"/>
      <c r="AX72" s="44">
        <f t="shared" si="21"/>
        <v>0</v>
      </c>
      <c r="AY72" s="44">
        <f t="shared" ref="AY72:AY104" si="23">+S72+AA72+AI72+AQ72</f>
        <v>0</v>
      </c>
      <c r="AZ72" s="44">
        <f t="shared" si="12"/>
        <v>0</v>
      </c>
      <c r="BA72" s="44">
        <f t="shared" si="12"/>
        <v>0</v>
      </c>
      <c r="BB72" s="44">
        <f t="shared" si="11"/>
        <v>0</v>
      </c>
      <c r="BC72" s="44">
        <f t="shared" si="11"/>
        <v>0</v>
      </c>
      <c r="BD72" s="44">
        <f t="shared" si="11"/>
        <v>0</v>
      </c>
      <c r="BE72" s="44">
        <f t="shared" si="11"/>
        <v>100</v>
      </c>
      <c r="BF72" s="45">
        <f t="shared" si="22"/>
        <v>100</v>
      </c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</row>
    <row r="73" spans="1:71" s="19" customFormat="1" ht="89.25" customHeight="1" x14ac:dyDescent="0.25">
      <c r="A73" s="765"/>
      <c r="B73" s="749"/>
      <c r="C73" s="752"/>
      <c r="D73" s="723" t="s">
        <v>376</v>
      </c>
      <c r="E73" s="724" t="s">
        <v>377</v>
      </c>
      <c r="F73" s="723" t="s">
        <v>537</v>
      </c>
      <c r="G73" s="723">
        <v>39380</v>
      </c>
      <c r="H73" s="724" t="s">
        <v>247</v>
      </c>
      <c r="I73" s="724" t="s">
        <v>1096</v>
      </c>
      <c r="J73" s="723"/>
      <c r="K73" s="373" t="s">
        <v>1363</v>
      </c>
      <c r="L73" s="370" t="s">
        <v>378</v>
      </c>
      <c r="M73" s="373">
        <v>0</v>
      </c>
      <c r="N73" s="373">
        <v>25443</v>
      </c>
      <c r="O73" s="373">
        <v>25443</v>
      </c>
      <c r="P73" s="373"/>
      <c r="Q73" s="373"/>
      <c r="R73" s="38"/>
      <c r="S73" s="51"/>
      <c r="T73" s="44"/>
      <c r="U73" s="44"/>
      <c r="V73" s="44">
        <v>64016</v>
      </c>
      <c r="W73" s="44"/>
      <c r="X73" s="44"/>
      <c r="Y73" s="44"/>
      <c r="Z73" s="44">
        <f t="shared" si="18"/>
        <v>64016</v>
      </c>
      <c r="AA73" s="44"/>
      <c r="AB73" s="44"/>
      <c r="AC73" s="44"/>
      <c r="AD73" s="44"/>
      <c r="AE73" s="44"/>
      <c r="AF73" s="44"/>
      <c r="AG73" s="44"/>
      <c r="AH73" s="44">
        <f t="shared" si="19"/>
        <v>0</v>
      </c>
      <c r="AI73" s="44"/>
      <c r="AJ73" s="44"/>
      <c r="AK73" s="44"/>
      <c r="AL73" s="44"/>
      <c r="AM73" s="44"/>
      <c r="AN73" s="44"/>
      <c r="AO73" s="44"/>
      <c r="AP73" s="44">
        <f t="shared" si="20"/>
        <v>0</v>
      </c>
      <c r="AQ73" s="44"/>
      <c r="AR73" s="44"/>
      <c r="AS73" s="44"/>
      <c r="AT73" s="44"/>
      <c r="AU73" s="44"/>
      <c r="AV73" s="44"/>
      <c r="AW73" s="44"/>
      <c r="AX73" s="44">
        <f t="shared" si="21"/>
        <v>0</v>
      </c>
      <c r="AY73" s="44">
        <f t="shared" si="23"/>
        <v>0</v>
      </c>
      <c r="AZ73" s="44">
        <f t="shared" si="12"/>
        <v>0</v>
      </c>
      <c r="BA73" s="44">
        <f t="shared" si="12"/>
        <v>0</v>
      </c>
      <c r="BB73" s="44">
        <f t="shared" si="11"/>
        <v>64016</v>
      </c>
      <c r="BC73" s="44">
        <f t="shared" si="11"/>
        <v>0</v>
      </c>
      <c r="BD73" s="44">
        <f t="shared" si="11"/>
        <v>0</v>
      </c>
      <c r="BE73" s="44">
        <f t="shared" si="11"/>
        <v>0</v>
      </c>
      <c r="BF73" s="45">
        <f t="shared" si="22"/>
        <v>64016</v>
      </c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</row>
    <row r="74" spans="1:71" s="19" customFormat="1" ht="86.25" customHeight="1" x14ac:dyDescent="0.25">
      <c r="A74" s="765"/>
      <c r="B74" s="749"/>
      <c r="C74" s="752"/>
      <c r="D74" s="723"/>
      <c r="E74" s="724"/>
      <c r="F74" s="723"/>
      <c r="G74" s="723"/>
      <c r="H74" s="724"/>
      <c r="I74" s="724"/>
      <c r="J74" s="723"/>
      <c r="K74" s="373" t="s">
        <v>1364</v>
      </c>
      <c r="L74" s="370" t="s">
        <v>1365</v>
      </c>
      <c r="M74" s="373">
        <v>0</v>
      </c>
      <c r="N74" s="373">
        <v>15308</v>
      </c>
      <c r="O74" s="373"/>
      <c r="P74" s="373">
        <v>15308</v>
      </c>
      <c r="Q74" s="373"/>
      <c r="R74" s="38"/>
      <c r="S74" s="51"/>
      <c r="T74" s="44"/>
      <c r="U74" s="44"/>
      <c r="V74" s="44">
        <v>176357</v>
      </c>
      <c r="W74" s="44"/>
      <c r="X74" s="44"/>
      <c r="Y74" s="44"/>
      <c r="Z74" s="44">
        <v>176357</v>
      </c>
      <c r="AA74" s="44"/>
      <c r="AB74" s="44"/>
      <c r="AC74" s="44"/>
      <c r="AD74" s="44"/>
      <c r="AE74" s="44"/>
      <c r="AF74" s="44"/>
      <c r="AG74" s="44"/>
      <c r="AH74" s="44">
        <f t="shared" si="19"/>
        <v>0</v>
      </c>
      <c r="AI74" s="44"/>
      <c r="AJ74" s="44"/>
      <c r="AK74" s="44"/>
      <c r="AL74" s="44"/>
      <c r="AM74" s="44"/>
      <c r="AN74" s="44"/>
      <c r="AO74" s="44"/>
      <c r="AP74" s="44">
        <f t="shared" si="20"/>
        <v>0</v>
      </c>
      <c r="AQ74" s="44"/>
      <c r="AR74" s="44"/>
      <c r="AS74" s="44"/>
      <c r="AT74" s="44"/>
      <c r="AU74" s="44"/>
      <c r="AV74" s="44"/>
      <c r="AW74" s="44"/>
      <c r="AX74" s="44">
        <f t="shared" si="21"/>
        <v>0</v>
      </c>
      <c r="AY74" s="44"/>
      <c r="AZ74" s="44">
        <f t="shared" si="12"/>
        <v>0</v>
      </c>
      <c r="BA74" s="44">
        <f t="shared" si="12"/>
        <v>0</v>
      </c>
      <c r="BB74" s="44">
        <f t="shared" si="11"/>
        <v>176357</v>
      </c>
      <c r="BC74" s="44">
        <f t="shared" si="11"/>
        <v>0</v>
      </c>
      <c r="BD74" s="44">
        <f t="shared" si="11"/>
        <v>0</v>
      </c>
      <c r="BE74" s="44">
        <f t="shared" si="11"/>
        <v>0</v>
      </c>
      <c r="BF74" s="45">
        <f t="shared" si="22"/>
        <v>176357</v>
      </c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</row>
    <row r="75" spans="1:71" s="19" customFormat="1" ht="54" x14ac:dyDescent="0.25">
      <c r="A75" s="765"/>
      <c r="B75" s="749"/>
      <c r="C75" s="752"/>
      <c r="D75" s="776"/>
      <c r="E75" s="724"/>
      <c r="F75" s="723"/>
      <c r="G75" s="723"/>
      <c r="H75" s="724"/>
      <c r="I75" s="724"/>
      <c r="J75" s="723"/>
      <c r="K75" s="373" t="s">
        <v>1366</v>
      </c>
      <c r="L75" s="370" t="s">
        <v>1367</v>
      </c>
      <c r="M75" s="373">
        <v>306</v>
      </c>
      <c r="N75" s="373">
        <v>3574</v>
      </c>
      <c r="O75" s="373">
        <v>3574</v>
      </c>
      <c r="P75" s="373"/>
      <c r="Q75" s="373"/>
      <c r="R75" s="38"/>
      <c r="S75" s="51"/>
      <c r="T75" s="44"/>
      <c r="U75" s="44"/>
      <c r="V75" s="44">
        <v>9006</v>
      </c>
      <c r="W75" s="44"/>
      <c r="X75" s="44"/>
      <c r="Y75" s="44"/>
      <c r="Z75" s="44">
        <f t="shared" si="18"/>
        <v>9006</v>
      </c>
      <c r="AA75" s="44"/>
      <c r="AB75" s="44"/>
      <c r="AC75" s="44"/>
      <c r="AD75" s="44"/>
      <c r="AE75" s="44"/>
      <c r="AF75" s="44"/>
      <c r="AG75" s="44"/>
      <c r="AH75" s="44">
        <f t="shared" si="19"/>
        <v>0</v>
      </c>
      <c r="AI75" s="44"/>
      <c r="AJ75" s="44"/>
      <c r="AK75" s="44"/>
      <c r="AL75" s="44"/>
      <c r="AM75" s="44"/>
      <c r="AN75" s="44"/>
      <c r="AO75" s="44"/>
      <c r="AP75" s="44">
        <f t="shared" si="20"/>
        <v>0</v>
      </c>
      <c r="AQ75" s="44"/>
      <c r="AR75" s="44"/>
      <c r="AS75" s="44"/>
      <c r="AT75" s="44"/>
      <c r="AU75" s="44"/>
      <c r="AV75" s="44"/>
      <c r="AW75" s="44"/>
      <c r="AX75" s="44">
        <f t="shared" si="21"/>
        <v>0</v>
      </c>
      <c r="AY75" s="44">
        <f t="shared" si="23"/>
        <v>0</v>
      </c>
      <c r="AZ75" s="44">
        <f t="shared" si="12"/>
        <v>0</v>
      </c>
      <c r="BA75" s="44">
        <f t="shared" si="12"/>
        <v>0</v>
      </c>
      <c r="BB75" s="44">
        <f t="shared" si="11"/>
        <v>9006</v>
      </c>
      <c r="BC75" s="44">
        <f t="shared" si="11"/>
        <v>0</v>
      </c>
      <c r="BD75" s="44">
        <f t="shared" si="11"/>
        <v>0</v>
      </c>
      <c r="BE75" s="44">
        <f t="shared" si="11"/>
        <v>0</v>
      </c>
      <c r="BF75" s="45">
        <f t="shared" si="22"/>
        <v>9006</v>
      </c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</row>
    <row r="76" spans="1:71" s="19" customFormat="1" ht="67.5" x14ac:dyDescent="0.25">
      <c r="A76" s="765"/>
      <c r="B76" s="749"/>
      <c r="C76" s="752"/>
      <c r="D76" s="776"/>
      <c r="E76" s="724"/>
      <c r="F76" s="723"/>
      <c r="G76" s="723"/>
      <c r="H76" s="724"/>
      <c r="I76" s="724"/>
      <c r="J76" s="723"/>
      <c r="K76" s="355" t="s">
        <v>1331</v>
      </c>
      <c r="L76" s="379" t="s">
        <v>213</v>
      </c>
      <c r="M76" s="44"/>
      <c r="N76" s="44">
        <f>+M76+99</f>
        <v>99</v>
      </c>
      <c r="O76" s="44">
        <v>33</v>
      </c>
      <c r="P76" s="44">
        <v>66</v>
      </c>
      <c r="Q76" s="44">
        <v>99</v>
      </c>
      <c r="R76" s="45"/>
      <c r="S76" s="185"/>
      <c r="T76" s="44"/>
      <c r="U76" s="44"/>
      <c r="V76" s="44">
        <v>20996</v>
      </c>
      <c r="W76" s="44"/>
      <c r="X76" s="44"/>
      <c r="Y76" s="44"/>
      <c r="Z76" s="44">
        <f t="shared" ref="Z76" si="24">SUM(S76:Y76)</f>
        <v>20996</v>
      </c>
      <c r="AA76" s="44"/>
      <c r="AB76" s="44"/>
      <c r="AC76" s="44"/>
      <c r="AD76" s="44">
        <v>20996</v>
      </c>
      <c r="AE76" s="44"/>
      <c r="AF76" s="44"/>
      <c r="AG76" s="44"/>
      <c r="AH76" s="44">
        <f t="shared" si="19"/>
        <v>20996</v>
      </c>
      <c r="AI76" s="44"/>
      <c r="AJ76" s="44"/>
      <c r="AK76" s="44"/>
      <c r="AL76" s="44">
        <v>20996</v>
      </c>
      <c r="AM76" s="44"/>
      <c r="AN76" s="44"/>
      <c r="AO76" s="44"/>
      <c r="AP76" s="44">
        <f t="shared" si="20"/>
        <v>20996</v>
      </c>
      <c r="AQ76" s="44"/>
      <c r="AR76" s="44"/>
      <c r="AS76" s="44"/>
      <c r="AT76" s="44"/>
      <c r="AU76" s="44"/>
      <c r="AV76" s="44"/>
      <c r="AW76" s="44"/>
      <c r="AX76" s="44">
        <f t="shared" si="21"/>
        <v>0</v>
      </c>
      <c r="AY76" s="44">
        <f t="shared" si="23"/>
        <v>0</v>
      </c>
      <c r="AZ76" s="44">
        <f t="shared" si="12"/>
        <v>0</v>
      </c>
      <c r="BA76" s="44">
        <f t="shared" si="12"/>
        <v>0</v>
      </c>
      <c r="BB76" s="44">
        <f t="shared" si="11"/>
        <v>62988</v>
      </c>
      <c r="BC76" s="44">
        <f t="shared" si="11"/>
        <v>0</v>
      </c>
      <c r="BD76" s="44">
        <f t="shared" si="11"/>
        <v>0</v>
      </c>
      <c r="BE76" s="44">
        <f t="shared" si="11"/>
        <v>0</v>
      </c>
      <c r="BF76" s="83">
        <f>+AY76+AZ76+BA76+BB76+BC76+BD76+BE76:BE83</f>
        <v>62988</v>
      </c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</row>
    <row r="77" spans="1:71" s="19" customFormat="1" ht="101.25" customHeight="1" x14ac:dyDescent="0.25">
      <c r="A77" s="765"/>
      <c r="B77" s="749"/>
      <c r="C77" s="752"/>
      <c r="D77" s="776"/>
      <c r="E77" s="724"/>
      <c r="F77" s="723"/>
      <c r="G77" s="723"/>
      <c r="H77" s="724"/>
      <c r="I77" s="724"/>
      <c r="J77" s="723"/>
      <c r="K77" s="454" t="s">
        <v>1332</v>
      </c>
      <c r="L77" s="379" t="s">
        <v>407</v>
      </c>
      <c r="M77" s="50"/>
      <c r="N77" s="50">
        <v>7</v>
      </c>
      <c r="O77" s="50"/>
      <c r="P77" s="50">
        <v>7</v>
      </c>
      <c r="Q77" s="50"/>
      <c r="R77" s="203"/>
      <c r="S77" s="185"/>
      <c r="T77" s="44"/>
      <c r="U77" s="44"/>
      <c r="V77" s="44"/>
      <c r="W77" s="44"/>
      <c r="X77" s="44"/>
      <c r="Y77" s="44"/>
      <c r="Z77" s="44">
        <f t="shared" ref="Z77:Z83" si="25">SUM(S77:Y77)</f>
        <v>0</v>
      </c>
      <c r="AA77" s="44"/>
      <c r="AB77" s="44"/>
      <c r="AC77" s="44"/>
      <c r="AD77" s="44">
        <v>27994</v>
      </c>
      <c r="AE77" s="44"/>
      <c r="AF77" s="44"/>
      <c r="AG77" s="44"/>
      <c r="AH77" s="44">
        <f t="shared" ref="AH77:AH83" si="26">SUM(AA77:AG77)</f>
        <v>27994</v>
      </c>
      <c r="AI77" s="44"/>
      <c r="AJ77" s="44"/>
      <c r="AK77" s="44"/>
      <c r="AL77" s="44"/>
      <c r="AM77" s="44"/>
      <c r="AN77" s="44"/>
      <c r="AO77" s="44"/>
      <c r="AP77" s="44">
        <f t="shared" ref="AP77:AP83" si="27">SUM(AI77:AO77)</f>
        <v>0</v>
      </c>
      <c r="AQ77" s="44"/>
      <c r="AR77" s="44"/>
      <c r="AS77" s="44"/>
      <c r="AT77" s="44"/>
      <c r="AU77" s="44"/>
      <c r="AV77" s="44"/>
      <c r="AW77" s="44"/>
      <c r="AX77" s="44">
        <f t="shared" ref="AX77:AX83" si="28">SUM(AQ77:AW77)</f>
        <v>0</v>
      </c>
      <c r="AY77" s="44">
        <f t="shared" si="23"/>
        <v>0</v>
      </c>
      <c r="AZ77" s="44">
        <f t="shared" si="12"/>
        <v>0</v>
      </c>
      <c r="BA77" s="44">
        <f t="shared" si="12"/>
        <v>0</v>
      </c>
      <c r="BB77" s="44">
        <f t="shared" si="12"/>
        <v>27994</v>
      </c>
      <c r="BC77" s="44">
        <f t="shared" si="12"/>
        <v>0</v>
      </c>
      <c r="BD77" s="44">
        <f t="shared" si="12"/>
        <v>0</v>
      </c>
      <c r="BE77" s="44">
        <f t="shared" si="12"/>
        <v>0</v>
      </c>
      <c r="BF77" s="45">
        <f t="shared" si="12"/>
        <v>27994</v>
      </c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</row>
    <row r="78" spans="1:71" s="19" customFormat="1" ht="61.5" customHeight="1" x14ac:dyDescent="0.25">
      <c r="A78" s="765"/>
      <c r="B78" s="749"/>
      <c r="C78" s="752"/>
      <c r="D78" s="776"/>
      <c r="E78" s="724"/>
      <c r="F78" s="723"/>
      <c r="G78" s="723"/>
      <c r="H78" s="724"/>
      <c r="I78" s="724"/>
      <c r="J78" s="723"/>
      <c r="K78" s="454" t="s">
        <v>1333</v>
      </c>
      <c r="L78" s="379" t="s">
        <v>1368</v>
      </c>
      <c r="M78" s="50"/>
      <c r="N78" s="50">
        <v>2</v>
      </c>
      <c r="O78" s="50"/>
      <c r="P78" s="50">
        <v>2</v>
      </c>
      <c r="Q78" s="50"/>
      <c r="R78" s="203"/>
      <c r="S78" s="185"/>
      <c r="T78" s="44"/>
      <c r="U78" s="44"/>
      <c r="V78" s="44"/>
      <c r="W78" s="44"/>
      <c r="X78" s="44"/>
      <c r="Y78" s="44"/>
      <c r="Z78" s="44">
        <f t="shared" si="25"/>
        <v>0</v>
      </c>
      <c r="AA78" s="44"/>
      <c r="AB78" s="44"/>
      <c r="AC78" s="44"/>
      <c r="AD78" s="44">
        <v>16361</v>
      </c>
      <c r="AE78" s="44"/>
      <c r="AF78" s="44"/>
      <c r="AG78" s="44"/>
      <c r="AH78" s="44">
        <f t="shared" si="26"/>
        <v>16361</v>
      </c>
      <c r="AI78" s="44"/>
      <c r="AJ78" s="44"/>
      <c r="AK78" s="44"/>
      <c r="AL78" s="44"/>
      <c r="AM78" s="44"/>
      <c r="AN78" s="44"/>
      <c r="AO78" s="44"/>
      <c r="AP78" s="44">
        <f t="shared" si="27"/>
        <v>0</v>
      </c>
      <c r="AQ78" s="44"/>
      <c r="AR78" s="44"/>
      <c r="AS78" s="44"/>
      <c r="AT78" s="44"/>
      <c r="AU78" s="44"/>
      <c r="AV78" s="44"/>
      <c r="AW78" s="44"/>
      <c r="AX78" s="44">
        <f t="shared" si="28"/>
        <v>0</v>
      </c>
      <c r="AY78" s="44">
        <f t="shared" si="23"/>
        <v>0</v>
      </c>
      <c r="AZ78" s="44">
        <f t="shared" si="12"/>
        <v>0</v>
      </c>
      <c r="BA78" s="44">
        <f t="shared" si="12"/>
        <v>0</v>
      </c>
      <c r="BB78" s="44">
        <f t="shared" si="12"/>
        <v>16361</v>
      </c>
      <c r="BC78" s="44">
        <f t="shared" si="12"/>
        <v>0</v>
      </c>
      <c r="BD78" s="44">
        <f t="shared" si="12"/>
        <v>0</v>
      </c>
      <c r="BE78" s="44">
        <f t="shared" si="12"/>
        <v>0</v>
      </c>
      <c r="BF78" s="45">
        <f t="shared" si="12"/>
        <v>16361</v>
      </c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</row>
    <row r="79" spans="1:71" s="19" customFormat="1" ht="54" x14ac:dyDescent="0.25">
      <c r="A79" s="765"/>
      <c r="B79" s="749"/>
      <c r="C79" s="752"/>
      <c r="D79" s="776"/>
      <c r="E79" s="724"/>
      <c r="F79" s="723"/>
      <c r="G79" s="723"/>
      <c r="H79" s="724"/>
      <c r="I79" s="724"/>
      <c r="J79" s="723"/>
      <c r="K79" s="454" t="s">
        <v>1334</v>
      </c>
      <c r="L79" s="379" t="s">
        <v>962</v>
      </c>
      <c r="M79" s="50"/>
      <c r="N79" s="50">
        <f>55-8</f>
        <v>47</v>
      </c>
      <c r="O79" s="50">
        <v>20</v>
      </c>
      <c r="P79" s="50">
        <v>47</v>
      </c>
      <c r="Q79" s="50"/>
      <c r="R79" s="203"/>
      <c r="S79" s="185"/>
      <c r="T79" s="44"/>
      <c r="U79" s="44"/>
      <c r="V79" s="44">
        <v>7745</v>
      </c>
      <c r="W79" s="44"/>
      <c r="X79" s="44"/>
      <c r="Y79" s="44"/>
      <c r="Z79" s="44">
        <f t="shared" si="25"/>
        <v>7745</v>
      </c>
      <c r="AA79" s="44"/>
      <c r="AB79" s="44"/>
      <c r="AC79" s="44"/>
      <c r="AD79" s="44">
        <v>7746</v>
      </c>
      <c r="AE79" s="44"/>
      <c r="AF79" s="44"/>
      <c r="AG79" s="44"/>
      <c r="AH79" s="44">
        <f t="shared" si="26"/>
        <v>7746</v>
      </c>
      <c r="AI79" s="44"/>
      <c r="AJ79" s="44"/>
      <c r="AK79" s="44"/>
      <c r="AL79" s="44"/>
      <c r="AM79" s="44"/>
      <c r="AN79" s="44"/>
      <c r="AO79" s="44"/>
      <c r="AP79" s="44">
        <f t="shared" si="27"/>
        <v>0</v>
      </c>
      <c r="AQ79" s="44"/>
      <c r="AR79" s="44"/>
      <c r="AS79" s="44"/>
      <c r="AT79" s="44"/>
      <c r="AU79" s="44"/>
      <c r="AV79" s="44"/>
      <c r="AW79" s="44"/>
      <c r="AX79" s="44">
        <f t="shared" si="28"/>
        <v>0</v>
      </c>
      <c r="AY79" s="44">
        <f t="shared" si="23"/>
        <v>0</v>
      </c>
      <c r="AZ79" s="44">
        <f t="shared" si="12"/>
        <v>0</v>
      </c>
      <c r="BA79" s="44">
        <f t="shared" si="12"/>
        <v>0</v>
      </c>
      <c r="BB79" s="44">
        <f t="shared" si="12"/>
        <v>15491</v>
      </c>
      <c r="BC79" s="44">
        <f t="shared" si="12"/>
        <v>0</v>
      </c>
      <c r="BD79" s="44">
        <f t="shared" si="12"/>
        <v>0</v>
      </c>
      <c r="BE79" s="44">
        <f t="shared" si="12"/>
        <v>0</v>
      </c>
      <c r="BF79" s="45">
        <f t="shared" si="12"/>
        <v>15491</v>
      </c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</row>
    <row r="80" spans="1:71" s="19" customFormat="1" ht="114" customHeight="1" x14ac:dyDescent="0.25">
      <c r="A80" s="765"/>
      <c r="B80" s="749"/>
      <c r="C80" s="752"/>
      <c r="D80" s="776"/>
      <c r="E80" s="724"/>
      <c r="F80" s="723"/>
      <c r="G80" s="723"/>
      <c r="H80" s="724"/>
      <c r="I80" s="724"/>
      <c r="J80" s="723"/>
      <c r="K80" s="454" t="s">
        <v>1335</v>
      </c>
      <c r="L80" s="379" t="s">
        <v>408</v>
      </c>
      <c r="M80" s="50"/>
      <c r="N80" s="46">
        <v>9</v>
      </c>
      <c r="O80" s="46">
        <v>9</v>
      </c>
      <c r="P80" s="46"/>
      <c r="Q80" s="46"/>
      <c r="R80" s="198"/>
      <c r="S80" s="185"/>
      <c r="T80" s="44"/>
      <c r="U80" s="44"/>
      <c r="V80" s="44">
        <v>630</v>
      </c>
      <c r="W80" s="44"/>
      <c r="X80" s="44"/>
      <c r="Y80" s="44"/>
      <c r="Z80" s="44">
        <f t="shared" si="25"/>
        <v>630</v>
      </c>
      <c r="AA80" s="44"/>
      <c r="AB80" s="44"/>
      <c r="AC80" s="44"/>
      <c r="AD80" s="44"/>
      <c r="AE80" s="44"/>
      <c r="AF80" s="44"/>
      <c r="AG80" s="44"/>
      <c r="AH80" s="44">
        <f t="shared" si="26"/>
        <v>0</v>
      </c>
      <c r="AI80" s="44"/>
      <c r="AJ80" s="44"/>
      <c r="AK80" s="44"/>
      <c r="AL80" s="44"/>
      <c r="AM80" s="44"/>
      <c r="AN80" s="44"/>
      <c r="AO80" s="44"/>
      <c r="AP80" s="44">
        <f t="shared" si="27"/>
        <v>0</v>
      </c>
      <c r="AQ80" s="44"/>
      <c r="AR80" s="44"/>
      <c r="AS80" s="44"/>
      <c r="AT80" s="44"/>
      <c r="AU80" s="44"/>
      <c r="AV80" s="44"/>
      <c r="AW80" s="44"/>
      <c r="AX80" s="44">
        <f t="shared" si="28"/>
        <v>0</v>
      </c>
      <c r="AY80" s="44">
        <f t="shared" si="23"/>
        <v>0</v>
      </c>
      <c r="AZ80" s="44">
        <f t="shared" si="12"/>
        <v>0</v>
      </c>
      <c r="BA80" s="44">
        <f t="shared" si="12"/>
        <v>0</v>
      </c>
      <c r="BB80" s="44">
        <f t="shared" si="12"/>
        <v>630</v>
      </c>
      <c r="BC80" s="44">
        <f t="shared" si="12"/>
        <v>0</v>
      </c>
      <c r="BD80" s="44">
        <f t="shared" si="12"/>
        <v>0</v>
      </c>
      <c r="BE80" s="44">
        <f t="shared" si="12"/>
        <v>0</v>
      </c>
      <c r="BF80" s="45">
        <f t="shared" si="12"/>
        <v>630</v>
      </c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</row>
    <row r="81" spans="1:71" s="19" customFormat="1" ht="54" x14ac:dyDescent="0.25">
      <c r="A81" s="765"/>
      <c r="B81" s="749"/>
      <c r="C81" s="752"/>
      <c r="D81" s="776"/>
      <c r="E81" s="724"/>
      <c r="F81" s="723"/>
      <c r="G81" s="723"/>
      <c r="H81" s="724"/>
      <c r="I81" s="724"/>
      <c r="J81" s="723"/>
      <c r="K81" s="454" t="s">
        <v>1336</v>
      </c>
      <c r="L81" s="379" t="s">
        <v>963</v>
      </c>
      <c r="M81" s="50"/>
      <c r="N81" s="46">
        <v>8</v>
      </c>
      <c r="O81" s="46">
        <v>8</v>
      </c>
      <c r="P81" s="46"/>
      <c r="Q81" s="46"/>
      <c r="R81" s="198"/>
      <c r="S81" s="185"/>
      <c r="T81" s="44"/>
      <c r="U81" s="44"/>
      <c r="V81" s="44">
        <v>400</v>
      </c>
      <c r="W81" s="44"/>
      <c r="X81" s="44"/>
      <c r="Y81" s="44"/>
      <c r="Z81" s="44">
        <f t="shared" si="25"/>
        <v>400</v>
      </c>
      <c r="AA81" s="44"/>
      <c r="AB81" s="44"/>
      <c r="AC81" s="44"/>
      <c r="AD81" s="44"/>
      <c r="AE81" s="44"/>
      <c r="AF81" s="44"/>
      <c r="AG81" s="44"/>
      <c r="AH81" s="44">
        <f t="shared" si="26"/>
        <v>0</v>
      </c>
      <c r="AI81" s="44"/>
      <c r="AJ81" s="44"/>
      <c r="AK81" s="44"/>
      <c r="AL81" s="44"/>
      <c r="AM81" s="44"/>
      <c r="AN81" s="44"/>
      <c r="AO81" s="44"/>
      <c r="AP81" s="44">
        <f t="shared" si="27"/>
        <v>0</v>
      </c>
      <c r="AQ81" s="44"/>
      <c r="AR81" s="44"/>
      <c r="AS81" s="44"/>
      <c r="AT81" s="44"/>
      <c r="AU81" s="44"/>
      <c r="AV81" s="44"/>
      <c r="AW81" s="44"/>
      <c r="AX81" s="44">
        <f t="shared" si="28"/>
        <v>0</v>
      </c>
      <c r="AY81" s="44">
        <f t="shared" si="23"/>
        <v>0</v>
      </c>
      <c r="AZ81" s="44">
        <f t="shared" si="12"/>
        <v>0</v>
      </c>
      <c r="BA81" s="44">
        <f t="shared" si="12"/>
        <v>0</v>
      </c>
      <c r="BB81" s="44">
        <f t="shared" si="12"/>
        <v>400</v>
      </c>
      <c r="BC81" s="44">
        <f t="shared" si="12"/>
        <v>0</v>
      </c>
      <c r="BD81" s="44">
        <f t="shared" si="12"/>
        <v>0</v>
      </c>
      <c r="BE81" s="44">
        <f t="shared" si="12"/>
        <v>0</v>
      </c>
      <c r="BF81" s="45">
        <f t="shared" si="12"/>
        <v>400</v>
      </c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</row>
    <row r="82" spans="1:71" s="19" customFormat="1" ht="79.5" customHeight="1" x14ac:dyDescent="0.25">
      <c r="A82" s="765"/>
      <c r="B82" s="749"/>
      <c r="C82" s="752"/>
      <c r="D82" s="776"/>
      <c r="E82" s="724"/>
      <c r="F82" s="723"/>
      <c r="G82" s="723"/>
      <c r="H82" s="724"/>
      <c r="I82" s="724"/>
      <c r="J82" s="723"/>
      <c r="K82" s="454" t="s">
        <v>1337</v>
      </c>
      <c r="L82" s="379" t="s">
        <v>409</v>
      </c>
      <c r="M82" s="50"/>
      <c r="N82" s="50">
        <v>1</v>
      </c>
      <c r="O82" s="50"/>
      <c r="P82" s="50">
        <v>1</v>
      </c>
      <c r="Q82" s="50"/>
      <c r="R82" s="203"/>
      <c r="S82" s="185"/>
      <c r="T82" s="44"/>
      <c r="U82" s="44"/>
      <c r="V82" s="44"/>
      <c r="W82" s="44"/>
      <c r="X82" s="44"/>
      <c r="Y82" s="44"/>
      <c r="Z82" s="44">
        <f>SUM(S82:Y82)</f>
        <v>0</v>
      </c>
      <c r="AA82" s="44"/>
      <c r="AB82" s="44"/>
      <c r="AC82" s="44"/>
      <c r="AD82" s="44">
        <v>150</v>
      </c>
      <c r="AE82" s="44"/>
      <c r="AF82" s="44"/>
      <c r="AG82" s="44"/>
      <c r="AH82" s="44">
        <f>SUM(AA82:AG82)</f>
        <v>150</v>
      </c>
      <c r="AI82" s="44"/>
      <c r="AJ82" s="44"/>
      <c r="AK82" s="44"/>
      <c r="AL82" s="44"/>
      <c r="AM82" s="44"/>
      <c r="AN82" s="44"/>
      <c r="AO82" s="44"/>
      <c r="AP82" s="44">
        <f t="shared" si="27"/>
        <v>0</v>
      </c>
      <c r="AQ82" s="44"/>
      <c r="AR82" s="44"/>
      <c r="AS82" s="44"/>
      <c r="AT82" s="44"/>
      <c r="AU82" s="44"/>
      <c r="AV82" s="44"/>
      <c r="AW82" s="44"/>
      <c r="AX82" s="44">
        <f>SUM(AQ82:AW82)</f>
        <v>0</v>
      </c>
      <c r="AY82" s="44">
        <f t="shared" si="23"/>
        <v>0</v>
      </c>
      <c r="AZ82" s="44">
        <f t="shared" si="12"/>
        <v>0</v>
      </c>
      <c r="BA82" s="44">
        <f t="shared" si="12"/>
        <v>0</v>
      </c>
      <c r="BB82" s="44">
        <f t="shared" si="12"/>
        <v>150</v>
      </c>
      <c r="BC82" s="44">
        <f t="shared" si="12"/>
        <v>0</v>
      </c>
      <c r="BD82" s="44">
        <f t="shared" si="12"/>
        <v>0</v>
      </c>
      <c r="BE82" s="44">
        <f t="shared" si="12"/>
        <v>0</v>
      </c>
      <c r="BF82" s="45">
        <f>+Z82+AH82+AP82+AX82</f>
        <v>150</v>
      </c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</row>
    <row r="83" spans="1:71" s="19" customFormat="1" ht="67.5" x14ac:dyDescent="0.25">
      <c r="A83" s="765"/>
      <c r="B83" s="749"/>
      <c r="C83" s="752"/>
      <c r="D83" s="776"/>
      <c r="E83" s="724"/>
      <c r="F83" s="723"/>
      <c r="G83" s="723"/>
      <c r="H83" s="724"/>
      <c r="I83" s="724"/>
      <c r="J83" s="723"/>
      <c r="K83" s="455" t="s">
        <v>1338</v>
      </c>
      <c r="L83" s="74" t="s">
        <v>162</v>
      </c>
      <c r="M83" s="75"/>
      <c r="N83" s="76">
        <v>18</v>
      </c>
      <c r="O83" s="76">
        <v>18</v>
      </c>
      <c r="P83" s="76"/>
      <c r="Q83" s="76"/>
      <c r="R83" s="456"/>
      <c r="S83" s="457"/>
      <c r="T83" s="77"/>
      <c r="U83" s="77"/>
      <c r="V83" s="77"/>
      <c r="W83" s="77"/>
      <c r="X83" s="77"/>
      <c r="Y83" s="77">
        <v>1400</v>
      </c>
      <c r="Z83" s="44">
        <f t="shared" si="25"/>
        <v>1400</v>
      </c>
      <c r="AA83" s="77"/>
      <c r="AB83" s="77"/>
      <c r="AC83" s="77"/>
      <c r="AD83" s="77"/>
      <c r="AE83" s="77"/>
      <c r="AF83" s="77"/>
      <c r="AG83" s="77"/>
      <c r="AH83" s="44">
        <f t="shared" si="26"/>
        <v>0</v>
      </c>
      <c r="AI83" s="77"/>
      <c r="AJ83" s="77"/>
      <c r="AK83" s="77"/>
      <c r="AL83" s="77"/>
      <c r="AM83" s="77"/>
      <c r="AN83" s="77"/>
      <c r="AO83" s="77"/>
      <c r="AP83" s="44">
        <f t="shared" si="27"/>
        <v>0</v>
      </c>
      <c r="AQ83" s="77"/>
      <c r="AR83" s="77"/>
      <c r="AS83" s="77"/>
      <c r="AT83" s="77"/>
      <c r="AU83" s="77"/>
      <c r="AV83" s="77"/>
      <c r="AW83" s="77"/>
      <c r="AX83" s="44">
        <f t="shared" si="28"/>
        <v>0</v>
      </c>
      <c r="AY83" s="44">
        <f t="shared" si="23"/>
        <v>0</v>
      </c>
      <c r="AZ83" s="44">
        <f t="shared" si="12"/>
        <v>0</v>
      </c>
      <c r="BA83" s="44">
        <f t="shared" si="12"/>
        <v>0</v>
      </c>
      <c r="BB83" s="44">
        <f t="shared" si="12"/>
        <v>0</v>
      </c>
      <c r="BC83" s="44">
        <f t="shared" si="12"/>
        <v>0</v>
      </c>
      <c r="BD83" s="44">
        <f t="shared" si="12"/>
        <v>0</v>
      </c>
      <c r="BE83" s="44">
        <f t="shared" si="12"/>
        <v>1400</v>
      </c>
      <c r="BF83" s="45">
        <f t="shared" si="12"/>
        <v>1400</v>
      </c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</row>
    <row r="84" spans="1:71" s="19" customFormat="1" ht="40.5" x14ac:dyDescent="0.25">
      <c r="A84" s="765"/>
      <c r="B84" s="749"/>
      <c r="C84" s="752"/>
      <c r="D84" s="776"/>
      <c r="E84" s="724"/>
      <c r="F84" s="723"/>
      <c r="G84" s="723"/>
      <c r="H84" s="724"/>
      <c r="I84" s="724"/>
      <c r="J84" s="723"/>
      <c r="K84" s="373" t="s">
        <v>1340</v>
      </c>
      <c r="L84" s="370" t="s">
        <v>379</v>
      </c>
      <c r="M84" s="373">
        <v>0</v>
      </c>
      <c r="N84" s="373">
        <v>1726</v>
      </c>
      <c r="O84" s="373">
        <v>1726</v>
      </c>
      <c r="P84" s="373"/>
      <c r="Q84" s="373"/>
      <c r="R84" s="38"/>
      <c r="S84" s="185"/>
      <c r="T84" s="44"/>
      <c r="U84" s="44"/>
      <c r="V84" s="44"/>
      <c r="W84" s="44"/>
      <c r="X84" s="44"/>
      <c r="Y84" s="44">
        <v>3500</v>
      </c>
      <c r="Z84" s="44">
        <f t="shared" si="18"/>
        <v>3500</v>
      </c>
      <c r="AA84" s="44"/>
      <c r="AB84" s="44"/>
      <c r="AC84" s="44"/>
      <c r="AD84" s="44"/>
      <c r="AE84" s="44"/>
      <c r="AF84" s="44"/>
      <c r="AG84" s="44"/>
      <c r="AH84" s="44">
        <f t="shared" si="19"/>
        <v>0</v>
      </c>
      <c r="AI84" s="44"/>
      <c r="AJ84" s="44"/>
      <c r="AK84" s="44"/>
      <c r="AL84" s="44"/>
      <c r="AM84" s="44"/>
      <c r="AN84" s="44"/>
      <c r="AO84" s="44"/>
      <c r="AP84" s="44">
        <f t="shared" si="20"/>
        <v>0</v>
      </c>
      <c r="AQ84" s="44"/>
      <c r="AR84" s="44"/>
      <c r="AS84" s="44"/>
      <c r="AT84" s="44"/>
      <c r="AU84" s="44"/>
      <c r="AV84" s="44"/>
      <c r="AW84" s="44"/>
      <c r="AX84" s="44">
        <f t="shared" si="21"/>
        <v>0</v>
      </c>
      <c r="AY84" s="44">
        <f t="shared" si="23"/>
        <v>0</v>
      </c>
      <c r="AZ84" s="44">
        <f t="shared" si="12"/>
        <v>0</v>
      </c>
      <c r="BA84" s="44">
        <f t="shared" si="12"/>
        <v>0</v>
      </c>
      <c r="BB84" s="44">
        <f t="shared" si="11"/>
        <v>0</v>
      </c>
      <c r="BC84" s="44">
        <f t="shared" si="11"/>
        <v>0</v>
      </c>
      <c r="BD84" s="44">
        <f t="shared" si="11"/>
        <v>0</v>
      </c>
      <c r="BE84" s="44">
        <f t="shared" si="11"/>
        <v>3500</v>
      </c>
      <c r="BF84" s="45">
        <f t="shared" si="22"/>
        <v>3500</v>
      </c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</row>
    <row r="85" spans="1:71" s="19" customFormat="1" ht="54" x14ac:dyDescent="0.25">
      <c r="A85" s="765"/>
      <c r="B85" s="749"/>
      <c r="C85" s="752"/>
      <c r="D85" s="776"/>
      <c r="E85" s="724"/>
      <c r="F85" s="723"/>
      <c r="G85" s="723"/>
      <c r="H85" s="724"/>
      <c r="I85" s="724"/>
      <c r="J85" s="723"/>
      <c r="K85" s="373" t="s">
        <v>1339</v>
      </c>
      <c r="L85" s="370" t="s">
        <v>380</v>
      </c>
      <c r="M85" s="373">
        <v>0</v>
      </c>
      <c r="N85" s="373">
        <v>4</v>
      </c>
      <c r="O85" s="373">
        <v>4</v>
      </c>
      <c r="P85" s="373"/>
      <c r="Q85" s="373"/>
      <c r="R85" s="38"/>
      <c r="S85" s="51"/>
      <c r="T85" s="44"/>
      <c r="U85" s="44"/>
      <c r="V85" s="44">
        <v>8411</v>
      </c>
      <c r="W85" s="44"/>
      <c r="X85" s="44"/>
      <c r="Y85" s="44"/>
      <c r="Z85" s="44">
        <f t="shared" si="18"/>
        <v>8411</v>
      </c>
      <c r="AA85" s="44"/>
      <c r="AB85" s="44"/>
      <c r="AC85" s="44"/>
      <c r="AD85" s="44"/>
      <c r="AE85" s="44"/>
      <c r="AF85" s="44"/>
      <c r="AG85" s="44"/>
      <c r="AH85" s="44">
        <f t="shared" si="19"/>
        <v>0</v>
      </c>
      <c r="AI85" s="44"/>
      <c r="AJ85" s="44"/>
      <c r="AK85" s="44"/>
      <c r="AL85" s="44"/>
      <c r="AM85" s="44"/>
      <c r="AN85" s="44"/>
      <c r="AO85" s="44"/>
      <c r="AP85" s="44">
        <f t="shared" si="20"/>
        <v>0</v>
      </c>
      <c r="AQ85" s="44"/>
      <c r="AR85" s="44"/>
      <c r="AS85" s="44"/>
      <c r="AT85" s="44"/>
      <c r="AU85" s="44"/>
      <c r="AV85" s="44"/>
      <c r="AW85" s="44"/>
      <c r="AX85" s="44">
        <f t="shared" si="21"/>
        <v>0</v>
      </c>
      <c r="AY85" s="44">
        <f t="shared" si="23"/>
        <v>0</v>
      </c>
      <c r="AZ85" s="44">
        <f t="shared" si="12"/>
        <v>0</v>
      </c>
      <c r="BA85" s="44">
        <f t="shared" si="12"/>
        <v>0</v>
      </c>
      <c r="BB85" s="44">
        <f t="shared" si="11"/>
        <v>8411</v>
      </c>
      <c r="BC85" s="44">
        <f t="shared" si="11"/>
        <v>0</v>
      </c>
      <c r="BD85" s="44">
        <f t="shared" si="11"/>
        <v>0</v>
      </c>
      <c r="BE85" s="44">
        <f t="shared" si="11"/>
        <v>0</v>
      </c>
      <c r="BF85" s="45">
        <f t="shared" si="22"/>
        <v>8411</v>
      </c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</row>
    <row r="86" spans="1:71" s="19" customFormat="1" ht="54" x14ac:dyDescent="0.25">
      <c r="A86" s="765"/>
      <c r="B86" s="749"/>
      <c r="C86" s="752"/>
      <c r="D86" s="776"/>
      <c r="E86" s="724"/>
      <c r="F86" s="723"/>
      <c r="G86" s="723"/>
      <c r="H86" s="724"/>
      <c r="I86" s="724"/>
      <c r="J86" s="723"/>
      <c r="K86" s="373" t="s">
        <v>381</v>
      </c>
      <c r="L86" s="370" t="s">
        <v>382</v>
      </c>
      <c r="M86" s="373">
        <v>0</v>
      </c>
      <c r="N86" s="373">
        <v>48</v>
      </c>
      <c r="O86" s="373">
        <v>48</v>
      </c>
      <c r="P86" s="373"/>
      <c r="Q86" s="373"/>
      <c r="R86" s="38"/>
      <c r="S86" s="51"/>
      <c r="T86" s="44"/>
      <c r="U86" s="44"/>
      <c r="V86" s="44"/>
      <c r="W86" s="44"/>
      <c r="X86" s="44"/>
      <c r="Y86" s="44">
        <v>19164</v>
      </c>
      <c r="Z86" s="44">
        <f t="shared" si="18"/>
        <v>19164</v>
      </c>
      <c r="AA86" s="44"/>
      <c r="AB86" s="44"/>
      <c r="AC86" s="44"/>
      <c r="AD86" s="44"/>
      <c r="AE86" s="44"/>
      <c r="AF86" s="44"/>
      <c r="AG86" s="44"/>
      <c r="AH86" s="44">
        <f t="shared" si="19"/>
        <v>0</v>
      </c>
      <c r="AI86" s="44"/>
      <c r="AJ86" s="44"/>
      <c r="AK86" s="44"/>
      <c r="AL86" s="44"/>
      <c r="AM86" s="44"/>
      <c r="AN86" s="44"/>
      <c r="AO86" s="44"/>
      <c r="AP86" s="44">
        <f t="shared" si="20"/>
        <v>0</v>
      </c>
      <c r="AQ86" s="44"/>
      <c r="AR86" s="44"/>
      <c r="AS86" s="44"/>
      <c r="AT86" s="44"/>
      <c r="AU86" s="44"/>
      <c r="AV86" s="44"/>
      <c r="AW86" s="44"/>
      <c r="AX86" s="44">
        <f t="shared" si="21"/>
        <v>0</v>
      </c>
      <c r="AY86" s="44">
        <f t="shared" si="23"/>
        <v>0</v>
      </c>
      <c r="AZ86" s="44">
        <f t="shared" si="12"/>
        <v>0</v>
      </c>
      <c r="BA86" s="44">
        <f t="shared" si="12"/>
        <v>0</v>
      </c>
      <c r="BB86" s="44">
        <f t="shared" si="11"/>
        <v>0</v>
      </c>
      <c r="BC86" s="44">
        <f t="shared" si="11"/>
        <v>0</v>
      </c>
      <c r="BD86" s="44">
        <f t="shared" si="11"/>
        <v>0</v>
      </c>
      <c r="BE86" s="44">
        <f t="shared" si="11"/>
        <v>19164</v>
      </c>
      <c r="BF86" s="45">
        <f t="shared" si="22"/>
        <v>19164</v>
      </c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</row>
    <row r="87" spans="1:71" s="19" customFormat="1" ht="67.5" x14ac:dyDescent="0.25">
      <c r="A87" s="765"/>
      <c r="B87" s="749"/>
      <c r="C87" s="752"/>
      <c r="D87" s="724" t="s">
        <v>383</v>
      </c>
      <c r="E87" s="724" t="s">
        <v>384</v>
      </c>
      <c r="F87" s="723" t="s">
        <v>537</v>
      </c>
      <c r="G87" s="723">
        <v>30</v>
      </c>
      <c r="H87" s="724" t="s">
        <v>246</v>
      </c>
      <c r="I87" s="724" t="s">
        <v>1097</v>
      </c>
      <c r="J87" s="723"/>
      <c r="K87" s="370" t="s">
        <v>248</v>
      </c>
      <c r="L87" s="370" t="s">
        <v>249</v>
      </c>
      <c r="M87" s="458">
        <v>28</v>
      </c>
      <c r="N87" s="458">
        <v>60</v>
      </c>
      <c r="O87" s="458">
        <v>40</v>
      </c>
      <c r="P87" s="458">
        <v>45</v>
      </c>
      <c r="Q87" s="458">
        <v>50</v>
      </c>
      <c r="R87" s="459">
        <v>60</v>
      </c>
      <c r="S87" s="51"/>
      <c r="T87" s="44"/>
      <c r="U87" s="44"/>
      <c r="V87" s="44"/>
      <c r="W87" s="44"/>
      <c r="X87" s="44"/>
      <c r="Y87" s="44"/>
      <c r="Z87" s="44">
        <f t="shared" si="18"/>
        <v>0</v>
      </c>
      <c r="AA87" s="44"/>
      <c r="AB87" s="44"/>
      <c r="AC87" s="44"/>
      <c r="AD87" s="44"/>
      <c r="AE87" s="44"/>
      <c r="AF87" s="44"/>
      <c r="AG87" s="44"/>
      <c r="AH87" s="44">
        <f t="shared" si="19"/>
        <v>0</v>
      </c>
      <c r="AI87" s="44"/>
      <c r="AJ87" s="44"/>
      <c r="AK87" s="44"/>
      <c r="AL87" s="44"/>
      <c r="AM87" s="44"/>
      <c r="AN87" s="44"/>
      <c r="AO87" s="44"/>
      <c r="AP87" s="44">
        <f t="shared" si="20"/>
        <v>0</v>
      </c>
      <c r="AQ87" s="44"/>
      <c r="AR87" s="44"/>
      <c r="AS87" s="44"/>
      <c r="AT87" s="44"/>
      <c r="AU87" s="44"/>
      <c r="AV87" s="44"/>
      <c r="AW87" s="44"/>
      <c r="AX87" s="44">
        <f t="shared" si="21"/>
        <v>0</v>
      </c>
      <c r="AY87" s="44">
        <f t="shared" si="23"/>
        <v>0</v>
      </c>
      <c r="AZ87" s="44">
        <f t="shared" si="12"/>
        <v>0</v>
      </c>
      <c r="BA87" s="44">
        <f t="shared" si="12"/>
        <v>0</v>
      </c>
      <c r="BB87" s="44">
        <f t="shared" si="11"/>
        <v>0</v>
      </c>
      <c r="BC87" s="44">
        <f t="shared" si="11"/>
        <v>0</v>
      </c>
      <c r="BD87" s="44">
        <f t="shared" si="11"/>
        <v>0</v>
      </c>
      <c r="BE87" s="44">
        <f t="shared" si="11"/>
        <v>0</v>
      </c>
      <c r="BF87" s="45">
        <f t="shared" si="22"/>
        <v>0</v>
      </c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</row>
    <row r="88" spans="1:71" s="19" customFormat="1" ht="67.5" x14ac:dyDescent="0.25">
      <c r="A88" s="765"/>
      <c r="B88" s="749"/>
      <c r="C88" s="752"/>
      <c r="D88" s="724"/>
      <c r="E88" s="724"/>
      <c r="F88" s="723"/>
      <c r="G88" s="723"/>
      <c r="H88" s="724"/>
      <c r="I88" s="724"/>
      <c r="J88" s="723"/>
      <c r="K88" s="370" t="s">
        <v>250</v>
      </c>
      <c r="L88" s="370" t="s">
        <v>251</v>
      </c>
      <c r="M88" s="17">
        <v>21</v>
      </c>
      <c r="N88" s="17">
        <v>30</v>
      </c>
      <c r="O88" s="17">
        <v>30</v>
      </c>
      <c r="P88" s="17">
        <v>30</v>
      </c>
      <c r="Q88" s="17">
        <v>30</v>
      </c>
      <c r="R88" s="39">
        <v>30</v>
      </c>
      <c r="S88" s="51"/>
      <c r="T88" s="44"/>
      <c r="U88" s="44">
        <v>15</v>
      </c>
      <c r="V88" s="44"/>
      <c r="W88" s="44"/>
      <c r="X88" s="44"/>
      <c r="Y88" s="44"/>
      <c r="Z88" s="44">
        <f t="shared" si="18"/>
        <v>15</v>
      </c>
      <c r="AA88" s="44"/>
      <c r="AB88" s="44"/>
      <c r="AC88" s="44">
        <v>15</v>
      </c>
      <c r="AD88" s="44"/>
      <c r="AE88" s="44"/>
      <c r="AF88" s="44"/>
      <c r="AG88" s="44"/>
      <c r="AH88" s="44">
        <f t="shared" si="19"/>
        <v>15</v>
      </c>
      <c r="AI88" s="44"/>
      <c r="AJ88" s="44"/>
      <c r="AK88" s="44">
        <v>15</v>
      </c>
      <c r="AL88" s="44"/>
      <c r="AM88" s="44"/>
      <c r="AN88" s="44"/>
      <c r="AO88" s="44"/>
      <c r="AP88" s="44">
        <f t="shared" si="20"/>
        <v>15</v>
      </c>
      <c r="AQ88" s="44"/>
      <c r="AR88" s="44"/>
      <c r="AS88" s="44">
        <v>15</v>
      </c>
      <c r="AT88" s="44"/>
      <c r="AU88" s="44"/>
      <c r="AV88" s="44"/>
      <c r="AW88" s="44"/>
      <c r="AX88" s="44">
        <f t="shared" si="21"/>
        <v>15</v>
      </c>
      <c r="AY88" s="44">
        <f t="shared" si="23"/>
        <v>0</v>
      </c>
      <c r="AZ88" s="44">
        <f t="shared" si="12"/>
        <v>0</v>
      </c>
      <c r="BA88" s="44">
        <f t="shared" si="12"/>
        <v>60</v>
      </c>
      <c r="BB88" s="44">
        <f t="shared" si="11"/>
        <v>0</v>
      </c>
      <c r="BC88" s="44">
        <f t="shared" si="11"/>
        <v>0</v>
      </c>
      <c r="BD88" s="44">
        <f t="shared" si="11"/>
        <v>0</v>
      </c>
      <c r="BE88" s="44">
        <f t="shared" si="11"/>
        <v>0</v>
      </c>
      <c r="BF88" s="45">
        <f t="shared" si="22"/>
        <v>60</v>
      </c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</row>
    <row r="89" spans="1:71" s="19" customFormat="1" ht="42" customHeight="1" thickBot="1" x14ac:dyDescent="0.3">
      <c r="A89" s="765"/>
      <c r="B89" s="757"/>
      <c r="C89" s="763"/>
      <c r="D89" s="753"/>
      <c r="E89" s="753"/>
      <c r="F89" s="750"/>
      <c r="G89" s="750"/>
      <c r="H89" s="753"/>
      <c r="I89" s="753"/>
      <c r="J89" s="750"/>
      <c r="K89" s="440" t="s">
        <v>252</v>
      </c>
      <c r="L89" s="440" t="s">
        <v>253</v>
      </c>
      <c r="M89" s="460">
        <v>1</v>
      </c>
      <c r="N89" s="460">
        <v>1</v>
      </c>
      <c r="O89" s="461">
        <v>1</v>
      </c>
      <c r="P89" s="461">
        <v>1</v>
      </c>
      <c r="Q89" s="461">
        <v>1</v>
      </c>
      <c r="R89" s="462">
        <v>1</v>
      </c>
      <c r="S89" s="139"/>
      <c r="T89" s="123"/>
      <c r="U89" s="123">
        <v>6</v>
      </c>
      <c r="V89" s="123"/>
      <c r="W89" s="123"/>
      <c r="X89" s="123"/>
      <c r="Y89" s="123"/>
      <c r="Z89" s="123">
        <f t="shared" si="18"/>
        <v>6</v>
      </c>
      <c r="AA89" s="123"/>
      <c r="AB89" s="123"/>
      <c r="AC89" s="123">
        <v>6</v>
      </c>
      <c r="AD89" s="123"/>
      <c r="AE89" s="123"/>
      <c r="AF89" s="123"/>
      <c r="AG89" s="123"/>
      <c r="AH89" s="123">
        <f t="shared" si="19"/>
        <v>6</v>
      </c>
      <c r="AI89" s="123"/>
      <c r="AJ89" s="123"/>
      <c r="AK89" s="123">
        <v>6</v>
      </c>
      <c r="AL89" s="123"/>
      <c r="AM89" s="123"/>
      <c r="AN89" s="123"/>
      <c r="AO89" s="123"/>
      <c r="AP89" s="123">
        <f t="shared" si="20"/>
        <v>6</v>
      </c>
      <c r="AQ89" s="123"/>
      <c r="AR89" s="123"/>
      <c r="AS89" s="123">
        <v>6</v>
      </c>
      <c r="AT89" s="123"/>
      <c r="AU89" s="123"/>
      <c r="AV89" s="123"/>
      <c r="AW89" s="123"/>
      <c r="AX89" s="123">
        <f t="shared" si="21"/>
        <v>6</v>
      </c>
      <c r="AY89" s="123">
        <f t="shared" si="23"/>
        <v>0</v>
      </c>
      <c r="AZ89" s="123">
        <f t="shared" si="12"/>
        <v>0</v>
      </c>
      <c r="BA89" s="123">
        <f t="shared" si="12"/>
        <v>24</v>
      </c>
      <c r="BB89" s="123">
        <f t="shared" si="11"/>
        <v>0</v>
      </c>
      <c r="BC89" s="123">
        <f t="shared" si="11"/>
        <v>0</v>
      </c>
      <c r="BD89" s="123">
        <f t="shared" si="11"/>
        <v>0</v>
      </c>
      <c r="BE89" s="123">
        <f t="shared" si="11"/>
        <v>0</v>
      </c>
      <c r="BF89" s="199">
        <f t="shared" si="22"/>
        <v>24</v>
      </c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</row>
    <row r="90" spans="1:71" s="22" customFormat="1" ht="54" x14ac:dyDescent="0.25">
      <c r="A90" s="765"/>
      <c r="B90" s="751" t="s">
        <v>890</v>
      </c>
      <c r="C90" s="751" t="s">
        <v>891</v>
      </c>
      <c r="D90" s="754"/>
      <c r="E90" s="754"/>
      <c r="F90" s="754"/>
      <c r="G90" s="754"/>
      <c r="H90" s="758" t="s">
        <v>892</v>
      </c>
      <c r="I90" s="758" t="s">
        <v>1098</v>
      </c>
      <c r="J90" s="772"/>
      <c r="K90" s="273" t="s">
        <v>893</v>
      </c>
      <c r="L90" s="464" t="s">
        <v>894</v>
      </c>
      <c r="M90" s="274" t="s">
        <v>895</v>
      </c>
      <c r="N90" s="274">
        <v>60</v>
      </c>
      <c r="O90" s="275">
        <v>15</v>
      </c>
      <c r="P90" s="275">
        <v>30</v>
      </c>
      <c r="Q90" s="275">
        <v>45</v>
      </c>
      <c r="R90" s="276">
        <v>60</v>
      </c>
      <c r="S90" s="133">
        <v>20</v>
      </c>
      <c r="T90" s="124">
        <v>0</v>
      </c>
      <c r="U90" s="124">
        <v>0</v>
      </c>
      <c r="V90" s="124">
        <v>135</v>
      </c>
      <c r="W90" s="124">
        <v>0</v>
      </c>
      <c r="X90" s="124">
        <v>0</v>
      </c>
      <c r="Y90" s="124">
        <v>0</v>
      </c>
      <c r="Z90" s="124">
        <f t="shared" si="18"/>
        <v>155</v>
      </c>
      <c r="AA90" s="124">
        <v>25</v>
      </c>
      <c r="AB90" s="124">
        <v>0</v>
      </c>
      <c r="AC90" s="124">
        <v>0</v>
      </c>
      <c r="AD90" s="124">
        <v>135</v>
      </c>
      <c r="AE90" s="124">
        <v>0</v>
      </c>
      <c r="AF90" s="124">
        <v>0</v>
      </c>
      <c r="AG90" s="124">
        <v>0</v>
      </c>
      <c r="AH90" s="124">
        <f t="shared" si="19"/>
        <v>160</v>
      </c>
      <c r="AI90" s="124">
        <v>25</v>
      </c>
      <c r="AJ90" s="124">
        <v>0</v>
      </c>
      <c r="AK90" s="124">
        <v>0</v>
      </c>
      <c r="AL90" s="124">
        <v>135</v>
      </c>
      <c r="AM90" s="124">
        <v>0</v>
      </c>
      <c r="AN90" s="124">
        <v>0</v>
      </c>
      <c r="AO90" s="124">
        <v>0</v>
      </c>
      <c r="AP90" s="124">
        <f t="shared" si="20"/>
        <v>160</v>
      </c>
      <c r="AQ90" s="124">
        <v>25</v>
      </c>
      <c r="AR90" s="124">
        <v>0</v>
      </c>
      <c r="AS90" s="124">
        <v>0</v>
      </c>
      <c r="AT90" s="124">
        <v>135</v>
      </c>
      <c r="AU90" s="124">
        <v>0</v>
      </c>
      <c r="AV90" s="124">
        <v>0</v>
      </c>
      <c r="AW90" s="124">
        <v>0</v>
      </c>
      <c r="AX90" s="124">
        <f t="shared" si="21"/>
        <v>160</v>
      </c>
      <c r="AY90" s="124">
        <f t="shared" si="23"/>
        <v>95</v>
      </c>
      <c r="AZ90" s="124">
        <f t="shared" si="12"/>
        <v>0</v>
      </c>
      <c r="BA90" s="124">
        <f t="shared" si="12"/>
        <v>0</v>
      </c>
      <c r="BB90" s="124">
        <f t="shared" si="11"/>
        <v>540</v>
      </c>
      <c r="BC90" s="124">
        <f t="shared" si="11"/>
        <v>0</v>
      </c>
      <c r="BD90" s="124">
        <f t="shared" si="11"/>
        <v>0</v>
      </c>
      <c r="BE90" s="124">
        <f t="shared" si="11"/>
        <v>0</v>
      </c>
      <c r="BF90" s="277">
        <f t="shared" si="22"/>
        <v>635</v>
      </c>
    </row>
    <row r="91" spans="1:71" s="22" customFormat="1" ht="67.5" x14ac:dyDescent="0.25">
      <c r="A91" s="765"/>
      <c r="B91" s="752"/>
      <c r="C91" s="752"/>
      <c r="D91" s="723"/>
      <c r="E91" s="723"/>
      <c r="F91" s="723"/>
      <c r="G91" s="723"/>
      <c r="H91" s="724"/>
      <c r="I91" s="724"/>
      <c r="J91" s="746"/>
      <c r="K91" s="278" t="s">
        <v>896</v>
      </c>
      <c r="L91" s="465" t="s">
        <v>1373</v>
      </c>
      <c r="M91" s="279">
        <v>0</v>
      </c>
      <c r="N91" s="279">
        <v>30</v>
      </c>
      <c r="O91" s="280">
        <v>30</v>
      </c>
      <c r="P91" s="280">
        <v>30</v>
      </c>
      <c r="Q91" s="280">
        <v>30</v>
      </c>
      <c r="R91" s="281">
        <v>30</v>
      </c>
      <c r="S91" s="51">
        <v>0</v>
      </c>
      <c r="T91" s="44">
        <v>0</v>
      </c>
      <c r="U91" s="44">
        <v>0</v>
      </c>
      <c r="V91" s="44">
        <v>0</v>
      </c>
      <c r="W91" s="44">
        <v>0</v>
      </c>
      <c r="X91" s="44">
        <v>0</v>
      </c>
      <c r="Y91" s="44">
        <v>0</v>
      </c>
      <c r="Z91" s="44">
        <f t="shared" si="18"/>
        <v>0</v>
      </c>
      <c r="AA91" s="44">
        <v>0</v>
      </c>
      <c r="AB91" s="44">
        <v>0</v>
      </c>
      <c r="AC91" s="44">
        <v>0</v>
      </c>
      <c r="AD91" s="44">
        <v>0</v>
      </c>
      <c r="AE91" s="44">
        <v>0</v>
      </c>
      <c r="AF91" s="44">
        <v>0</v>
      </c>
      <c r="AG91" s="44">
        <v>0</v>
      </c>
      <c r="AH91" s="44">
        <f t="shared" si="19"/>
        <v>0</v>
      </c>
      <c r="AI91" s="44">
        <v>0</v>
      </c>
      <c r="AJ91" s="44">
        <v>0</v>
      </c>
      <c r="AK91" s="44">
        <v>0</v>
      </c>
      <c r="AL91" s="44">
        <v>0</v>
      </c>
      <c r="AM91" s="44">
        <v>0</v>
      </c>
      <c r="AN91" s="44">
        <v>0</v>
      </c>
      <c r="AO91" s="44">
        <v>0</v>
      </c>
      <c r="AP91" s="44">
        <f t="shared" si="20"/>
        <v>0</v>
      </c>
      <c r="AQ91" s="44">
        <v>0</v>
      </c>
      <c r="AR91" s="44">
        <v>0</v>
      </c>
      <c r="AS91" s="44">
        <v>0</v>
      </c>
      <c r="AT91" s="44">
        <v>0</v>
      </c>
      <c r="AU91" s="44">
        <v>0</v>
      </c>
      <c r="AV91" s="44">
        <v>0</v>
      </c>
      <c r="AW91" s="44">
        <v>0</v>
      </c>
      <c r="AX91" s="44">
        <f t="shared" si="21"/>
        <v>0</v>
      </c>
      <c r="AY91" s="44">
        <f t="shared" si="23"/>
        <v>0</v>
      </c>
      <c r="AZ91" s="44">
        <f t="shared" si="12"/>
        <v>0</v>
      </c>
      <c r="BA91" s="44">
        <f t="shared" si="12"/>
        <v>0</v>
      </c>
      <c r="BB91" s="44">
        <f t="shared" si="11"/>
        <v>0</v>
      </c>
      <c r="BC91" s="44">
        <f t="shared" si="11"/>
        <v>0</v>
      </c>
      <c r="BD91" s="44">
        <f t="shared" si="11"/>
        <v>0</v>
      </c>
      <c r="BE91" s="44">
        <f t="shared" si="11"/>
        <v>0</v>
      </c>
      <c r="BF91" s="45">
        <f t="shared" si="22"/>
        <v>0</v>
      </c>
    </row>
    <row r="92" spans="1:71" s="22" customFormat="1" ht="54" x14ac:dyDescent="0.25">
      <c r="A92" s="765"/>
      <c r="B92" s="752"/>
      <c r="C92" s="752"/>
      <c r="D92" s="723"/>
      <c r="E92" s="723"/>
      <c r="F92" s="723"/>
      <c r="G92" s="723"/>
      <c r="H92" s="724"/>
      <c r="I92" s="724"/>
      <c r="J92" s="746"/>
      <c r="K92" s="278" t="s">
        <v>897</v>
      </c>
      <c r="L92" s="465" t="s">
        <v>898</v>
      </c>
      <c r="M92" s="280">
        <v>0</v>
      </c>
      <c r="N92" s="279">
        <v>30</v>
      </c>
      <c r="O92" s="280">
        <v>7</v>
      </c>
      <c r="P92" s="280">
        <v>15</v>
      </c>
      <c r="Q92" s="280">
        <v>25</v>
      </c>
      <c r="R92" s="281">
        <v>30</v>
      </c>
      <c r="S92" s="51">
        <v>10</v>
      </c>
      <c r="T92" s="44">
        <v>0</v>
      </c>
      <c r="U92" s="44">
        <v>0</v>
      </c>
      <c r="V92" s="44">
        <v>0</v>
      </c>
      <c r="W92" s="44">
        <v>0</v>
      </c>
      <c r="X92" s="44">
        <v>0</v>
      </c>
      <c r="Y92" s="44">
        <v>0</v>
      </c>
      <c r="Z92" s="44">
        <f t="shared" si="18"/>
        <v>10</v>
      </c>
      <c r="AA92" s="44">
        <v>10</v>
      </c>
      <c r="AB92" s="44">
        <v>0</v>
      </c>
      <c r="AC92" s="44">
        <v>0</v>
      </c>
      <c r="AD92" s="44">
        <v>0</v>
      </c>
      <c r="AE92" s="44">
        <v>0</v>
      </c>
      <c r="AF92" s="44">
        <v>0</v>
      </c>
      <c r="AG92" s="44">
        <v>0</v>
      </c>
      <c r="AH92" s="44">
        <f t="shared" si="19"/>
        <v>10</v>
      </c>
      <c r="AI92" s="44">
        <v>10</v>
      </c>
      <c r="AJ92" s="44">
        <v>0</v>
      </c>
      <c r="AK92" s="44">
        <v>0</v>
      </c>
      <c r="AL92" s="44">
        <v>0</v>
      </c>
      <c r="AM92" s="44">
        <v>0</v>
      </c>
      <c r="AN92" s="44">
        <v>0</v>
      </c>
      <c r="AO92" s="44">
        <v>0</v>
      </c>
      <c r="AP92" s="44">
        <f t="shared" si="20"/>
        <v>10</v>
      </c>
      <c r="AQ92" s="44"/>
      <c r="AR92" s="44"/>
      <c r="AS92" s="44"/>
      <c r="AT92" s="44"/>
      <c r="AU92" s="44"/>
      <c r="AV92" s="44"/>
      <c r="AW92" s="44"/>
      <c r="AX92" s="44">
        <f t="shared" si="21"/>
        <v>0</v>
      </c>
      <c r="AY92" s="44">
        <f t="shared" si="23"/>
        <v>30</v>
      </c>
      <c r="AZ92" s="44">
        <f t="shared" si="12"/>
        <v>0</v>
      </c>
      <c r="BA92" s="44">
        <f t="shared" si="12"/>
        <v>0</v>
      </c>
      <c r="BB92" s="44">
        <f t="shared" si="11"/>
        <v>0</v>
      </c>
      <c r="BC92" s="44">
        <f t="shared" si="11"/>
        <v>0</v>
      </c>
      <c r="BD92" s="44">
        <f t="shared" si="11"/>
        <v>0</v>
      </c>
      <c r="BE92" s="44">
        <f t="shared" si="11"/>
        <v>0</v>
      </c>
      <c r="BF92" s="45">
        <f t="shared" si="22"/>
        <v>30</v>
      </c>
    </row>
    <row r="93" spans="1:71" s="22" customFormat="1" ht="67.5" x14ac:dyDescent="0.25">
      <c r="A93" s="765"/>
      <c r="B93" s="752"/>
      <c r="C93" s="752"/>
      <c r="D93" s="723"/>
      <c r="E93" s="723"/>
      <c r="F93" s="723"/>
      <c r="G93" s="723"/>
      <c r="H93" s="724"/>
      <c r="I93" s="724"/>
      <c r="J93" s="746"/>
      <c r="K93" s="278" t="s">
        <v>899</v>
      </c>
      <c r="L93" s="465" t="s">
        <v>900</v>
      </c>
      <c r="M93" s="280">
        <v>3</v>
      </c>
      <c r="N93" s="279">
        <v>3</v>
      </c>
      <c r="O93" s="280">
        <v>3</v>
      </c>
      <c r="P93" s="280">
        <v>3</v>
      </c>
      <c r="Q93" s="280">
        <v>3</v>
      </c>
      <c r="R93" s="281">
        <v>3</v>
      </c>
      <c r="S93" s="51">
        <v>10</v>
      </c>
      <c r="T93" s="44"/>
      <c r="U93" s="44"/>
      <c r="V93" s="44"/>
      <c r="W93" s="44"/>
      <c r="X93" s="44"/>
      <c r="Y93" s="44"/>
      <c r="Z93" s="44">
        <f t="shared" si="18"/>
        <v>10</v>
      </c>
      <c r="AA93" s="44">
        <v>15</v>
      </c>
      <c r="AB93" s="44"/>
      <c r="AC93" s="44"/>
      <c r="AD93" s="44"/>
      <c r="AE93" s="44"/>
      <c r="AF93" s="44"/>
      <c r="AG93" s="44"/>
      <c r="AH93" s="44">
        <f t="shared" si="19"/>
        <v>15</v>
      </c>
      <c r="AI93" s="44">
        <v>15</v>
      </c>
      <c r="AJ93" s="44"/>
      <c r="AK93" s="44"/>
      <c r="AL93" s="44"/>
      <c r="AM93" s="44"/>
      <c r="AN93" s="44"/>
      <c r="AO93" s="44"/>
      <c r="AP93" s="44">
        <f t="shared" si="20"/>
        <v>15</v>
      </c>
      <c r="AQ93" s="44">
        <v>15</v>
      </c>
      <c r="AR93" s="44"/>
      <c r="AS93" s="44"/>
      <c r="AT93" s="44"/>
      <c r="AU93" s="44"/>
      <c r="AV93" s="44"/>
      <c r="AW93" s="44"/>
      <c r="AX93" s="44">
        <f t="shared" si="21"/>
        <v>15</v>
      </c>
      <c r="AY93" s="44">
        <f t="shared" si="23"/>
        <v>55</v>
      </c>
      <c r="AZ93" s="44">
        <f t="shared" si="12"/>
        <v>0</v>
      </c>
      <c r="BA93" s="44">
        <f t="shared" si="12"/>
        <v>0</v>
      </c>
      <c r="BB93" s="44">
        <f t="shared" si="11"/>
        <v>0</v>
      </c>
      <c r="BC93" s="44">
        <f t="shared" si="11"/>
        <v>0</v>
      </c>
      <c r="BD93" s="44">
        <f t="shared" si="11"/>
        <v>0</v>
      </c>
      <c r="BE93" s="44">
        <f t="shared" si="11"/>
        <v>0</v>
      </c>
      <c r="BF93" s="45">
        <f t="shared" si="22"/>
        <v>55</v>
      </c>
    </row>
    <row r="94" spans="1:71" s="22" customFormat="1" ht="94.5" x14ac:dyDescent="0.25">
      <c r="A94" s="765"/>
      <c r="B94" s="752"/>
      <c r="C94" s="752"/>
      <c r="D94" s="723"/>
      <c r="E94" s="723"/>
      <c r="F94" s="723"/>
      <c r="G94" s="723"/>
      <c r="H94" s="724"/>
      <c r="I94" s="724"/>
      <c r="J94" s="746"/>
      <c r="K94" s="278" t="s">
        <v>901</v>
      </c>
      <c r="L94" s="465" t="s">
        <v>902</v>
      </c>
      <c r="M94" s="279">
        <v>0</v>
      </c>
      <c r="N94" s="279">
        <v>1</v>
      </c>
      <c r="O94" s="280"/>
      <c r="P94" s="280">
        <v>1</v>
      </c>
      <c r="Q94" s="280"/>
      <c r="R94" s="281"/>
      <c r="S94" s="51"/>
      <c r="T94" s="44"/>
      <c r="U94" s="44"/>
      <c r="V94" s="44"/>
      <c r="W94" s="44"/>
      <c r="X94" s="44"/>
      <c r="Y94" s="44"/>
      <c r="Z94" s="44">
        <f t="shared" si="18"/>
        <v>0</v>
      </c>
      <c r="AA94" s="44"/>
      <c r="AB94" s="44"/>
      <c r="AC94" s="44"/>
      <c r="AD94" s="44">
        <v>150</v>
      </c>
      <c r="AE94" s="44"/>
      <c r="AF94" s="44"/>
      <c r="AG94" s="44"/>
      <c r="AH94" s="44">
        <f t="shared" si="19"/>
        <v>150</v>
      </c>
      <c r="AI94" s="44"/>
      <c r="AJ94" s="44"/>
      <c r="AK94" s="44"/>
      <c r="AL94" s="44"/>
      <c r="AM94" s="44"/>
      <c r="AN94" s="44"/>
      <c r="AO94" s="44"/>
      <c r="AP94" s="44">
        <f t="shared" si="20"/>
        <v>0</v>
      </c>
      <c r="AQ94" s="44"/>
      <c r="AR94" s="44"/>
      <c r="AS94" s="44"/>
      <c r="AT94" s="44"/>
      <c r="AU94" s="44"/>
      <c r="AV94" s="44"/>
      <c r="AW94" s="44"/>
      <c r="AX94" s="44">
        <f t="shared" si="21"/>
        <v>0</v>
      </c>
      <c r="AY94" s="44">
        <f t="shared" si="23"/>
        <v>0</v>
      </c>
      <c r="AZ94" s="44">
        <f t="shared" si="12"/>
        <v>0</v>
      </c>
      <c r="BA94" s="44">
        <f t="shared" si="12"/>
        <v>0</v>
      </c>
      <c r="BB94" s="44">
        <f t="shared" si="11"/>
        <v>150</v>
      </c>
      <c r="BC94" s="44">
        <f t="shared" si="11"/>
        <v>0</v>
      </c>
      <c r="BD94" s="44">
        <f t="shared" si="11"/>
        <v>0</v>
      </c>
      <c r="BE94" s="44">
        <f t="shared" si="11"/>
        <v>0</v>
      </c>
      <c r="BF94" s="45">
        <f t="shared" si="22"/>
        <v>150</v>
      </c>
    </row>
    <row r="95" spans="1:71" s="22" customFormat="1" ht="95.25" customHeight="1" x14ac:dyDescent="0.25">
      <c r="A95" s="765"/>
      <c r="B95" s="752"/>
      <c r="C95" s="752"/>
      <c r="D95" s="723"/>
      <c r="E95" s="723"/>
      <c r="F95" s="723"/>
      <c r="G95" s="723"/>
      <c r="H95" s="724"/>
      <c r="I95" s="724"/>
      <c r="J95" s="746"/>
      <c r="K95" s="278" t="s">
        <v>903</v>
      </c>
      <c r="L95" s="465" t="s">
        <v>904</v>
      </c>
      <c r="M95" s="279">
        <v>8</v>
      </c>
      <c r="N95" s="279">
        <v>28</v>
      </c>
      <c r="O95" s="280">
        <v>7</v>
      </c>
      <c r="P95" s="280">
        <v>14</v>
      </c>
      <c r="Q95" s="280">
        <v>21</v>
      </c>
      <c r="R95" s="281">
        <v>28</v>
      </c>
      <c r="S95" s="51">
        <v>15</v>
      </c>
      <c r="T95" s="44"/>
      <c r="U95" s="44"/>
      <c r="V95" s="44"/>
      <c r="W95" s="44"/>
      <c r="X95" s="44"/>
      <c r="Y95" s="44"/>
      <c r="Z95" s="44">
        <f t="shared" si="18"/>
        <v>15</v>
      </c>
      <c r="AA95" s="44">
        <v>20</v>
      </c>
      <c r="AB95" s="44"/>
      <c r="AC95" s="44"/>
      <c r="AD95" s="44"/>
      <c r="AE95" s="44"/>
      <c r="AF95" s="44"/>
      <c r="AG95" s="44"/>
      <c r="AH95" s="44">
        <f t="shared" si="19"/>
        <v>20</v>
      </c>
      <c r="AI95" s="44">
        <v>20</v>
      </c>
      <c r="AJ95" s="44"/>
      <c r="AK95" s="44"/>
      <c r="AL95" s="44"/>
      <c r="AM95" s="44"/>
      <c r="AN95" s="44"/>
      <c r="AO95" s="44"/>
      <c r="AP95" s="44">
        <f t="shared" si="20"/>
        <v>20</v>
      </c>
      <c r="AQ95" s="44">
        <v>20</v>
      </c>
      <c r="AR95" s="44"/>
      <c r="AS95" s="44"/>
      <c r="AT95" s="44"/>
      <c r="AU95" s="44"/>
      <c r="AV95" s="44"/>
      <c r="AW95" s="44"/>
      <c r="AX95" s="44">
        <f t="shared" si="21"/>
        <v>20</v>
      </c>
      <c r="AY95" s="44">
        <f t="shared" si="23"/>
        <v>75</v>
      </c>
      <c r="AZ95" s="44">
        <f t="shared" si="12"/>
        <v>0</v>
      </c>
      <c r="BA95" s="44">
        <f t="shared" si="12"/>
        <v>0</v>
      </c>
      <c r="BB95" s="44">
        <f t="shared" si="11"/>
        <v>0</v>
      </c>
      <c r="BC95" s="44">
        <f t="shared" si="11"/>
        <v>0</v>
      </c>
      <c r="BD95" s="44">
        <f t="shared" si="11"/>
        <v>0</v>
      </c>
      <c r="BE95" s="44">
        <f t="shared" si="11"/>
        <v>0</v>
      </c>
      <c r="BF95" s="45">
        <f t="shared" si="22"/>
        <v>75</v>
      </c>
    </row>
    <row r="96" spans="1:71" s="22" customFormat="1" ht="67.5" x14ac:dyDescent="0.25">
      <c r="A96" s="765"/>
      <c r="B96" s="752"/>
      <c r="C96" s="752"/>
      <c r="D96" s="723"/>
      <c r="E96" s="723"/>
      <c r="F96" s="723"/>
      <c r="G96" s="723"/>
      <c r="H96" s="724"/>
      <c r="I96" s="724"/>
      <c r="J96" s="762"/>
      <c r="K96" s="278" t="s">
        <v>905</v>
      </c>
      <c r="L96" s="465" t="s">
        <v>906</v>
      </c>
      <c r="M96" s="279">
        <v>0</v>
      </c>
      <c r="N96" s="279">
        <v>400</v>
      </c>
      <c r="O96" s="280">
        <v>100</v>
      </c>
      <c r="P96" s="280">
        <v>200</v>
      </c>
      <c r="Q96" s="280">
        <v>300</v>
      </c>
      <c r="R96" s="281">
        <v>400</v>
      </c>
      <c r="S96" s="51">
        <v>30</v>
      </c>
      <c r="T96" s="44"/>
      <c r="U96" s="44"/>
      <c r="V96" s="44"/>
      <c r="W96" s="44"/>
      <c r="X96" s="44"/>
      <c r="Y96" s="44"/>
      <c r="Z96" s="44">
        <f t="shared" si="18"/>
        <v>30</v>
      </c>
      <c r="AA96" s="44">
        <v>40</v>
      </c>
      <c r="AB96" s="44"/>
      <c r="AC96" s="44"/>
      <c r="AD96" s="44"/>
      <c r="AE96" s="44"/>
      <c r="AF96" s="44"/>
      <c r="AG96" s="44"/>
      <c r="AH96" s="44">
        <f t="shared" si="19"/>
        <v>40</v>
      </c>
      <c r="AI96" s="44">
        <v>40</v>
      </c>
      <c r="AJ96" s="44"/>
      <c r="AK96" s="44"/>
      <c r="AL96" s="44"/>
      <c r="AM96" s="44"/>
      <c r="AN96" s="44"/>
      <c r="AO96" s="44"/>
      <c r="AP96" s="44">
        <f t="shared" si="20"/>
        <v>40</v>
      </c>
      <c r="AQ96" s="44">
        <v>40</v>
      </c>
      <c r="AR96" s="44"/>
      <c r="AS96" s="44"/>
      <c r="AT96" s="44"/>
      <c r="AU96" s="44"/>
      <c r="AV96" s="44"/>
      <c r="AW96" s="44"/>
      <c r="AX96" s="44">
        <f t="shared" si="21"/>
        <v>40</v>
      </c>
      <c r="AY96" s="44">
        <f t="shared" si="23"/>
        <v>150</v>
      </c>
      <c r="AZ96" s="44">
        <f t="shared" si="12"/>
        <v>0</v>
      </c>
      <c r="BA96" s="44">
        <f t="shared" si="12"/>
        <v>0</v>
      </c>
      <c r="BB96" s="44">
        <f t="shared" si="11"/>
        <v>0</v>
      </c>
      <c r="BC96" s="44">
        <f t="shared" si="11"/>
        <v>0</v>
      </c>
      <c r="BD96" s="44">
        <f t="shared" si="11"/>
        <v>0</v>
      </c>
      <c r="BE96" s="44">
        <f t="shared" si="11"/>
        <v>0</v>
      </c>
      <c r="BF96" s="45">
        <f t="shared" si="22"/>
        <v>150</v>
      </c>
    </row>
    <row r="97" spans="1:59" s="22" customFormat="1" ht="54" x14ac:dyDescent="0.25">
      <c r="A97" s="765"/>
      <c r="B97" s="752"/>
      <c r="C97" s="752"/>
      <c r="D97" s="723"/>
      <c r="E97" s="723"/>
      <c r="F97" s="723"/>
      <c r="G97" s="723"/>
      <c r="H97" s="724" t="s">
        <v>907</v>
      </c>
      <c r="I97" s="724" t="s">
        <v>1099</v>
      </c>
      <c r="J97" s="745"/>
      <c r="K97" s="278" t="s">
        <v>908</v>
      </c>
      <c r="L97" s="465" t="s">
        <v>909</v>
      </c>
      <c r="M97" s="279">
        <v>1</v>
      </c>
      <c r="N97" s="279">
        <v>28</v>
      </c>
      <c r="O97" s="280">
        <v>7</v>
      </c>
      <c r="P97" s="280">
        <v>14</v>
      </c>
      <c r="Q97" s="280">
        <v>21</v>
      </c>
      <c r="R97" s="281">
        <v>28</v>
      </c>
      <c r="S97" s="51"/>
      <c r="T97" s="44"/>
      <c r="U97" s="44"/>
      <c r="V97" s="44"/>
      <c r="W97" s="44">
        <v>350</v>
      </c>
      <c r="X97" s="44"/>
      <c r="Y97" s="44"/>
      <c r="Z97" s="44">
        <f t="shared" si="18"/>
        <v>350</v>
      </c>
      <c r="AA97" s="44"/>
      <c r="AB97" s="44"/>
      <c r="AC97" s="44"/>
      <c r="AD97" s="44"/>
      <c r="AE97" s="44">
        <v>350</v>
      </c>
      <c r="AF97" s="44"/>
      <c r="AG97" s="44"/>
      <c r="AH97" s="44">
        <f t="shared" si="19"/>
        <v>350</v>
      </c>
      <c r="AI97" s="44"/>
      <c r="AJ97" s="44"/>
      <c r="AK97" s="44"/>
      <c r="AL97" s="44"/>
      <c r="AM97" s="44">
        <v>350</v>
      </c>
      <c r="AN97" s="44"/>
      <c r="AO97" s="44"/>
      <c r="AP97" s="44">
        <f t="shared" si="20"/>
        <v>350</v>
      </c>
      <c r="AQ97" s="44"/>
      <c r="AR97" s="44"/>
      <c r="AS97" s="44"/>
      <c r="AT97" s="44"/>
      <c r="AU97" s="44">
        <v>350</v>
      </c>
      <c r="AV97" s="44"/>
      <c r="AW97" s="44"/>
      <c r="AX97" s="44">
        <f t="shared" si="21"/>
        <v>350</v>
      </c>
      <c r="AY97" s="44">
        <f t="shared" si="23"/>
        <v>0</v>
      </c>
      <c r="AZ97" s="44">
        <f t="shared" si="12"/>
        <v>0</v>
      </c>
      <c r="BA97" s="44">
        <f t="shared" si="12"/>
        <v>0</v>
      </c>
      <c r="BB97" s="44">
        <f t="shared" si="11"/>
        <v>0</v>
      </c>
      <c r="BC97" s="44">
        <f t="shared" si="11"/>
        <v>1400</v>
      </c>
      <c r="BD97" s="44">
        <f t="shared" si="11"/>
        <v>0</v>
      </c>
      <c r="BE97" s="44">
        <f t="shared" si="11"/>
        <v>0</v>
      </c>
      <c r="BF97" s="45">
        <f t="shared" si="22"/>
        <v>1400</v>
      </c>
    </row>
    <row r="98" spans="1:59" s="22" customFormat="1" ht="54" x14ac:dyDescent="0.25">
      <c r="A98" s="765"/>
      <c r="B98" s="779"/>
      <c r="C98" s="779"/>
      <c r="D98" s="745"/>
      <c r="E98" s="745"/>
      <c r="F98" s="745"/>
      <c r="G98" s="745"/>
      <c r="H98" s="755"/>
      <c r="I98" s="755"/>
      <c r="J98" s="746"/>
      <c r="K98" s="278" t="s">
        <v>910</v>
      </c>
      <c r="L98" s="465" t="s">
        <v>911</v>
      </c>
      <c r="M98" s="280" t="s">
        <v>912</v>
      </c>
      <c r="N98" s="279">
        <v>20</v>
      </c>
      <c r="O98" s="280">
        <v>5</v>
      </c>
      <c r="P98" s="280">
        <v>10</v>
      </c>
      <c r="Q98" s="280">
        <v>15</v>
      </c>
      <c r="R98" s="281">
        <v>20</v>
      </c>
      <c r="S98" s="185">
        <v>100</v>
      </c>
      <c r="T98" s="44"/>
      <c r="U98" s="44"/>
      <c r="V98" s="44"/>
      <c r="W98" s="44"/>
      <c r="X98" s="44"/>
      <c r="Y98" s="44"/>
      <c r="Z98" s="44">
        <f t="shared" ref="Z98:Z104" si="29">SUM(S98:Y98)</f>
        <v>100</v>
      </c>
      <c r="AA98" s="44">
        <v>150</v>
      </c>
      <c r="AB98" s="44"/>
      <c r="AC98" s="44"/>
      <c r="AD98" s="44"/>
      <c r="AE98" s="44"/>
      <c r="AF98" s="44"/>
      <c r="AG98" s="44"/>
      <c r="AH98" s="44">
        <f t="shared" ref="AH98:AH104" si="30">SUM(AA98:AG98)</f>
        <v>150</v>
      </c>
      <c r="AI98" s="44">
        <v>200</v>
      </c>
      <c r="AJ98" s="44"/>
      <c r="AK98" s="44"/>
      <c r="AL98" s="44"/>
      <c r="AM98" s="44"/>
      <c r="AN98" s="44"/>
      <c r="AO98" s="44"/>
      <c r="AP98" s="44">
        <f t="shared" ref="AP98:AP104" si="31">SUM(AI98:AO98)</f>
        <v>200</v>
      </c>
      <c r="AQ98" s="44">
        <v>200</v>
      </c>
      <c r="AR98" s="44"/>
      <c r="AS98" s="44"/>
      <c r="AT98" s="44"/>
      <c r="AU98" s="44"/>
      <c r="AV98" s="44"/>
      <c r="AW98" s="44"/>
      <c r="AX98" s="44">
        <f t="shared" ref="AX98:AX104" si="32">SUM(AQ98:AW98)</f>
        <v>200</v>
      </c>
      <c r="AY98" s="44">
        <f t="shared" si="23"/>
        <v>650</v>
      </c>
      <c r="AZ98" s="44">
        <f t="shared" si="12"/>
        <v>0</v>
      </c>
      <c r="BA98" s="44">
        <f t="shared" si="12"/>
        <v>0</v>
      </c>
      <c r="BB98" s="44">
        <f t="shared" si="11"/>
        <v>0</v>
      </c>
      <c r="BC98" s="44">
        <f t="shared" si="11"/>
        <v>0</v>
      </c>
      <c r="BD98" s="44">
        <f t="shared" si="11"/>
        <v>0</v>
      </c>
      <c r="BE98" s="44">
        <f t="shared" si="11"/>
        <v>0</v>
      </c>
      <c r="BF98" s="45">
        <f t="shared" si="22"/>
        <v>650</v>
      </c>
    </row>
    <row r="99" spans="1:59" s="22" customFormat="1" ht="67.5" x14ac:dyDescent="0.25">
      <c r="A99" s="765"/>
      <c r="B99" s="779"/>
      <c r="C99" s="779"/>
      <c r="D99" s="745"/>
      <c r="E99" s="745"/>
      <c r="F99" s="745"/>
      <c r="G99" s="745"/>
      <c r="H99" s="755"/>
      <c r="I99" s="755"/>
      <c r="J99" s="746"/>
      <c r="K99" s="278" t="s">
        <v>1301</v>
      </c>
      <c r="L99" s="465" t="s">
        <v>1302</v>
      </c>
      <c r="M99" s="279"/>
      <c r="N99" s="279">
        <v>4</v>
      </c>
      <c r="O99" s="280">
        <v>1</v>
      </c>
      <c r="P99" s="280">
        <v>2</v>
      </c>
      <c r="Q99" s="280">
        <v>3</v>
      </c>
      <c r="R99" s="281">
        <v>4</v>
      </c>
      <c r="S99" s="185"/>
      <c r="T99" s="44"/>
      <c r="U99" s="44"/>
      <c r="V99" s="44"/>
      <c r="W99" s="44">
        <v>100</v>
      </c>
      <c r="X99" s="44"/>
      <c r="Y99" s="44"/>
      <c r="Z99" s="44">
        <f t="shared" si="29"/>
        <v>100</v>
      </c>
      <c r="AA99" s="44"/>
      <c r="AB99" s="44"/>
      <c r="AC99" s="44"/>
      <c r="AD99" s="44"/>
      <c r="AE99" s="44">
        <v>100</v>
      </c>
      <c r="AF99" s="44"/>
      <c r="AG99" s="44"/>
      <c r="AH99" s="44">
        <f t="shared" si="30"/>
        <v>100</v>
      </c>
      <c r="AI99" s="44"/>
      <c r="AJ99" s="44"/>
      <c r="AK99" s="44"/>
      <c r="AL99" s="44"/>
      <c r="AM99" s="44">
        <v>100</v>
      </c>
      <c r="AN99" s="44"/>
      <c r="AO99" s="44"/>
      <c r="AP99" s="44">
        <f t="shared" si="31"/>
        <v>100</v>
      </c>
      <c r="AQ99" s="44"/>
      <c r="AR99" s="44"/>
      <c r="AS99" s="44"/>
      <c r="AT99" s="44"/>
      <c r="AU99" s="44">
        <v>100</v>
      </c>
      <c r="AV99" s="44"/>
      <c r="AW99" s="44"/>
      <c r="AX99" s="44">
        <f t="shared" si="32"/>
        <v>100</v>
      </c>
      <c r="AY99" s="44">
        <f t="shared" si="23"/>
        <v>0</v>
      </c>
      <c r="AZ99" s="44">
        <f t="shared" si="12"/>
        <v>0</v>
      </c>
      <c r="BA99" s="44">
        <f t="shared" si="12"/>
        <v>0</v>
      </c>
      <c r="BB99" s="44">
        <f t="shared" si="11"/>
        <v>0</v>
      </c>
      <c r="BC99" s="44">
        <f t="shared" si="11"/>
        <v>400</v>
      </c>
      <c r="BD99" s="44">
        <f t="shared" si="11"/>
        <v>0</v>
      </c>
      <c r="BE99" s="44">
        <f t="shared" si="11"/>
        <v>0</v>
      </c>
      <c r="BF99" s="45">
        <f t="shared" si="22"/>
        <v>400</v>
      </c>
    </row>
    <row r="100" spans="1:59" s="22" customFormat="1" ht="40.5" x14ac:dyDescent="0.25">
      <c r="A100" s="765"/>
      <c r="B100" s="779"/>
      <c r="C100" s="779"/>
      <c r="D100" s="745"/>
      <c r="E100" s="745"/>
      <c r="F100" s="745"/>
      <c r="G100" s="745"/>
      <c r="H100" s="755"/>
      <c r="I100" s="755"/>
      <c r="J100" s="746"/>
      <c r="K100" s="282" t="s">
        <v>1303</v>
      </c>
      <c r="L100" s="466" t="s">
        <v>1304</v>
      </c>
      <c r="M100" s="283">
        <v>0</v>
      </c>
      <c r="N100" s="283">
        <v>1</v>
      </c>
      <c r="O100" s="284"/>
      <c r="P100" s="284"/>
      <c r="Q100" s="284"/>
      <c r="R100" s="281">
        <v>1</v>
      </c>
      <c r="S100" s="267"/>
      <c r="T100" s="268"/>
      <c r="U100" s="268"/>
      <c r="V100" s="268"/>
      <c r="W100" s="268"/>
      <c r="X100" s="268"/>
      <c r="Y100" s="268"/>
      <c r="Z100" s="44">
        <f t="shared" si="29"/>
        <v>0</v>
      </c>
      <c r="AA100" s="268"/>
      <c r="AB100" s="268"/>
      <c r="AC100" s="268"/>
      <c r="AD100" s="268"/>
      <c r="AE100" s="268"/>
      <c r="AF100" s="268"/>
      <c r="AG100" s="268"/>
      <c r="AH100" s="44">
        <f t="shared" si="30"/>
        <v>0</v>
      </c>
      <c r="AI100" s="268"/>
      <c r="AJ100" s="268"/>
      <c r="AK100" s="268"/>
      <c r="AL100" s="268"/>
      <c r="AM100" s="268"/>
      <c r="AN100" s="268"/>
      <c r="AO100" s="268"/>
      <c r="AP100" s="44">
        <f t="shared" si="31"/>
        <v>0</v>
      </c>
      <c r="AQ100" s="268">
        <v>15</v>
      </c>
      <c r="AR100" s="268"/>
      <c r="AS100" s="268"/>
      <c r="AT100" s="268"/>
      <c r="AU100" s="268"/>
      <c r="AV100" s="268"/>
      <c r="AW100" s="268"/>
      <c r="AX100" s="44">
        <f t="shared" si="32"/>
        <v>15</v>
      </c>
      <c r="AY100" s="44">
        <f t="shared" si="23"/>
        <v>15</v>
      </c>
      <c r="AZ100" s="44">
        <f t="shared" si="12"/>
        <v>0</v>
      </c>
      <c r="BA100" s="44">
        <f t="shared" si="12"/>
        <v>0</v>
      </c>
      <c r="BB100" s="44">
        <f t="shared" si="11"/>
        <v>0</v>
      </c>
      <c r="BC100" s="44">
        <f t="shared" si="11"/>
        <v>0</v>
      </c>
      <c r="BD100" s="44">
        <f t="shared" si="11"/>
        <v>0</v>
      </c>
      <c r="BE100" s="44">
        <f t="shared" si="11"/>
        <v>0</v>
      </c>
      <c r="BF100" s="45">
        <f t="shared" si="22"/>
        <v>15</v>
      </c>
    </row>
    <row r="101" spans="1:59" s="22" customFormat="1" ht="53.25" customHeight="1" x14ac:dyDescent="0.25">
      <c r="A101" s="765"/>
      <c r="B101" s="779"/>
      <c r="C101" s="779"/>
      <c r="D101" s="745"/>
      <c r="E101" s="745"/>
      <c r="F101" s="745"/>
      <c r="G101" s="745"/>
      <c r="H101" s="755"/>
      <c r="I101" s="755"/>
      <c r="J101" s="746"/>
      <c r="K101" s="282" t="s">
        <v>1306</v>
      </c>
      <c r="L101" s="466" t="s">
        <v>1305</v>
      </c>
      <c r="M101" s="283">
        <v>0</v>
      </c>
      <c r="N101" s="283">
        <v>1</v>
      </c>
      <c r="O101" s="284">
        <v>1</v>
      </c>
      <c r="P101" s="284">
        <v>1</v>
      </c>
      <c r="Q101" s="284">
        <v>1</v>
      </c>
      <c r="R101" s="285">
        <v>1</v>
      </c>
      <c r="S101" s="286">
        <v>2</v>
      </c>
      <c r="T101" s="268"/>
      <c r="U101" s="268"/>
      <c r="V101" s="268"/>
      <c r="W101" s="268"/>
      <c r="X101" s="268"/>
      <c r="Y101" s="268"/>
      <c r="Z101" s="44">
        <f t="shared" si="29"/>
        <v>2</v>
      </c>
      <c r="AA101" s="268">
        <v>2</v>
      </c>
      <c r="AB101" s="268"/>
      <c r="AC101" s="268"/>
      <c r="AD101" s="268"/>
      <c r="AE101" s="268"/>
      <c r="AF101" s="268"/>
      <c r="AG101" s="268"/>
      <c r="AH101" s="44">
        <f t="shared" si="30"/>
        <v>2</v>
      </c>
      <c r="AI101" s="268">
        <v>2</v>
      </c>
      <c r="AJ101" s="268"/>
      <c r="AK101" s="268"/>
      <c r="AL101" s="268"/>
      <c r="AM101" s="268"/>
      <c r="AN101" s="268"/>
      <c r="AO101" s="268"/>
      <c r="AP101" s="44">
        <f t="shared" si="31"/>
        <v>2</v>
      </c>
      <c r="AQ101" s="268">
        <v>2</v>
      </c>
      <c r="AR101" s="268"/>
      <c r="AS101" s="268"/>
      <c r="AT101" s="268"/>
      <c r="AU101" s="268"/>
      <c r="AV101" s="268"/>
      <c r="AW101" s="268"/>
      <c r="AX101" s="44">
        <f t="shared" si="32"/>
        <v>2</v>
      </c>
      <c r="AY101" s="44">
        <f t="shared" si="23"/>
        <v>8</v>
      </c>
      <c r="AZ101" s="44">
        <f t="shared" si="12"/>
        <v>0</v>
      </c>
      <c r="BA101" s="44">
        <f t="shared" si="12"/>
        <v>0</v>
      </c>
      <c r="BB101" s="44">
        <f t="shared" si="11"/>
        <v>0</v>
      </c>
      <c r="BC101" s="44">
        <f t="shared" si="11"/>
        <v>0</v>
      </c>
      <c r="BD101" s="44">
        <f t="shared" si="11"/>
        <v>0</v>
      </c>
      <c r="BE101" s="44">
        <f t="shared" si="11"/>
        <v>0</v>
      </c>
      <c r="BF101" s="45">
        <f t="shared" si="22"/>
        <v>8</v>
      </c>
    </row>
    <row r="102" spans="1:59" s="22" customFormat="1" ht="54" x14ac:dyDescent="0.25">
      <c r="A102" s="765"/>
      <c r="B102" s="779"/>
      <c r="C102" s="779"/>
      <c r="D102" s="745"/>
      <c r="E102" s="745"/>
      <c r="F102" s="745"/>
      <c r="G102" s="745"/>
      <c r="H102" s="755"/>
      <c r="I102" s="755"/>
      <c r="J102" s="746"/>
      <c r="K102" s="282" t="s">
        <v>1307</v>
      </c>
      <c r="L102" s="466" t="s">
        <v>1308</v>
      </c>
      <c r="M102" s="283">
        <v>0</v>
      </c>
      <c r="N102" s="283">
        <v>1</v>
      </c>
      <c r="O102" s="284"/>
      <c r="P102" s="284"/>
      <c r="Q102" s="284"/>
      <c r="R102" s="285">
        <v>1</v>
      </c>
      <c r="S102" s="286"/>
      <c r="T102" s="268"/>
      <c r="U102" s="268"/>
      <c r="V102" s="268"/>
      <c r="W102" s="268"/>
      <c r="X102" s="268"/>
      <c r="Y102" s="268"/>
      <c r="Z102" s="44">
        <f t="shared" si="29"/>
        <v>0</v>
      </c>
      <c r="AA102" s="268"/>
      <c r="AB102" s="268"/>
      <c r="AC102" s="268"/>
      <c r="AD102" s="268"/>
      <c r="AE102" s="268"/>
      <c r="AF102" s="268"/>
      <c r="AG102" s="268"/>
      <c r="AH102" s="44">
        <f t="shared" si="30"/>
        <v>0</v>
      </c>
      <c r="AI102" s="268"/>
      <c r="AJ102" s="268"/>
      <c r="AK102" s="268"/>
      <c r="AL102" s="268"/>
      <c r="AM102" s="268"/>
      <c r="AN102" s="268"/>
      <c r="AO102" s="268"/>
      <c r="AP102" s="44">
        <f t="shared" si="31"/>
        <v>0</v>
      </c>
      <c r="AQ102" s="268"/>
      <c r="AR102" s="268"/>
      <c r="AS102" s="268"/>
      <c r="AT102" s="268"/>
      <c r="AU102" s="268"/>
      <c r="AV102" s="268"/>
      <c r="AW102" s="268"/>
      <c r="AX102" s="44">
        <f t="shared" si="32"/>
        <v>0</v>
      </c>
      <c r="AY102" s="44">
        <f t="shared" si="23"/>
        <v>0</v>
      </c>
      <c r="AZ102" s="44">
        <f t="shared" si="12"/>
        <v>0</v>
      </c>
      <c r="BA102" s="44">
        <f t="shared" si="12"/>
        <v>0</v>
      </c>
      <c r="BB102" s="44">
        <f t="shared" si="11"/>
        <v>0</v>
      </c>
      <c r="BC102" s="44">
        <f t="shared" si="11"/>
        <v>0</v>
      </c>
      <c r="BD102" s="44">
        <f t="shared" si="11"/>
        <v>0</v>
      </c>
      <c r="BE102" s="44">
        <f t="shared" si="11"/>
        <v>0</v>
      </c>
      <c r="BF102" s="45">
        <f t="shared" si="22"/>
        <v>0</v>
      </c>
    </row>
    <row r="103" spans="1:59" s="22" customFormat="1" ht="77.25" customHeight="1" x14ac:dyDescent="0.25">
      <c r="A103" s="765"/>
      <c r="B103" s="779"/>
      <c r="C103" s="779"/>
      <c r="D103" s="745"/>
      <c r="E103" s="745"/>
      <c r="F103" s="745"/>
      <c r="G103" s="745"/>
      <c r="H103" s="755"/>
      <c r="I103" s="755"/>
      <c r="J103" s="746"/>
      <c r="K103" s="282" t="s">
        <v>1560</v>
      </c>
      <c r="L103" s="466" t="s">
        <v>1309</v>
      </c>
      <c r="M103" s="283">
        <v>0</v>
      </c>
      <c r="N103" s="283">
        <v>1</v>
      </c>
      <c r="O103" s="284"/>
      <c r="P103" s="284"/>
      <c r="Q103" s="284">
        <v>1</v>
      </c>
      <c r="R103" s="285"/>
      <c r="S103" s="286"/>
      <c r="T103" s="268"/>
      <c r="U103" s="268"/>
      <c r="V103" s="268"/>
      <c r="W103" s="268"/>
      <c r="X103" s="268"/>
      <c r="Y103" s="268"/>
      <c r="Z103" s="44">
        <f t="shared" si="29"/>
        <v>0</v>
      </c>
      <c r="AA103" s="268"/>
      <c r="AB103" s="268"/>
      <c r="AC103" s="268"/>
      <c r="AD103" s="268"/>
      <c r="AE103" s="268"/>
      <c r="AF103" s="268"/>
      <c r="AG103" s="268"/>
      <c r="AH103" s="44">
        <f t="shared" si="30"/>
        <v>0</v>
      </c>
      <c r="AI103" s="268"/>
      <c r="AJ103" s="268"/>
      <c r="AK103" s="268"/>
      <c r="AL103" s="268"/>
      <c r="AM103" s="268"/>
      <c r="AN103" s="268"/>
      <c r="AO103" s="268">
        <v>1000</v>
      </c>
      <c r="AP103" s="44">
        <f t="shared" si="31"/>
        <v>1000</v>
      </c>
      <c r="AQ103" s="268"/>
      <c r="AR103" s="268"/>
      <c r="AS103" s="268"/>
      <c r="AT103" s="268"/>
      <c r="AU103" s="268"/>
      <c r="AV103" s="268"/>
      <c r="AW103" s="268"/>
      <c r="AX103" s="44">
        <f t="shared" si="32"/>
        <v>0</v>
      </c>
      <c r="AY103" s="44">
        <f t="shared" si="23"/>
        <v>0</v>
      </c>
      <c r="AZ103" s="44">
        <f t="shared" si="12"/>
        <v>0</v>
      </c>
      <c r="BA103" s="44">
        <f t="shared" si="12"/>
        <v>0</v>
      </c>
      <c r="BB103" s="44">
        <f t="shared" si="11"/>
        <v>0</v>
      </c>
      <c r="BC103" s="44">
        <f t="shared" si="11"/>
        <v>0</v>
      </c>
      <c r="BD103" s="44">
        <f t="shared" si="11"/>
        <v>0</v>
      </c>
      <c r="BE103" s="44">
        <f t="shared" si="11"/>
        <v>1000</v>
      </c>
      <c r="BF103" s="45">
        <f t="shared" si="22"/>
        <v>1000</v>
      </c>
    </row>
    <row r="104" spans="1:59" s="22" customFormat="1" ht="90" customHeight="1" thickBot="1" x14ac:dyDescent="0.3">
      <c r="A104" s="765"/>
      <c r="B104" s="779"/>
      <c r="C104" s="779"/>
      <c r="D104" s="745"/>
      <c r="E104" s="745"/>
      <c r="F104" s="745"/>
      <c r="G104" s="745"/>
      <c r="H104" s="755"/>
      <c r="I104" s="755"/>
      <c r="J104" s="746"/>
      <c r="K104" s="282" t="s">
        <v>1310</v>
      </c>
      <c r="L104" s="466" t="s">
        <v>1311</v>
      </c>
      <c r="M104" s="283"/>
      <c r="N104" s="283">
        <v>842</v>
      </c>
      <c r="O104" s="284">
        <v>172</v>
      </c>
      <c r="P104" s="284">
        <f>197+O104</f>
        <v>369</v>
      </c>
      <c r="Q104" s="284">
        <f>223+P104</f>
        <v>592</v>
      </c>
      <c r="R104" s="285">
        <f>250+Q104</f>
        <v>842</v>
      </c>
      <c r="S104" s="286"/>
      <c r="T104" s="268"/>
      <c r="U104" s="268"/>
      <c r="V104" s="268"/>
      <c r="W104" s="268">
        <v>172</v>
      </c>
      <c r="X104" s="268"/>
      <c r="Y104" s="268"/>
      <c r="Z104" s="44">
        <f t="shared" si="29"/>
        <v>172</v>
      </c>
      <c r="AA104" s="268"/>
      <c r="AB104" s="268"/>
      <c r="AC104" s="268"/>
      <c r="AD104" s="268"/>
      <c r="AE104" s="268">
        <v>197</v>
      </c>
      <c r="AF104" s="268"/>
      <c r="AG104" s="268"/>
      <c r="AH104" s="44">
        <f t="shared" si="30"/>
        <v>197</v>
      </c>
      <c r="AI104" s="268"/>
      <c r="AJ104" s="268"/>
      <c r="AK104" s="268"/>
      <c r="AL104" s="268"/>
      <c r="AM104" s="268">
        <v>223</v>
      </c>
      <c r="AN104" s="268"/>
      <c r="AO104" s="268"/>
      <c r="AP104" s="44">
        <f t="shared" si="31"/>
        <v>223</v>
      </c>
      <c r="AQ104" s="268"/>
      <c r="AR104" s="268"/>
      <c r="AS104" s="268"/>
      <c r="AT104" s="268"/>
      <c r="AU104" s="268">
        <v>250</v>
      </c>
      <c r="AV104" s="268"/>
      <c r="AW104" s="268"/>
      <c r="AX104" s="44">
        <f t="shared" si="32"/>
        <v>250</v>
      </c>
      <c r="AY104" s="44">
        <f t="shared" si="23"/>
        <v>0</v>
      </c>
      <c r="AZ104" s="44">
        <f t="shared" si="12"/>
        <v>0</v>
      </c>
      <c r="BA104" s="44">
        <f t="shared" si="12"/>
        <v>0</v>
      </c>
      <c r="BB104" s="44">
        <f t="shared" si="11"/>
        <v>0</v>
      </c>
      <c r="BC104" s="44">
        <f t="shared" si="11"/>
        <v>842</v>
      </c>
      <c r="BD104" s="44">
        <f t="shared" si="11"/>
        <v>0</v>
      </c>
      <c r="BE104" s="44">
        <f t="shared" si="11"/>
        <v>0</v>
      </c>
      <c r="BF104" s="45">
        <f t="shared" si="22"/>
        <v>842</v>
      </c>
    </row>
    <row r="105" spans="1:59" s="19" customFormat="1" ht="14.25" thickBot="1" x14ac:dyDescent="0.3">
      <c r="A105" s="789" t="s">
        <v>942</v>
      </c>
      <c r="B105" s="790"/>
      <c r="C105" s="791"/>
      <c r="D105" s="28"/>
      <c r="E105" s="789" t="s">
        <v>1506</v>
      </c>
      <c r="F105" s="790"/>
      <c r="G105" s="791"/>
      <c r="H105" s="792" t="s">
        <v>1505</v>
      </c>
      <c r="I105" s="790"/>
      <c r="J105" s="791"/>
      <c r="K105" s="789" t="s">
        <v>1507</v>
      </c>
      <c r="L105" s="790"/>
      <c r="M105" s="790"/>
      <c r="N105" s="790"/>
      <c r="O105" s="790"/>
      <c r="P105" s="790"/>
      <c r="Q105" s="790"/>
      <c r="R105" s="791"/>
      <c r="S105" s="98">
        <f>SUM(S4:S104)</f>
        <v>265</v>
      </c>
      <c r="T105" s="98">
        <f t="shared" ref="T105:BF105" si="33">SUM(T4:T104)</f>
        <v>1713.2999999999997</v>
      </c>
      <c r="U105" s="98">
        <f t="shared" si="33"/>
        <v>21</v>
      </c>
      <c r="V105" s="98">
        <f t="shared" si="33"/>
        <v>287834.18</v>
      </c>
      <c r="W105" s="98">
        <f t="shared" si="33"/>
        <v>622</v>
      </c>
      <c r="X105" s="98">
        <f t="shared" si="33"/>
        <v>8087</v>
      </c>
      <c r="Y105" s="98">
        <f t="shared" si="33"/>
        <v>42267</v>
      </c>
      <c r="Z105" s="98">
        <f t="shared" si="33"/>
        <v>340809.48</v>
      </c>
      <c r="AA105" s="98">
        <f t="shared" si="33"/>
        <v>1077</v>
      </c>
      <c r="AB105" s="98">
        <f t="shared" si="33"/>
        <v>1713.2999999999997</v>
      </c>
      <c r="AC105" s="98">
        <f t="shared" si="33"/>
        <v>21</v>
      </c>
      <c r="AD105" s="98">
        <f t="shared" si="33"/>
        <v>73700.100000000006</v>
      </c>
      <c r="AE105" s="98">
        <f t="shared" si="33"/>
        <v>647</v>
      </c>
      <c r="AF105" s="98">
        <f t="shared" si="33"/>
        <v>4000</v>
      </c>
      <c r="AG105" s="98">
        <f t="shared" si="33"/>
        <v>18258</v>
      </c>
      <c r="AH105" s="98">
        <f t="shared" si="33"/>
        <v>99416.4</v>
      </c>
      <c r="AI105" s="98">
        <f t="shared" si="33"/>
        <v>1142</v>
      </c>
      <c r="AJ105" s="98">
        <f t="shared" si="33"/>
        <v>1713.2999999999997</v>
      </c>
      <c r="AK105" s="98">
        <f t="shared" si="33"/>
        <v>21</v>
      </c>
      <c r="AL105" s="98">
        <f t="shared" si="33"/>
        <v>21269.1</v>
      </c>
      <c r="AM105" s="98">
        <f t="shared" si="33"/>
        <v>673</v>
      </c>
      <c r="AN105" s="98">
        <f t="shared" si="33"/>
        <v>1790</v>
      </c>
      <c r="AO105" s="98">
        <f t="shared" si="33"/>
        <v>29133</v>
      </c>
      <c r="AP105" s="98">
        <f t="shared" si="33"/>
        <v>55731.4</v>
      </c>
      <c r="AQ105" s="98">
        <f t="shared" si="33"/>
        <v>1122</v>
      </c>
      <c r="AR105" s="98">
        <f t="shared" si="33"/>
        <v>1713.2999999999997</v>
      </c>
      <c r="AS105" s="98">
        <f t="shared" si="33"/>
        <v>21</v>
      </c>
      <c r="AT105" s="98">
        <f t="shared" si="33"/>
        <v>273.10000000000002</v>
      </c>
      <c r="AU105" s="98">
        <f t="shared" si="33"/>
        <v>700</v>
      </c>
      <c r="AV105" s="98">
        <f t="shared" si="33"/>
        <v>500</v>
      </c>
      <c r="AW105" s="98">
        <f t="shared" si="33"/>
        <v>18058</v>
      </c>
      <c r="AX105" s="98">
        <f t="shared" si="33"/>
        <v>22377.4</v>
      </c>
      <c r="AY105" s="98">
        <f t="shared" si="33"/>
        <v>3606</v>
      </c>
      <c r="AZ105" s="98">
        <f t="shared" si="33"/>
        <v>6853.1999999999989</v>
      </c>
      <c r="BA105" s="98">
        <f t="shared" si="33"/>
        <v>84</v>
      </c>
      <c r="BB105" s="98">
        <f t="shared" si="33"/>
        <v>383076.48</v>
      </c>
      <c r="BC105" s="98">
        <f t="shared" si="33"/>
        <v>2642</v>
      </c>
      <c r="BD105" s="98">
        <f t="shared" si="33"/>
        <v>14377</v>
      </c>
      <c r="BE105" s="98">
        <f t="shared" si="33"/>
        <v>107716</v>
      </c>
      <c r="BF105" s="98">
        <f t="shared" si="33"/>
        <v>518354.68</v>
      </c>
    </row>
    <row r="106" spans="1:59" s="19" customFormat="1" x14ac:dyDescent="0.25">
      <c r="B106" s="23"/>
      <c r="H106" s="23"/>
    </row>
    <row r="107" spans="1:59" s="19" customFormat="1" ht="14.25" thickBot="1" x14ac:dyDescent="0.3">
      <c r="B107" s="23"/>
      <c r="H107" s="23"/>
    </row>
    <row r="108" spans="1:59" s="19" customFormat="1" x14ac:dyDescent="0.25">
      <c r="B108" s="23"/>
      <c r="H108" s="23"/>
      <c r="M108" s="793" t="s">
        <v>827</v>
      </c>
      <c r="N108" s="794"/>
      <c r="O108" s="794"/>
      <c r="P108" s="794"/>
      <c r="Q108" s="794"/>
      <c r="R108" s="795"/>
      <c r="S108" s="796"/>
      <c r="T108" s="797"/>
      <c r="U108" s="797"/>
      <c r="V108" s="797"/>
      <c r="W108" s="797"/>
      <c r="X108" s="797"/>
      <c r="Y108" s="797"/>
      <c r="Z108" s="797"/>
      <c r="AA108" s="797"/>
      <c r="AB108" s="797"/>
      <c r="AC108" s="797"/>
      <c r="AD108" s="797"/>
      <c r="AE108" s="797"/>
      <c r="AF108" s="797"/>
      <c r="AG108" s="797"/>
      <c r="AH108" s="797"/>
      <c r="AI108" s="797"/>
      <c r="AJ108" s="797"/>
      <c r="AK108" s="797"/>
      <c r="AL108" s="797"/>
      <c r="AM108" s="797"/>
      <c r="AN108" s="797"/>
      <c r="AO108" s="797"/>
      <c r="AP108" s="797"/>
      <c r="AQ108" s="797"/>
      <c r="AR108" s="797"/>
      <c r="AS108" s="797"/>
      <c r="AT108" s="797"/>
      <c r="AU108" s="797"/>
      <c r="AV108" s="797"/>
      <c r="AW108" s="797"/>
      <c r="AX108" s="797"/>
      <c r="AY108" s="797"/>
      <c r="AZ108" s="797"/>
      <c r="BA108" s="797"/>
      <c r="BB108" s="797"/>
      <c r="BC108" s="797"/>
      <c r="BD108" s="797"/>
      <c r="BE108" s="798"/>
      <c r="BF108" s="799"/>
    </row>
    <row r="109" spans="1:59" s="19" customFormat="1" x14ac:dyDescent="0.25">
      <c r="B109" s="23"/>
      <c r="H109" s="23"/>
      <c r="M109" s="735"/>
      <c r="N109" s="741"/>
      <c r="O109" s="741"/>
      <c r="P109" s="741"/>
      <c r="Q109" s="741"/>
      <c r="R109" s="743"/>
      <c r="S109" s="744">
        <v>2012</v>
      </c>
      <c r="T109" s="738"/>
      <c r="U109" s="738"/>
      <c r="V109" s="738"/>
      <c r="W109" s="738"/>
      <c r="X109" s="738"/>
      <c r="Y109" s="738"/>
      <c r="Z109" s="738"/>
      <c r="AA109" s="738">
        <v>2013</v>
      </c>
      <c r="AB109" s="738"/>
      <c r="AC109" s="738"/>
      <c r="AD109" s="738"/>
      <c r="AE109" s="738"/>
      <c r="AF109" s="738"/>
      <c r="AG109" s="738"/>
      <c r="AH109" s="738"/>
      <c r="AI109" s="738">
        <v>2014</v>
      </c>
      <c r="AJ109" s="738"/>
      <c r="AK109" s="738"/>
      <c r="AL109" s="738"/>
      <c r="AM109" s="738"/>
      <c r="AN109" s="738"/>
      <c r="AO109" s="738"/>
      <c r="AP109" s="738"/>
      <c r="AQ109" s="738">
        <v>2015</v>
      </c>
      <c r="AR109" s="738"/>
      <c r="AS109" s="738"/>
      <c r="AT109" s="738"/>
      <c r="AU109" s="738"/>
      <c r="AV109" s="738"/>
      <c r="AW109" s="738"/>
      <c r="AX109" s="738"/>
      <c r="AY109" s="738" t="s">
        <v>734</v>
      </c>
      <c r="AZ109" s="738"/>
      <c r="BA109" s="738"/>
      <c r="BB109" s="738"/>
      <c r="BC109" s="738"/>
      <c r="BD109" s="738"/>
      <c r="BE109" s="739"/>
      <c r="BF109" s="740"/>
    </row>
    <row r="110" spans="1:59" s="19" customFormat="1" ht="27.75" thickBot="1" x14ac:dyDescent="0.3">
      <c r="B110" s="23"/>
      <c r="H110" s="23"/>
      <c r="M110" s="736" t="s">
        <v>826</v>
      </c>
      <c r="N110" s="742"/>
      <c r="O110" s="742"/>
      <c r="P110" s="742"/>
      <c r="Q110" s="742"/>
      <c r="R110" s="803"/>
      <c r="S110" s="94" t="s">
        <v>1400</v>
      </c>
      <c r="T110" s="95" t="s">
        <v>728</v>
      </c>
      <c r="U110" s="95" t="s">
        <v>729</v>
      </c>
      <c r="V110" s="95" t="s">
        <v>937</v>
      </c>
      <c r="W110" s="95" t="s">
        <v>730</v>
      </c>
      <c r="X110" s="95" t="s">
        <v>731</v>
      </c>
      <c r="Y110" s="95" t="s">
        <v>732</v>
      </c>
      <c r="Z110" s="95" t="s">
        <v>733</v>
      </c>
      <c r="AA110" s="95" t="s">
        <v>1400</v>
      </c>
      <c r="AB110" s="95" t="s">
        <v>728</v>
      </c>
      <c r="AC110" s="95" t="s">
        <v>729</v>
      </c>
      <c r="AD110" s="95" t="s">
        <v>937</v>
      </c>
      <c r="AE110" s="95" t="s">
        <v>730</v>
      </c>
      <c r="AF110" s="95" t="s">
        <v>731</v>
      </c>
      <c r="AG110" s="95" t="s">
        <v>732</v>
      </c>
      <c r="AH110" s="95" t="s">
        <v>733</v>
      </c>
      <c r="AI110" s="95" t="s">
        <v>1400</v>
      </c>
      <c r="AJ110" s="95" t="s">
        <v>728</v>
      </c>
      <c r="AK110" s="95" t="s">
        <v>729</v>
      </c>
      <c r="AL110" s="95" t="s">
        <v>937</v>
      </c>
      <c r="AM110" s="95" t="s">
        <v>730</v>
      </c>
      <c r="AN110" s="95" t="s">
        <v>731</v>
      </c>
      <c r="AO110" s="95" t="s">
        <v>732</v>
      </c>
      <c r="AP110" s="95" t="s">
        <v>733</v>
      </c>
      <c r="AQ110" s="95" t="s">
        <v>1400</v>
      </c>
      <c r="AR110" s="95" t="s">
        <v>728</v>
      </c>
      <c r="AS110" s="95" t="s">
        <v>729</v>
      </c>
      <c r="AT110" s="95" t="s">
        <v>937</v>
      </c>
      <c r="AU110" s="95" t="s">
        <v>730</v>
      </c>
      <c r="AV110" s="95" t="s">
        <v>731</v>
      </c>
      <c r="AW110" s="95" t="s">
        <v>732</v>
      </c>
      <c r="AX110" s="95" t="s">
        <v>733</v>
      </c>
      <c r="AY110" s="95" t="s">
        <v>1400</v>
      </c>
      <c r="AZ110" s="95" t="s">
        <v>728</v>
      </c>
      <c r="BA110" s="95" t="s">
        <v>729</v>
      </c>
      <c r="BB110" s="95" t="s">
        <v>937</v>
      </c>
      <c r="BC110" s="95" t="s">
        <v>730</v>
      </c>
      <c r="BD110" s="95" t="s">
        <v>731</v>
      </c>
      <c r="BE110" s="96" t="s">
        <v>732</v>
      </c>
      <c r="BF110" s="97" t="s">
        <v>825</v>
      </c>
    </row>
    <row r="111" spans="1:59" s="19" customFormat="1" x14ac:dyDescent="0.25">
      <c r="B111" s="23"/>
      <c r="H111" s="23"/>
      <c r="L111" s="24" t="s">
        <v>828</v>
      </c>
      <c r="M111" s="800" t="s">
        <v>829</v>
      </c>
      <c r="N111" s="801"/>
      <c r="O111" s="801"/>
      <c r="P111" s="801"/>
      <c r="Q111" s="801"/>
      <c r="R111" s="802"/>
      <c r="S111" s="176">
        <v>0</v>
      </c>
      <c r="T111" s="99">
        <v>0</v>
      </c>
      <c r="U111" s="99">
        <v>0</v>
      </c>
      <c r="V111" s="99">
        <v>0</v>
      </c>
      <c r="W111" s="99">
        <v>0</v>
      </c>
      <c r="X111" s="99">
        <v>0</v>
      </c>
      <c r="Y111" s="99">
        <v>0</v>
      </c>
      <c r="Z111" s="99">
        <v>0</v>
      </c>
      <c r="AA111" s="99">
        <v>0</v>
      </c>
      <c r="AB111" s="99">
        <v>0</v>
      </c>
      <c r="AC111" s="99">
        <v>0</v>
      </c>
      <c r="AD111" s="99">
        <v>0</v>
      </c>
      <c r="AE111" s="99">
        <v>0</v>
      </c>
      <c r="AF111" s="99">
        <v>0</v>
      </c>
      <c r="AG111" s="99">
        <v>0</v>
      </c>
      <c r="AH111" s="99">
        <v>0</v>
      </c>
      <c r="AI111" s="99">
        <v>0</v>
      </c>
      <c r="AJ111" s="99">
        <v>0</v>
      </c>
      <c r="AK111" s="99">
        <v>0</v>
      </c>
      <c r="AL111" s="99">
        <v>0</v>
      </c>
      <c r="AM111" s="99">
        <v>0</v>
      </c>
      <c r="AN111" s="99">
        <v>0</v>
      </c>
      <c r="AO111" s="99">
        <v>0</v>
      </c>
      <c r="AP111" s="99">
        <v>0</v>
      </c>
      <c r="AQ111" s="99">
        <v>0</v>
      </c>
      <c r="AR111" s="99">
        <v>0</v>
      </c>
      <c r="AS111" s="99">
        <v>0</v>
      </c>
      <c r="AT111" s="99">
        <v>0</v>
      </c>
      <c r="AU111" s="99">
        <v>0</v>
      </c>
      <c r="AV111" s="99">
        <v>0</v>
      </c>
      <c r="AW111" s="99">
        <v>0</v>
      </c>
      <c r="AX111" s="99">
        <v>0</v>
      </c>
      <c r="AY111" s="99">
        <v>0</v>
      </c>
      <c r="AZ111" s="99">
        <v>0</v>
      </c>
      <c r="BA111" s="99">
        <v>0</v>
      </c>
      <c r="BB111" s="99">
        <v>0</v>
      </c>
      <c r="BC111" s="99">
        <v>0</v>
      </c>
      <c r="BD111" s="99">
        <v>0</v>
      </c>
      <c r="BE111" s="99">
        <v>0</v>
      </c>
      <c r="BF111" s="99">
        <v>0</v>
      </c>
      <c r="BG111" s="175"/>
    </row>
    <row r="112" spans="1:59" s="19" customFormat="1" x14ac:dyDescent="0.25">
      <c r="B112" s="23"/>
      <c r="H112" s="23"/>
      <c r="L112" s="24" t="s">
        <v>830</v>
      </c>
      <c r="M112" s="780" t="s">
        <v>847</v>
      </c>
      <c r="N112" s="781"/>
      <c r="O112" s="781"/>
      <c r="P112" s="781"/>
      <c r="Q112" s="781"/>
      <c r="R112" s="782"/>
      <c r="S112" s="177">
        <f>+S4+S5</f>
        <v>0</v>
      </c>
      <c r="T112" s="177">
        <f t="shared" ref="T112:BF112" si="34">+T4+T5</f>
        <v>0</v>
      </c>
      <c r="U112" s="177">
        <f t="shared" si="34"/>
        <v>0</v>
      </c>
      <c r="V112" s="177">
        <f t="shared" si="34"/>
        <v>0</v>
      </c>
      <c r="W112" s="177">
        <f t="shared" si="34"/>
        <v>0</v>
      </c>
      <c r="X112" s="177">
        <f t="shared" si="34"/>
        <v>0</v>
      </c>
      <c r="Y112" s="177">
        <f t="shared" si="34"/>
        <v>0</v>
      </c>
      <c r="Z112" s="177">
        <f t="shared" si="34"/>
        <v>0</v>
      </c>
      <c r="AA112" s="177">
        <f t="shared" si="34"/>
        <v>0</v>
      </c>
      <c r="AB112" s="177">
        <f t="shared" si="34"/>
        <v>0</v>
      </c>
      <c r="AC112" s="177">
        <f t="shared" si="34"/>
        <v>0</v>
      </c>
      <c r="AD112" s="177">
        <f t="shared" si="34"/>
        <v>0</v>
      </c>
      <c r="AE112" s="177">
        <f t="shared" si="34"/>
        <v>0</v>
      </c>
      <c r="AF112" s="177">
        <f t="shared" si="34"/>
        <v>0</v>
      </c>
      <c r="AG112" s="177">
        <f t="shared" si="34"/>
        <v>0</v>
      </c>
      <c r="AH112" s="177">
        <f t="shared" si="34"/>
        <v>0</v>
      </c>
      <c r="AI112" s="177">
        <f t="shared" si="34"/>
        <v>0</v>
      </c>
      <c r="AJ112" s="177">
        <f t="shared" si="34"/>
        <v>0</v>
      </c>
      <c r="AK112" s="177">
        <f t="shared" si="34"/>
        <v>0</v>
      </c>
      <c r="AL112" s="177">
        <f t="shared" si="34"/>
        <v>0</v>
      </c>
      <c r="AM112" s="177">
        <f t="shared" si="34"/>
        <v>0</v>
      </c>
      <c r="AN112" s="177">
        <f t="shared" si="34"/>
        <v>0</v>
      </c>
      <c r="AO112" s="177">
        <f t="shared" si="34"/>
        <v>0</v>
      </c>
      <c r="AP112" s="177">
        <f t="shared" si="34"/>
        <v>0</v>
      </c>
      <c r="AQ112" s="177">
        <f t="shared" si="34"/>
        <v>0</v>
      </c>
      <c r="AR112" s="177">
        <f t="shared" si="34"/>
        <v>0</v>
      </c>
      <c r="AS112" s="177">
        <f t="shared" si="34"/>
        <v>0</v>
      </c>
      <c r="AT112" s="177">
        <f t="shared" si="34"/>
        <v>0</v>
      </c>
      <c r="AU112" s="177">
        <f t="shared" si="34"/>
        <v>0</v>
      </c>
      <c r="AV112" s="177">
        <f t="shared" si="34"/>
        <v>0</v>
      </c>
      <c r="AW112" s="177">
        <f t="shared" si="34"/>
        <v>0</v>
      </c>
      <c r="AX112" s="177">
        <f t="shared" si="34"/>
        <v>0</v>
      </c>
      <c r="AY112" s="177">
        <f t="shared" si="34"/>
        <v>0</v>
      </c>
      <c r="AZ112" s="177">
        <f t="shared" si="34"/>
        <v>0</v>
      </c>
      <c r="BA112" s="177">
        <f t="shared" si="34"/>
        <v>0</v>
      </c>
      <c r="BB112" s="177">
        <f t="shared" si="34"/>
        <v>0</v>
      </c>
      <c r="BC112" s="177">
        <f t="shared" si="34"/>
        <v>0</v>
      </c>
      <c r="BD112" s="177">
        <f t="shared" si="34"/>
        <v>0</v>
      </c>
      <c r="BE112" s="177">
        <f t="shared" si="34"/>
        <v>0</v>
      </c>
      <c r="BF112" s="177">
        <f t="shared" si="34"/>
        <v>0</v>
      </c>
    </row>
    <row r="113" spans="2:58" s="19" customFormat="1" x14ac:dyDescent="0.25">
      <c r="B113" s="23"/>
      <c r="H113" s="23"/>
      <c r="L113" s="24" t="s">
        <v>836</v>
      </c>
      <c r="M113" s="780" t="s">
        <v>837</v>
      </c>
      <c r="N113" s="781"/>
      <c r="O113" s="781"/>
      <c r="P113" s="781"/>
      <c r="Q113" s="781"/>
      <c r="R113" s="782"/>
      <c r="S113" s="100">
        <f>+S6+S7+S8+S9+S10</f>
        <v>0</v>
      </c>
      <c r="T113" s="100">
        <f t="shared" ref="T113:BF113" si="35">+T6+T7+T8+T9+T10</f>
        <v>0</v>
      </c>
      <c r="U113" s="100">
        <f t="shared" si="35"/>
        <v>0</v>
      </c>
      <c r="V113" s="100">
        <f t="shared" si="35"/>
        <v>0</v>
      </c>
      <c r="W113" s="100">
        <f t="shared" si="35"/>
        <v>0</v>
      </c>
      <c r="X113" s="100">
        <f t="shared" si="35"/>
        <v>0</v>
      </c>
      <c r="Y113" s="100">
        <f t="shared" si="35"/>
        <v>0</v>
      </c>
      <c r="Z113" s="100">
        <f t="shared" si="35"/>
        <v>0</v>
      </c>
      <c r="AA113" s="100">
        <f t="shared" si="35"/>
        <v>20</v>
      </c>
      <c r="AB113" s="100">
        <f t="shared" si="35"/>
        <v>0</v>
      </c>
      <c r="AC113" s="100">
        <f t="shared" si="35"/>
        <v>0</v>
      </c>
      <c r="AD113" s="100">
        <f t="shared" si="35"/>
        <v>30</v>
      </c>
      <c r="AE113" s="100">
        <f t="shared" si="35"/>
        <v>0</v>
      </c>
      <c r="AF113" s="100">
        <f t="shared" si="35"/>
        <v>2500</v>
      </c>
      <c r="AG113" s="100">
        <f t="shared" si="35"/>
        <v>0</v>
      </c>
      <c r="AH113" s="100">
        <f t="shared" si="35"/>
        <v>2550</v>
      </c>
      <c r="AI113" s="100">
        <f t="shared" si="35"/>
        <v>0</v>
      </c>
      <c r="AJ113" s="100">
        <f t="shared" si="35"/>
        <v>0</v>
      </c>
      <c r="AK113" s="100">
        <f t="shared" si="35"/>
        <v>0</v>
      </c>
      <c r="AL113" s="100">
        <f t="shared" si="35"/>
        <v>0</v>
      </c>
      <c r="AM113" s="100">
        <f t="shared" si="35"/>
        <v>0</v>
      </c>
      <c r="AN113" s="100">
        <f t="shared" si="35"/>
        <v>1790</v>
      </c>
      <c r="AO113" s="100">
        <f t="shared" si="35"/>
        <v>0</v>
      </c>
      <c r="AP113" s="100">
        <f t="shared" si="35"/>
        <v>1790</v>
      </c>
      <c r="AQ113" s="100">
        <f t="shared" si="35"/>
        <v>0</v>
      </c>
      <c r="AR113" s="100">
        <f t="shared" si="35"/>
        <v>0</v>
      </c>
      <c r="AS113" s="100">
        <f t="shared" si="35"/>
        <v>0</v>
      </c>
      <c r="AT113" s="100">
        <f t="shared" si="35"/>
        <v>0</v>
      </c>
      <c r="AU113" s="100">
        <f t="shared" si="35"/>
        <v>0</v>
      </c>
      <c r="AV113" s="100">
        <f t="shared" si="35"/>
        <v>0</v>
      </c>
      <c r="AW113" s="100">
        <f t="shared" si="35"/>
        <v>0</v>
      </c>
      <c r="AX113" s="100">
        <f t="shared" si="35"/>
        <v>0</v>
      </c>
      <c r="AY113" s="100">
        <f t="shared" si="35"/>
        <v>20</v>
      </c>
      <c r="AZ113" s="100">
        <f t="shared" si="35"/>
        <v>0</v>
      </c>
      <c r="BA113" s="100">
        <f t="shared" si="35"/>
        <v>0</v>
      </c>
      <c r="BB113" s="100">
        <f t="shared" si="35"/>
        <v>30</v>
      </c>
      <c r="BC113" s="100">
        <f t="shared" si="35"/>
        <v>0</v>
      </c>
      <c r="BD113" s="100">
        <f t="shared" si="35"/>
        <v>4290</v>
      </c>
      <c r="BE113" s="100">
        <f t="shared" si="35"/>
        <v>0</v>
      </c>
      <c r="BF113" s="100">
        <f t="shared" si="35"/>
        <v>4340</v>
      </c>
    </row>
    <row r="114" spans="2:58" s="19" customFormat="1" x14ac:dyDescent="0.25">
      <c r="B114" s="23"/>
      <c r="H114" s="23"/>
      <c r="L114" s="24" t="s">
        <v>839</v>
      </c>
      <c r="M114" s="780" t="s">
        <v>848</v>
      </c>
      <c r="N114" s="781"/>
      <c r="O114" s="781"/>
      <c r="P114" s="781"/>
      <c r="Q114" s="781"/>
      <c r="R114" s="782"/>
      <c r="S114" s="100">
        <f>+S11+S12+S13+S14+S15+S16+S17+S18+S19+S20+S22+S23+S24+S25+S26+S27+S28+S29+S30+S31+S32+S33+S34+S35+S36+S37+S38+S39+S40+S41+S42+S43+S44+S45</f>
        <v>0</v>
      </c>
      <c r="T114" s="100">
        <f t="shared" ref="T114:BF114" si="36">+T11+T12+T13+T14+T15+T16+T17+T18+T19+T20+T22+T23+T24+T25+T26+T27+T28+T29+T30+T31+T32+T33+T34+T35+T36+T37+T38+T39+T40+T41+T42+T43+T44+T45</f>
        <v>1676.2999999999997</v>
      </c>
      <c r="U114" s="100">
        <f t="shared" si="36"/>
        <v>0</v>
      </c>
      <c r="V114" s="100">
        <f t="shared" si="36"/>
        <v>138.18</v>
      </c>
      <c r="W114" s="100">
        <f t="shared" si="36"/>
        <v>0</v>
      </c>
      <c r="X114" s="100">
        <f t="shared" si="36"/>
        <v>0</v>
      </c>
      <c r="Y114" s="100">
        <f t="shared" si="36"/>
        <v>0</v>
      </c>
      <c r="Z114" s="100">
        <f t="shared" si="36"/>
        <v>1814.4799999999998</v>
      </c>
      <c r="AA114" s="100">
        <f t="shared" si="36"/>
        <v>0</v>
      </c>
      <c r="AB114" s="100">
        <f t="shared" si="36"/>
        <v>1676.2999999999997</v>
      </c>
      <c r="AC114" s="100">
        <f t="shared" si="36"/>
        <v>0</v>
      </c>
      <c r="AD114" s="100">
        <f t="shared" si="36"/>
        <v>138.1</v>
      </c>
      <c r="AE114" s="100">
        <f t="shared" si="36"/>
        <v>0</v>
      </c>
      <c r="AF114" s="100">
        <f t="shared" si="36"/>
        <v>0</v>
      </c>
      <c r="AG114" s="100">
        <f t="shared" si="36"/>
        <v>0</v>
      </c>
      <c r="AH114" s="100">
        <f t="shared" si="36"/>
        <v>1814.3999999999999</v>
      </c>
      <c r="AI114" s="100">
        <f t="shared" si="36"/>
        <v>0</v>
      </c>
      <c r="AJ114" s="100">
        <f t="shared" si="36"/>
        <v>1676.2999999999997</v>
      </c>
      <c r="AK114" s="100">
        <f t="shared" si="36"/>
        <v>0</v>
      </c>
      <c r="AL114" s="100">
        <f t="shared" si="36"/>
        <v>138.1</v>
      </c>
      <c r="AM114" s="100">
        <f t="shared" si="36"/>
        <v>0</v>
      </c>
      <c r="AN114" s="100">
        <f t="shared" si="36"/>
        <v>0</v>
      </c>
      <c r="AO114" s="100">
        <f t="shared" si="36"/>
        <v>0</v>
      </c>
      <c r="AP114" s="100">
        <f t="shared" si="36"/>
        <v>1814.3999999999999</v>
      </c>
      <c r="AQ114" s="100">
        <f t="shared" si="36"/>
        <v>0</v>
      </c>
      <c r="AR114" s="100">
        <f t="shared" si="36"/>
        <v>1676.2999999999997</v>
      </c>
      <c r="AS114" s="100">
        <f t="shared" si="36"/>
        <v>0</v>
      </c>
      <c r="AT114" s="100">
        <f t="shared" si="36"/>
        <v>138.1</v>
      </c>
      <c r="AU114" s="100">
        <f t="shared" si="36"/>
        <v>0</v>
      </c>
      <c r="AV114" s="100">
        <f t="shared" si="36"/>
        <v>0</v>
      </c>
      <c r="AW114" s="100">
        <f t="shared" si="36"/>
        <v>0</v>
      </c>
      <c r="AX114" s="100">
        <f t="shared" si="36"/>
        <v>1814.3999999999999</v>
      </c>
      <c r="AY114" s="100">
        <f t="shared" si="36"/>
        <v>0</v>
      </c>
      <c r="AZ114" s="100">
        <f t="shared" si="36"/>
        <v>6705.1999999999989</v>
      </c>
      <c r="BA114" s="100">
        <f t="shared" si="36"/>
        <v>0</v>
      </c>
      <c r="BB114" s="100">
        <f t="shared" si="36"/>
        <v>552.48</v>
      </c>
      <c r="BC114" s="100">
        <f t="shared" si="36"/>
        <v>0</v>
      </c>
      <c r="BD114" s="100">
        <f t="shared" si="36"/>
        <v>0</v>
      </c>
      <c r="BE114" s="100">
        <f t="shared" si="36"/>
        <v>0</v>
      </c>
      <c r="BF114" s="100">
        <f t="shared" si="36"/>
        <v>7257.6799999999994</v>
      </c>
    </row>
    <row r="115" spans="2:58" s="19" customFormat="1" x14ac:dyDescent="0.25">
      <c r="B115" s="23"/>
      <c r="H115" s="23"/>
      <c r="L115" s="24" t="s">
        <v>843</v>
      </c>
      <c r="M115" s="780" t="s">
        <v>385</v>
      </c>
      <c r="N115" s="781"/>
      <c r="O115" s="781"/>
      <c r="P115" s="781"/>
      <c r="Q115" s="781"/>
      <c r="R115" s="782"/>
      <c r="S115" s="100">
        <f>+S46+S47+S48+S49+S50+S51+S52+S53+S54+S55+S56+S57+S58+S59+S60+S61+S62+S63+S64+S65+S66+S67+S68+S69+S70+S71+S72+S73+S74+S75+S76+S77+S78+S79+S80+S81+S82+S83+S84+S85+S86+S87+S88+S89</f>
        <v>78</v>
      </c>
      <c r="T115" s="100">
        <f t="shared" ref="T115:BF115" si="37">+T46+T47+T48+T49+T50+T51+T52+T53+T54+T55+T56+T57+T58+T59+T60+T61+T62+T63+T64+T65+T66+T67+T68+T69+T70+T71+T72+T73+T74+T75+T76+T77+T78+T79+T80+T81+T82+T83+T84+T85+T86+T87+T88+T89</f>
        <v>0</v>
      </c>
      <c r="U115" s="100">
        <f t="shared" si="37"/>
        <v>21</v>
      </c>
      <c r="V115" s="100">
        <f t="shared" si="37"/>
        <v>287561</v>
      </c>
      <c r="W115" s="100">
        <f t="shared" si="37"/>
        <v>0</v>
      </c>
      <c r="X115" s="100">
        <f t="shared" si="37"/>
        <v>8087</v>
      </c>
      <c r="Y115" s="100">
        <f t="shared" si="37"/>
        <v>42267</v>
      </c>
      <c r="Z115" s="100">
        <f t="shared" si="37"/>
        <v>338014</v>
      </c>
      <c r="AA115" s="100">
        <f t="shared" si="37"/>
        <v>795</v>
      </c>
      <c r="AB115" s="100">
        <f t="shared" si="37"/>
        <v>0</v>
      </c>
      <c r="AC115" s="100">
        <f t="shared" si="37"/>
        <v>21</v>
      </c>
      <c r="AD115" s="100">
        <f t="shared" si="37"/>
        <v>73247</v>
      </c>
      <c r="AE115" s="100">
        <f t="shared" si="37"/>
        <v>0</v>
      </c>
      <c r="AF115" s="100">
        <f t="shared" si="37"/>
        <v>1500</v>
      </c>
      <c r="AG115" s="100">
        <f t="shared" si="37"/>
        <v>18258</v>
      </c>
      <c r="AH115" s="100">
        <f t="shared" si="37"/>
        <v>93821</v>
      </c>
      <c r="AI115" s="100">
        <f t="shared" si="37"/>
        <v>830</v>
      </c>
      <c r="AJ115" s="100">
        <f t="shared" si="37"/>
        <v>0</v>
      </c>
      <c r="AK115" s="100">
        <f t="shared" si="37"/>
        <v>21</v>
      </c>
      <c r="AL115" s="100">
        <f t="shared" si="37"/>
        <v>20996</v>
      </c>
      <c r="AM115" s="100">
        <f t="shared" si="37"/>
        <v>0</v>
      </c>
      <c r="AN115" s="100">
        <f t="shared" si="37"/>
        <v>0</v>
      </c>
      <c r="AO115" s="100">
        <f t="shared" si="37"/>
        <v>28133</v>
      </c>
      <c r="AP115" s="100">
        <f t="shared" si="37"/>
        <v>49970</v>
      </c>
      <c r="AQ115" s="100">
        <f t="shared" si="37"/>
        <v>805</v>
      </c>
      <c r="AR115" s="100">
        <f t="shared" si="37"/>
        <v>0</v>
      </c>
      <c r="AS115" s="100">
        <f t="shared" si="37"/>
        <v>21</v>
      </c>
      <c r="AT115" s="100">
        <f t="shared" si="37"/>
        <v>0</v>
      </c>
      <c r="AU115" s="100">
        <f t="shared" si="37"/>
        <v>0</v>
      </c>
      <c r="AV115" s="100">
        <f t="shared" si="37"/>
        <v>500</v>
      </c>
      <c r="AW115" s="100">
        <f t="shared" si="37"/>
        <v>18058</v>
      </c>
      <c r="AX115" s="100">
        <f t="shared" si="37"/>
        <v>19374</v>
      </c>
      <c r="AY115" s="100">
        <f t="shared" si="37"/>
        <v>2508</v>
      </c>
      <c r="AZ115" s="100">
        <f t="shared" si="37"/>
        <v>0</v>
      </c>
      <c r="BA115" s="100">
        <f t="shared" si="37"/>
        <v>84</v>
      </c>
      <c r="BB115" s="100">
        <f t="shared" si="37"/>
        <v>381804</v>
      </c>
      <c r="BC115" s="100">
        <f t="shared" si="37"/>
        <v>0</v>
      </c>
      <c r="BD115" s="100">
        <f t="shared" si="37"/>
        <v>10087</v>
      </c>
      <c r="BE115" s="100">
        <f t="shared" si="37"/>
        <v>106716</v>
      </c>
      <c r="BF115" s="100">
        <f t="shared" si="37"/>
        <v>501199</v>
      </c>
    </row>
    <row r="116" spans="2:58" s="19" customFormat="1" ht="14.25" thickBot="1" x14ac:dyDescent="0.3">
      <c r="B116" s="23"/>
      <c r="H116" s="23"/>
      <c r="L116" s="24" t="s">
        <v>890</v>
      </c>
      <c r="M116" s="783" t="s">
        <v>943</v>
      </c>
      <c r="N116" s="784"/>
      <c r="O116" s="784"/>
      <c r="P116" s="784"/>
      <c r="Q116" s="784"/>
      <c r="R116" s="785"/>
      <c r="S116" s="101">
        <f>+S90+S91+S92+S93+S94+S95+S96+S97+S98+S99+S100+S101+S102+S103+S104</f>
        <v>187</v>
      </c>
      <c r="T116" s="101">
        <f t="shared" ref="T116:BF116" si="38">+T90+T91+T92+T93+T94+T95+T96+T97+T98+T99+T100+T101+T102+T103+T104</f>
        <v>0</v>
      </c>
      <c r="U116" s="101">
        <f t="shared" si="38"/>
        <v>0</v>
      </c>
      <c r="V116" s="101">
        <f t="shared" si="38"/>
        <v>135</v>
      </c>
      <c r="W116" s="101">
        <f t="shared" si="38"/>
        <v>622</v>
      </c>
      <c r="X116" s="101">
        <f t="shared" si="38"/>
        <v>0</v>
      </c>
      <c r="Y116" s="101">
        <f t="shared" si="38"/>
        <v>0</v>
      </c>
      <c r="Z116" s="101">
        <f t="shared" si="38"/>
        <v>944</v>
      </c>
      <c r="AA116" s="101">
        <f t="shared" si="38"/>
        <v>262</v>
      </c>
      <c r="AB116" s="101">
        <f t="shared" si="38"/>
        <v>0</v>
      </c>
      <c r="AC116" s="101">
        <f t="shared" si="38"/>
        <v>0</v>
      </c>
      <c r="AD116" s="101">
        <f t="shared" si="38"/>
        <v>285</v>
      </c>
      <c r="AE116" s="101">
        <f t="shared" si="38"/>
        <v>647</v>
      </c>
      <c r="AF116" s="101">
        <f t="shared" si="38"/>
        <v>0</v>
      </c>
      <c r="AG116" s="101">
        <f t="shared" si="38"/>
        <v>0</v>
      </c>
      <c r="AH116" s="101">
        <f t="shared" si="38"/>
        <v>1194</v>
      </c>
      <c r="AI116" s="101">
        <f t="shared" si="38"/>
        <v>312</v>
      </c>
      <c r="AJ116" s="101">
        <f t="shared" si="38"/>
        <v>0</v>
      </c>
      <c r="AK116" s="101">
        <f t="shared" si="38"/>
        <v>0</v>
      </c>
      <c r="AL116" s="101">
        <f t="shared" si="38"/>
        <v>135</v>
      </c>
      <c r="AM116" s="101">
        <f t="shared" si="38"/>
        <v>673</v>
      </c>
      <c r="AN116" s="101">
        <f t="shared" si="38"/>
        <v>0</v>
      </c>
      <c r="AO116" s="101">
        <f t="shared" si="38"/>
        <v>1000</v>
      </c>
      <c r="AP116" s="101">
        <f t="shared" si="38"/>
        <v>2120</v>
      </c>
      <c r="AQ116" s="101">
        <f t="shared" si="38"/>
        <v>317</v>
      </c>
      <c r="AR116" s="101">
        <f t="shared" si="38"/>
        <v>0</v>
      </c>
      <c r="AS116" s="101">
        <f t="shared" si="38"/>
        <v>0</v>
      </c>
      <c r="AT116" s="101">
        <f t="shared" si="38"/>
        <v>135</v>
      </c>
      <c r="AU116" s="101">
        <f t="shared" si="38"/>
        <v>700</v>
      </c>
      <c r="AV116" s="101">
        <f t="shared" si="38"/>
        <v>0</v>
      </c>
      <c r="AW116" s="101">
        <f t="shared" si="38"/>
        <v>0</v>
      </c>
      <c r="AX116" s="101">
        <f t="shared" si="38"/>
        <v>1152</v>
      </c>
      <c r="AY116" s="101">
        <f t="shared" si="38"/>
        <v>1078</v>
      </c>
      <c r="AZ116" s="101">
        <f t="shared" si="38"/>
        <v>0</v>
      </c>
      <c r="BA116" s="101">
        <f t="shared" si="38"/>
        <v>0</v>
      </c>
      <c r="BB116" s="101">
        <f t="shared" si="38"/>
        <v>690</v>
      </c>
      <c r="BC116" s="101">
        <f t="shared" si="38"/>
        <v>2642</v>
      </c>
      <c r="BD116" s="101">
        <f t="shared" si="38"/>
        <v>0</v>
      </c>
      <c r="BE116" s="101">
        <f t="shared" si="38"/>
        <v>1000</v>
      </c>
      <c r="BF116" s="101">
        <f t="shared" si="38"/>
        <v>5410</v>
      </c>
    </row>
    <row r="117" spans="2:58" s="19" customFormat="1" ht="14.25" thickBot="1" x14ac:dyDescent="0.3">
      <c r="B117" s="23"/>
      <c r="H117" s="23"/>
      <c r="M117" s="786" t="s">
        <v>823</v>
      </c>
      <c r="N117" s="787"/>
      <c r="O117" s="787"/>
      <c r="P117" s="787"/>
      <c r="Q117" s="787"/>
      <c r="R117" s="788"/>
      <c r="S117" s="25">
        <f>SUM(S111:S116)</f>
        <v>265</v>
      </c>
      <c r="T117" s="25">
        <f t="shared" ref="T117:BE117" si="39">SUM(T111:T116)</f>
        <v>1676.2999999999997</v>
      </c>
      <c r="U117" s="25">
        <f t="shared" si="39"/>
        <v>21</v>
      </c>
      <c r="V117" s="25">
        <f t="shared" si="39"/>
        <v>287834.18</v>
      </c>
      <c r="W117" s="25">
        <f t="shared" si="39"/>
        <v>622</v>
      </c>
      <c r="X117" s="25">
        <f t="shared" si="39"/>
        <v>8087</v>
      </c>
      <c r="Y117" s="25">
        <f t="shared" si="39"/>
        <v>42267</v>
      </c>
      <c r="Z117" s="25">
        <f t="shared" si="39"/>
        <v>340772.48</v>
      </c>
      <c r="AA117" s="25">
        <f t="shared" si="39"/>
        <v>1077</v>
      </c>
      <c r="AB117" s="25">
        <f t="shared" si="39"/>
        <v>1676.2999999999997</v>
      </c>
      <c r="AC117" s="25">
        <f t="shared" si="39"/>
        <v>21</v>
      </c>
      <c r="AD117" s="25">
        <f t="shared" si="39"/>
        <v>73700.100000000006</v>
      </c>
      <c r="AE117" s="25">
        <f t="shared" si="39"/>
        <v>647</v>
      </c>
      <c r="AF117" s="25">
        <f t="shared" si="39"/>
        <v>4000</v>
      </c>
      <c r="AG117" s="25">
        <f t="shared" si="39"/>
        <v>18258</v>
      </c>
      <c r="AH117" s="25">
        <f t="shared" si="39"/>
        <v>99379.4</v>
      </c>
      <c r="AI117" s="25">
        <f t="shared" si="39"/>
        <v>1142</v>
      </c>
      <c r="AJ117" s="25">
        <f t="shared" si="39"/>
        <v>1676.2999999999997</v>
      </c>
      <c r="AK117" s="25">
        <f t="shared" si="39"/>
        <v>21</v>
      </c>
      <c r="AL117" s="25">
        <f t="shared" si="39"/>
        <v>21269.1</v>
      </c>
      <c r="AM117" s="25">
        <f t="shared" si="39"/>
        <v>673</v>
      </c>
      <c r="AN117" s="25">
        <f t="shared" si="39"/>
        <v>1790</v>
      </c>
      <c r="AO117" s="25">
        <f t="shared" si="39"/>
        <v>29133</v>
      </c>
      <c r="AP117" s="25">
        <f t="shared" si="39"/>
        <v>55694.400000000001</v>
      </c>
      <c r="AQ117" s="25">
        <f t="shared" si="39"/>
        <v>1122</v>
      </c>
      <c r="AR117" s="25">
        <f t="shared" si="39"/>
        <v>1676.2999999999997</v>
      </c>
      <c r="AS117" s="25">
        <f t="shared" si="39"/>
        <v>21</v>
      </c>
      <c r="AT117" s="25">
        <f t="shared" si="39"/>
        <v>273.10000000000002</v>
      </c>
      <c r="AU117" s="25">
        <f t="shared" si="39"/>
        <v>700</v>
      </c>
      <c r="AV117" s="25">
        <f t="shared" si="39"/>
        <v>500</v>
      </c>
      <c r="AW117" s="25">
        <f t="shared" si="39"/>
        <v>18058</v>
      </c>
      <c r="AX117" s="25">
        <f t="shared" si="39"/>
        <v>22340.400000000001</v>
      </c>
      <c r="AY117" s="25">
        <f t="shared" si="39"/>
        <v>3606</v>
      </c>
      <c r="AZ117" s="25">
        <f t="shared" si="39"/>
        <v>6705.1999999999989</v>
      </c>
      <c r="BA117" s="25">
        <f t="shared" si="39"/>
        <v>84</v>
      </c>
      <c r="BB117" s="25">
        <f t="shared" si="39"/>
        <v>383076.48</v>
      </c>
      <c r="BC117" s="25">
        <f t="shared" si="39"/>
        <v>2642</v>
      </c>
      <c r="BD117" s="25">
        <f t="shared" si="39"/>
        <v>14377</v>
      </c>
      <c r="BE117" s="25">
        <f t="shared" si="39"/>
        <v>107716</v>
      </c>
      <c r="BF117" s="150">
        <f t="shared" ref="BF117" si="40">SUM(BF111:BF116)</f>
        <v>518206.68</v>
      </c>
    </row>
    <row r="118" spans="2:58" s="19" customFormat="1" x14ac:dyDescent="0.25">
      <c r="B118" s="23"/>
      <c r="H118" s="23"/>
    </row>
    <row r="119" spans="2:58" s="19" customFormat="1" x14ac:dyDescent="0.25">
      <c r="B119" s="23"/>
      <c r="H119" s="23"/>
    </row>
    <row r="120" spans="2:58" s="19" customFormat="1" x14ac:dyDescent="0.25">
      <c r="B120" s="23"/>
      <c r="H120" s="23"/>
    </row>
    <row r="121" spans="2:58" s="19" customFormat="1" x14ac:dyDescent="0.25">
      <c r="B121" s="23"/>
      <c r="H121" s="23"/>
    </row>
    <row r="122" spans="2:58" s="19" customFormat="1" x14ac:dyDescent="0.25">
      <c r="B122" s="23"/>
      <c r="H122" s="23"/>
    </row>
    <row r="123" spans="2:58" s="19" customFormat="1" x14ac:dyDescent="0.25">
      <c r="B123" s="23"/>
      <c r="H123" s="23"/>
    </row>
    <row r="124" spans="2:58" s="19" customFormat="1" x14ac:dyDescent="0.25">
      <c r="B124" s="23"/>
      <c r="H124" s="23"/>
    </row>
    <row r="125" spans="2:58" s="19" customFormat="1" x14ac:dyDescent="0.25">
      <c r="B125" s="23"/>
      <c r="H125" s="23"/>
    </row>
    <row r="126" spans="2:58" s="19" customFormat="1" x14ac:dyDescent="0.25">
      <c r="B126" s="23"/>
      <c r="H126" s="23"/>
    </row>
    <row r="127" spans="2:58" s="19" customFormat="1" x14ac:dyDescent="0.25">
      <c r="B127" s="23"/>
      <c r="H127" s="23"/>
    </row>
    <row r="128" spans="2:58" s="19" customFormat="1" x14ac:dyDescent="0.25">
      <c r="B128" s="23"/>
      <c r="H128" s="23"/>
    </row>
    <row r="129" spans="2:8" s="19" customFormat="1" x14ac:dyDescent="0.25">
      <c r="B129" s="23"/>
      <c r="H129" s="23"/>
    </row>
    <row r="130" spans="2:8" s="19" customFormat="1" x14ac:dyDescent="0.25">
      <c r="B130" s="23"/>
      <c r="H130" s="23"/>
    </row>
    <row r="131" spans="2:8" s="19" customFormat="1" x14ac:dyDescent="0.25">
      <c r="B131" s="23"/>
      <c r="H131" s="23"/>
    </row>
    <row r="132" spans="2:8" s="19" customFormat="1" x14ac:dyDescent="0.25">
      <c r="B132" s="23"/>
      <c r="H132" s="23"/>
    </row>
    <row r="133" spans="2:8" s="19" customFormat="1" x14ac:dyDescent="0.25">
      <c r="B133" s="23"/>
      <c r="H133" s="23"/>
    </row>
    <row r="134" spans="2:8" s="19" customFormat="1" x14ac:dyDescent="0.25">
      <c r="B134" s="23"/>
      <c r="H134" s="23"/>
    </row>
    <row r="135" spans="2:8" s="19" customFormat="1" x14ac:dyDescent="0.25">
      <c r="B135" s="23"/>
      <c r="H135" s="23"/>
    </row>
    <row r="136" spans="2:8" s="19" customFormat="1" x14ac:dyDescent="0.25">
      <c r="B136" s="23"/>
      <c r="H136" s="23"/>
    </row>
    <row r="137" spans="2:8" s="19" customFormat="1" x14ac:dyDescent="0.25">
      <c r="B137" s="23"/>
      <c r="H137" s="23"/>
    </row>
    <row r="138" spans="2:8" s="19" customFormat="1" x14ac:dyDescent="0.25">
      <c r="B138" s="23"/>
      <c r="H138" s="23"/>
    </row>
    <row r="139" spans="2:8" s="19" customFormat="1" x14ac:dyDescent="0.25">
      <c r="B139" s="23"/>
      <c r="H139" s="23"/>
    </row>
    <row r="140" spans="2:8" s="19" customFormat="1" x14ac:dyDescent="0.25">
      <c r="B140" s="23"/>
      <c r="H140" s="23"/>
    </row>
    <row r="141" spans="2:8" s="19" customFormat="1" x14ac:dyDescent="0.25">
      <c r="B141" s="23"/>
      <c r="H141" s="23"/>
    </row>
    <row r="142" spans="2:8" s="19" customFormat="1" x14ac:dyDescent="0.25">
      <c r="B142" s="23"/>
      <c r="H142" s="23"/>
    </row>
    <row r="143" spans="2:8" s="19" customFormat="1" x14ac:dyDescent="0.25">
      <c r="B143" s="23"/>
      <c r="H143" s="23"/>
    </row>
    <row r="144" spans="2:8" s="19" customFormat="1" x14ac:dyDescent="0.25">
      <c r="B144" s="23"/>
      <c r="H144" s="23"/>
    </row>
    <row r="145" spans="2:8" s="19" customFormat="1" x14ac:dyDescent="0.25">
      <c r="B145" s="23"/>
      <c r="H145" s="23"/>
    </row>
    <row r="146" spans="2:8" s="19" customFormat="1" x14ac:dyDescent="0.25">
      <c r="B146" s="23"/>
      <c r="H146" s="23"/>
    </row>
    <row r="147" spans="2:8" s="19" customFormat="1" x14ac:dyDescent="0.25">
      <c r="B147" s="23"/>
      <c r="H147" s="23"/>
    </row>
    <row r="148" spans="2:8" s="19" customFormat="1" x14ac:dyDescent="0.25">
      <c r="B148" s="23"/>
      <c r="H148" s="23"/>
    </row>
    <row r="149" spans="2:8" s="19" customFormat="1" x14ac:dyDescent="0.25">
      <c r="B149" s="23"/>
      <c r="H149" s="23"/>
    </row>
    <row r="150" spans="2:8" s="19" customFormat="1" x14ac:dyDescent="0.25">
      <c r="B150" s="23"/>
      <c r="H150" s="23"/>
    </row>
    <row r="151" spans="2:8" s="19" customFormat="1" x14ac:dyDescent="0.25">
      <c r="B151" s="23"/>
      <c r="H151" s="23"/>
    </row>
    <row r="152" spans="2:8" s="19" customFormat="1" x14ac:dyDescent="0.25">
      <c r="B152" s="23"/>
      <c r="H152" s="23"/>
    </row>
    <row r="153" spans="2:8" s="19" customFormat="1" x14ac:dyDescent="0.25">
      <c r="B153" s="23"/>
      <c r="H153" s="23"/>
    </row>
    <row r="154" spans="2:8" s="19" customFormat="1" x14ac:dyDescent="0.25">
      <c r="B154" s="23"/>
      <c r="H154" s="23"/>
    </row>
  </sheetData>
  <mergeCells count="147">
    <mergeCell ref="M115:R115"/>
    <mergeCell ref="M116:R116"/>
    <mergeCell ref="M117:R117"/>
    <mergeCell ref="A105:C105"/>
    <mergeCell ref="E105:G105"/>
    <mergeCell ref="H105:J105"/>
    <mergeCell ref="K105:R105"/>
    <mergeCell ref="M108:R109"/>
    <mergeCell ref="S108:BF108"/>
    <mergeCell ref="S109:Z109"/>
    <mergeCell ref="AA109:AH109"/>
    <mergeCell ref="AI109:AP109"/>
    <mergeCell ref="AQ109:AX109"/>
    <mergeCell ref="AY109:BF109"/>
    <mergeCell ref="M112:R112"/>
    <mergeCell ref="M114:R114"/>
    <mergeCell ref="M113:R113"/>
    <mergeCell ref="M111:R111"/>
    <mergeCell ref="M110:R110"/>
    <mergeCell ref="B90:B104"/>
    <mergeCell ref="C90:C104"/>
    <mergeCell ref="D90:D104"/>
    <mergeCell ref="E90:E104"/>
    <mergeCell ref="F90:F104"/>
    <mergeCell ref="G90:G104"/>
    <mergeCell ref="H90:H96"/>
    <mergeCell ref="I90:I96"/>
    <mergeCell ref="J90:J96"/>
    <mergeCell ref="H97:H104"/>
    <mergeCell ref="I97:I104"/>
    <mergeCell ref="J97:J104"/>
    <mergeCell ref="J58:J60"/>
    <mergeCell ref="K58:K60"/>
    <mergeCell ref="I73:I86"/>
    <mergeCell ref="J73:J86"/>
    <mergeCell ref="D87:D89"/>
    <mergeCell ref="E87:E89"/>
    <mergeCell ref="F87:F89"/>
    <mergeCell ref="G87:G89"/>
    <mergeCell ref="H87:H89"/>
    <mergeCell ref="I87:I89"/>
    <mergeCell ref="J87:J89"/>
    <mergeCell ref="E51:E57"/>
    <mergeCell ref="F51:F57"/>
    <mergeCell ref="G51:G57"/>
    <mergeCell ref="D58:D60"/>
    <mergeCell ref="E58:E60"/>
    <mergeCell ref="F58:F60"/>
    <mergeCell ref="G58:G60"/>
    <mergeCell ref="H58:H60"/>
    <mergeCell ref="I58:I60"/>
    <mergeCell ref="B46:B89"/>
    <mergeCell ref="C46:C89"/>
    <mergeCell ref="D46:D49"/>
    <mergeCell ref="E46:E49"/>
    <mergeCell ref="F46:F49"/>
    <mergeCell ref="G46:G49"/>
    <mergeCell ref="H46:H49"/>
    <mergeCell ref="I46:I49"/>
    <mergeCell ref="J46:J49"/>
    <mergeCell ref="D61:D72"/>
    <mergeCell ref="E61:E72"/>
    <mergeCell ref="F61:F72"/>
    <mergeCell ref="G61:G72"/>
    <mergeCell ref="H61:H72"/>
    <mergeCell ref="I61:I72"/>
    <mergeCell ref="J61:J72"/>
    <mergeCell ref="D73:D86"/>
    <mergeCell ref="E73:E86"/>
    <mergeCell ref="F73:F86"/>
    <mergeCell ref="G73:G86"/>
    <mergeCell ref="H73:H86"/>
    <mergeCell ref="D50:D57"/>
    <mergeCell ref="H50:H57"/>
    <mergeCell ref="I50:I57"/>
    <mergeCell ref="C4:C5"/>
    <mergeCell ref="B4:B5"/>
    <mergeCell ref="E4:E5"/>
    <mergeCell ref="F4:F5"/>
    <mergeCell ref="I14:I17"/>
    <mergeCell ref="J14:J17"/>
    <mergeCell ref="K14:K15"/>
    <mergeCell ref="K7:K8"/>
    <mergeCell ref="A4:A104"/>
    <mergeCell ref="B6:B10"/>
    <mergeCell ref="C6:C10"/>
    <mergeCell ref="D6:D10"/>
    <mergeCell ref="E6:E10"/>
    <mergeCell ref="F6:F10"/>
    <mergeCell ref="G6:G10"/>
    <mergeCell ref="H7:H10"/>
    <mergeCell ref="I7:I10"/>
    <mergeCell ref="H18:H21"/>
    <mergeCell ref="I18:I21"/>
    <mergeCell ref="H33:H34"/>
    <mergeCell ref="I33:I34"/>
    <mergeCell ref="J33:J34"/>
    <mergeCell ref="H35:H39"/>
    <mergeCell ref="I35:I39"/>
    <mergeCell ref="D11:D45"/>
    <mergeCell ref="E11:E45"/>
    <mergeCell ref="F11:F45"/>
    <mergeCell ref="K64:K65"/>
    <mergeCell ref="K70:K71"/>
    <mergeCell ref="D4:D5"/>
    <mergeCell ref="G4:G5"/>
    <mergeCell ref="G11:G45"/>
    <mergeCell ref="H11:H13"/>
    <mergeCell ref="I11:I13"/>
    <mergeCell ref="J29:J32"/>
    <mergeCell ref="J11:J13"/>
    <mergeCell ref="H14:H17"/>
    <mergeCell ref="J35:J39"/>
    <mergeCell ref="H40:H42"/>
    <mergeCell ref="I40:I42"/>
    <mergeCell ref="J40:J42"/>
    <mergeCell ref="H29:H32"/>
    <mergeCell ref="I29:I32"/>
    <mergeCell ref="H43:H45"/>
    <mergeCell ref="I43:I45"/>
    <mergeCell ref="J43:J45"/>
    <mergeCell ref="K48:K49"/>
    <mergeCell ref="J50:J57"/>
    <mergeCell ref="J18:J21"/>
    <mergeCell ref="H22:H24"/>
    <mergeCell ref="I22:I24"/>
    <mergeCell ref="J22:J24"/>
    <mergeCell ref="H25:H28"/>
    <mergeCell ref="I25:I28"/>
    <mergeCell ref="J25:J28"/>
    <mergeCell ref="A1:R1"/>
    <mergeCell ref="S1:BF1"/>
    <mergeCell ref="B2:C3"/>
    <mergeCell ref="H2:I3"/>
    <mergeCell ref="A2:A3"/>
    <mergeCell ref="D2:G2"/>
    <mergeCell ref="AQ2:AX2"/>
    <mergeCell ref="AY2:BF2"/>
    <mergeCell ref="J2:J3"/>
    <mergeCell ref="K2:N2"/>
    <mergeCell ref="AI2:AP2"/>
    <mergeCell ref="O2:R2"/>
    <mergeCell ref="S2:Z2"/>
    <mergeCell ref="AA2:AH2"/>
    <mergeCell ref="J7:J10"/>
    <mergeCell ref="B11:B45"/>
    <mergeCell ref="C11:C45"/>
  </mergeCells>
  <phoneticPr fontId="3" type="noConversion"/>
  <printOptions horizontalCentered="1"/>
  <pageMargins left="0.70866141732283472" right="0.70866141732283472" top="0.94488188976377963" bottom="0.74803149606299213" header="0.31496062992125984" footer="0.31496062992125984"/>
  <pageSetup paperSize="5" orientation="landscape" r:id="rId1"/>
  <headerFooter>
    <oddHeader>&amp;L&amp;"Arial Narrow,Normal"&amp;10DEPARTAMENTO DEL MAGDALENA&amp;C&amp;"Arial Narrow,Normal"&amp;10PLAN DE DESARROLLO 2012 - 2015&amp;R&amp;"Arial Narrow,Normal"&amp;10PLAN PLURIANUAL DE INVERSIONES (en millones $)</oddHeader>
    <oddFooter>&amp;C&amp;P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U70"/>
  <sheetViews>
    <sheetView topLeftCell="F1" zoomScale="110" zoomScaleNormal="110" workbookViewId="0">
      <selection activeCell="M57" sqref="M57"/>
    </sheetView>
  </sheetViews>
  <sheetFormatPr baseColWidth="10" defaultColWidth="11.42578125" defaultRowHeight="13.5" x14ac:dyDescent="0.25"/>
  <cols>
    <col min="1" max="1" width="15.28515625" style="104" customWidth="1"/>
    <col min="2" max="2" width="3.85546875" style="104" customWidth="1"/>
    <col min="3" max="3" width="15.7109375" style="104" customWidth="1"/>
    <col min="4" max="4" width="23.28515625" style="104" customWidth="1"/>
    <col min="5" max="5" width="10.28515625" style="104" bestFit="1" customWidth="1"/>
    <col min="6" max="6" width="10" style="104" customWidth="1"/>
    <col min="7" max="7" width="5.28515625" style="104" bestFit="1" customWidth="1"/>
    <col min="8" max="8" width="15.42578125" style="104" customWidth="1"/>
    <col min="9" max="9" width="15.140625" style="104" customWidth="1"/>
    <col min="10" max="10" width="22.5703125" style="104" customWidth="1"/>
    <col min="11" max="12" width="11.42578125" style="104"/>
    <col min="13" max="13" width="11.140625" style="104" customWidth="1"/>
    <col min="14" max="14" width="7" style="104" customWidth="1"/>
    <col min="15" max="15" width="6.7109375" style="104" customWidth="1"/>
    <col min="16" max="16" width="7.28515625" style="104" customWidth="1"/>
    <col min="17" max="17" width="8.28515625" style="104" customWidth="1"/>
    <col min="18" max="28" width="11.42578125" style="104"/>
    <col min="29" max="29" width="11.42578125" style="392"/>
    <col min="30" max="44" width="11.42578125" style="104"/>
    <col min="45" max="45" width="11.42578125" style="393"/>
    <col min="46" max="57" width="11.42578125" style="104"/>
    <col min="58" max="58" width="11.42578125" style="103"/>
    <col min="59" max="16384" width="11.42578125" style="104"/>
  </cols>
  <sheetData>
    <row r="1" spans="1:73" x14ac:dyDescent="0.25">
      <c r="A1" s="824" t="s">
        <v>735</v>
      </c>
      <c r="B1" s="825"/>
      <c r="C1" s="826"/>
      <c r="D1" s="826"/>
      <c r="E1" s="826"/>
      <c r="F1" s="826"/>
      <c r="G1" s="826"/>
      <c r="H1" s="826"/>
      <c r="I1" s="826"/>
      <c r="J1" s="826"/>
      <c r="K1" s="826"/>
      <c r="L1" s="826"/>
      <c r="M1" s="826"/>
      <c r="N1" s="826"/>
      <c r="O1" s="826"/>
      <c r="P1" s="826"/>
      <c r="Q1" s="827"/>
      <c r="R1" s="813" t="s">
        <v>1116</v>
      </c>
      <c r="S1" s="813"/>
      <c r="T1" s="813"/>
      <c r="U1" s="813"/>
      <c r="V1" s="813"/>
      <c r="W1" s="813"/>
      <c r="X1" s="813"/>
      <c r="Y1" s="813"/>
      <c r="Z1" s="813"/>
      <c r="AA1" s="813"/>
      <c r="AB1" s="813"/>
      <c r="AC1" s="813"/>
      <c r="AD1" s="813"/>
      <c r="AE1" s="813"/>
      <c r="AF1" s="813"/>
      <c r="AG1" s="813"/>
      <c r="AH1" s="813"/>
      <c r="AI1" s="813"/>
      <c r="AJ1" s="813"/>
      <c r="AK1" s="813"/>
      <c r="AL1" s="813"/>
      <c r="AM1" s="813"/>
      <c r="AN1" s="813"/>
      <c r="AO1" s="813"/>
      <c r="AP1" s="813"/>
      <c r="AQ1" s="813"/>
      <c r="AR1" s="813"/>
      <c r="AS1" s="813"/>
      <c r="AT1" s="813"/>
      <c r="AU1" s="813"/>
      <c r="AV1" s="813"/>
      <c r="AW1" s="813"/>
      <c r="AX1" s="813"/>
      <c r="AY1" s="813"/>
      <c r="AZ1" s="813"/>
      <c r="BA1" s="813"/>
      <c r="BB1" s="813"/>
      <c r="BC1" s="813"/>
      <c r="BD1" s="813"/>
      <c r="BE1" s="814"/>
    </row>
    <row r="2" spans="1:73" x14ac:dyDescent="0.25">
      <c r="A2" s="828" t="s">
        <v>717</v>
      </c>
      <c r="B2" s="816" t="s">
        <v>718</v>
      </c>
      <c r="C2" s="817"/>
      <c r="D2" s="815" t="s">
        <v>725</v>
      </c>
      <c r="E2" s="815"/>
      <c r="F2" s="815"/>
      <c r="G2" s="816" t="s">
        <v>719</v>
      </c>
      <c r="H2" s="817"/>
      <c r="I2" s="815" t="s">
        <v>720</v>
      </c>
      <c r="J2" s="815" t="s">
        <v>726</v>
      </c>
      <c r="K2" s="815"/>
      <c r="L2" s="815"/>
      <c r="M2" s="815"/>
      <c r="N2" s="815" t="s">
        <v>727</v>
      </c>
      <c r="O2" s="815"/>
      <c r="P2" s="815"/>
      <c r="Q2" s="830"/>
      <c r="R2" s="831">
        <v>2012</v>
      </c>
      <c r="S2" s="821"/>
      <c r="T2" s="821"/>
      <c r="U2" s="821"/>
      <c r="V2" s="821"/>
      <c r="W2" s="821"/>
      <c r="X2" s="821"/>
      <c r="Y2" s="821"/>
      <c r="Z2" s="821">
        <v>2013</v>
      </c>
      <c r="AA2" s="821"/>
      <c r="AB2" s="821"/>
      <c r="AC2" s="821"/>
      <c r="AD2" s="821"/>
      <c r="AE2" s="821"/>
      <c r="AF2" s="821"/>
      <c r="AG2" s="821"/>
      <c r="AH2" s="821">
        <v>2014</v>
      </c>
      <c r="AI2" s="821"/>
      <c r="AJ2" s="821"/>
      <c r="AK2" s="821"/>
      <c r="AL2" s="821"/>
      <c r="AM2" s="821"/>
      <c r="AN2" s="821"/>
      <c r="AO2" s="821"/>
      <c r="AP2" s="821">
        <v>2015</v>
      </c>
      <c r="AQ2" s="821"/>
      <c r="AR2" s="821"/>
      <c r="AS2" s="821"/>
      <c r="AT2" s="821"/>
      <c r="AU2" s="821"/>
      <c r="AV2" s="821"/>
      <c r="AW2" s="821"/>
      <c r="AX2" s="821" t="s">
        <v>734</v>
      </c>
      <c r="AY2" s="821"/>
      <c r="AZ2" s="821"/>
      <c r="BA2" s="821"/>
      <c r="BB2" s="821"/>
      <c r="BC2" s="821"/>
      <c r="BD2" s="822"/>
      <c r="BE2" s="823"/>
    </row>
    <row r="3" spans="1:73" ht="27.75" thickBot="1" x14ac:dyDescent="0.3">
      <c r="A3" s="829"/>
      <c r="B3" s="818"/>
      <c r="C3" s="819"/>
      <c r="D3" s="116" t="s">
        <v>736</v>
      </c>
      <c r="E3" s="116" t="s">
        <v>723</v>
      </c>
      <c r="F3" s="116" t="s">
        <v>938</v>
      </c>
      <c r="G3" s="818"/>
      <c r="H3" s="819"/>
      <c r="I3" s="820"/>
      <c r="J3" s="116" t="s">
        <v>721</v>
      </c>
      <c r="K3" s="116" t="s">
        <v>722</v>
      </c>
      <c r="L3" s="116" t="s">
        <v>723</v>
      </c>
      <c r="M3" s="116" t="s">
        <v>724</v>
      </c>
      <c r="N3" s="116">
        <v>2012</v>
      </c>
      <c r="O3" s="116">
        <v>2013</v>
      </c>
      <c r="P3" s="116">
        <v>2014</v>
      </c>
      <c r="Q3" s="385">
        <v>2015</v>
      </c>
      <c r="R3" s="208" t="s">
        <v>1400</v>
      </c>
      <c r="S3" s="117" t="s">
        <v>728</v>
      </c>
      <c r="T3" s="117" t="s">
        <v>729</v>
      </c>
      <c r="U3" s="117" t="s">
        <v>937</v>
      </c>
      <c r="V3" s="117" t="s">
        <v>730</v>
      </c>
      <c r="W3" s="117" t="s">
        <v>731</v>
      </c>
      <c r="X3" s="117" t="s">
        <v>732</v>
      </c>
      <c r="Y3" s="117" t="s">
        <v>733</v>
      </c>
      <c r="Z3" s="117" t="s">
        <v>1400</v>
      </c>
      <c r="AA3" s="117" t="s">
        <v>728</v>
      </c>
      <c r="AB3" s="117" t="s">
        <v>729</v>
      </c>
      <c r="AC3" s="295" t="s">
        <v>937</v>
      </c>
      <c r="AD3" s="117" t="s">
        <v>730</v>
      </c>
      <c r="AE3" s="117" t="s">
        <v>731</v>
      </c>
      <c r="AF3" s="117" t="s">
        <v>732</v>
      </c>
      <c r="AG3" s="117" t="s">
        <v>733</v>
      </c>
      <c r="AH3" s="117" t="s">
        <v>1400</v>
      </c>
      <c r="AI3" s="117" t="s">
        <v>728</v>
      </c>
      <c r="AJ3" s="117" t="s">
        <v>729</v>
      </c>
      <c r="AK3" s="117" t="s">
        <v>937</v>
      </c>
      <c r="AL3" s="117" t="s">
        <v>730</v>
      </c>
      <c r="AM3" s="117" t="s">
        <v>731</v>
      </c>
      <c r="AN3" s="117" t="s">
        <v>732</v>
      </c>
      <c r="AO3" s="117" t="s">
        <v>733</v>
      </c>
      <c r="AP3" s="117" t="s">
        <v>1400</v>
      </c>
      <c r="AQ3" s="117" t="s">
        <v>728</v>
      </c>
      <c r="AR3" s="117" t="s">
        <v>729</v>
      </c>
      <c r="AS3" s="288" t="s">
        <v>937</v>
      </c>
      <c r="AT3" s="117" t="s">
        <v>730</v>
      </c>
      <c r="AU3" s="117" t="s">
        <v>731</v>
      </c>
      <c r="AV3" s="117" t="s">
        <v>732</v>
      </c>
      <c r="AW3" s="117" t="s">
        <v>733</v>
      </c>
      <c r="AX3" s="117" t="s">
        <v>1400</v>
      </c>
      <c r="AY3" s="117" t="s">
        <v>728</v>
      </c>
      <c r="AZ3" s="117" t="s">
        <v>729</v>
      </c>
      <c r="BA3" s="117" t="s">
        <v>937</v>
      </c>
      <c r="BB3" s="117" t="s">
        <v>730</v>
      </c>
      <c r="BC3" s="117" t="s">
        <v>731</v>
      </c>
      <c r="BD3" s="386" t="s">
        <v>732</v>
      </c>
      <c r="BE3" s="387" t="s">
        <v>824</v>
      </c>
    </row>
    <row r="4" spans="1:73" s="389" customFormat="1" ht="122.25" thickBot="1" x14ac:dyDescent="0.3">
      <c r="A4" s="805" t="s">
        <v>1162</v>
      </c>
      <c r="B4" s="859" t="s">
        <v>386</v>
      </c>
      <c r="C4" s="859" t="s">
        <v>387</v>
      </c>
      <c r="D4" s="649"/>
      <c r="E4" s="649"/>
      <c r="F4" s="649"/>
      <c r="G4" s="715" t="s">
        <v>1233</v>
      </c>
      <c r="H4" s="606" t="s">
        <v>1237</v>
      </c>
      <c r="I4" s="649"/>
      <c r="J4" s="606" t="s">
        <v>1234</v>
      </c>
      <c r="K4" s="378" t="s">
        <v>1235</v>
      </c>
      <c r="L4" s="118"/>
      <c r="M4" s="118">
        <v>3</v>
      </c>
      <c r="N4" s="118"/>
      <c r="O4" s="118">
        <v>1</v>
      </c>
      <c r="P4" s="118">
        <v>2</v>
      </c>
      <c r="Q4" s="118">
        <v>3</v>
      </c>
      <c r="R4" s="118"/>
      <c r="S4" s="118"/>
      <c r="T4" s="118"/>
      <c r="U4" s="118"/>
      <c r="V4" s="118"/>
      <c r="W4" s="118"/>
      <c r="X4" s="118"/>
      <c r="Y4" s="124">
        <f>SUM(R4:X4)</f>
        <v>0</v>
      </c>
      <c r="Z4" s="118">
        <v>50</v>
      </c>
      <c r="AA4" s="118"/>
      <c r="AB4" s="118"/>
      <c r="AC4" s="122">
        <v>100</v>
      </c>
      <c r="AD4" s="118"/>
      <c r="AE4" s="118"/>
      <c r="AF4" s="118">
        <v>50</v>
      </c>
      <c r="AG4" s="124">
        <f>SUM(Z4:AF4)</f>
        <v>200</v>
      </c>
      <c r="AH4" s="118">
        <v>50</v>
      </c>
      <c r="AI4" s="118"/>
      <c r="AJ4" s="118"/>
      <c r="AK4" s="118">
        <v>200</v>
      </c>
      <c r="AL4" s="118"/>
      <c r="AM4" s="118"/>
      <c r="AN4" s="118">
        <v>70</v>
      </c>
      <c r="AO4" s="124">
        <f>SUM(AH4:AN4)</f>
        <v>320</v>
      </c>
      <c r="AP4" s="118">
        <v>50</v>
      </c>
      <c r="AQ4" s="118"/>
      <c r="AR4" s="118"/>
      <c r="AS4" s="121">
        <v>150</v>
      </c>
      <c r="AT4" s="118"/>
      <c r="AU4" s="118"/>
      <c r="AV4" s="118">
        <v>70</v>
      </c>
      <c r="AW4" s="124">
        <f>SUM(AP4:AV4)</f>
        <v>270</v>
      </c>
      <c r="AX4" s="124">
        <f t="shared" ref="AX4:BD19" si="0">+R4+Z4+AH4+AP4</f>
        <v>150</v>
      </c>
      <c r="AY4" s="124">
        <f t="shared" si="0"/>
        <v>0</v>
      </c>
      <c r="AZ4" s="124">
        <f t="shared" si="0"/>
        <v>0</v>
      </c>
      <c r="BA4" s="124">
        <f t="shared" si="0"/>
        <v>450</v>
      </c>
      <c r="BB4" s="124">
        <f t="shared" si="0"/>
        <v>0</v>
      </c>
      <c r="BC4" s="124">
        <f t="shared" si="0"/>
        <v>0</v>
      </c>
      <c r="BD4" s="124">
        <f t="shared" si="0"/>
        <v>190</v>
      </c>
      <c r="BE4" s="277">
        <f>+AX4+AY4+AZ4+BA4+BB4+BC4+BD4</f>
        <v>790</v>
      </c>
      <c r="BF4" s="388"/>
    </row>
    <row r="5" spans="1:73" s="389" customFormat="1" ht="68.25" thickBot="1" x14ac:dyDescent="0.3">
      <c r="A5" s="806"/>
      <c r="B5" s="860"/>
      <c r="C5" s="860"/>
      <c r="D5" s="617"/>
      <c r="E5" s="617"/>
      <c r="F5" s="617"/>
      <c r="G5" s="611"/>
      <c r="H5" s="603"/>
      <c r="I5" s="618"/>
      <c r="J5" s="603"/>
      <c r="K5" s="379" t="s">
        <v>1236</v>
      </c>
      <c r="L5" s="46"/>
      <c r="M5" s="46">
        <v>4</v>
      </c>
      <c r="N5" s="46"/>
      <c r="O5" s="46">
        <v>1</v>
      </c>
      <c r="P5" s="46"/>
      <c r="Q5" s="46">
        <v>4</v>
      </c>
      <c r="R5" s="46"/>
      <c r="S5" s="46"/>
      <c r="T5" s="46"/>
      <c r="U5" s="46"/>
      <c r="V5" s="46"/>
      <c r="W5" s="46"/>
      <c r="X5" s="46"/>
      <c r="Y5" s="44">
        <f>SUM(R5:X5)</f>
        <v>0</v>
      </c>
      <c r="Z5" s="46">
        <v>60</v>
      </c>
      <c r="AA5" s="46"/>
      <c r="AB5" s="46"/>
      <c r="AC5" s="3">
        <v>40</v>
      </c>
      <c r="AD5" s="46"/>
      <c r="AE5" s="46"/>
      <c r="AF5" s="46">
        <v>100</v>
      </c>
      <c r="AG5" s="44">
        <f t="shared" ref="AG5:AG57" si="1">SUM(Z5:AF5)</f>
        <v>200</v>
      </c>
      <c r="AH5" s="46"/>
      <c r="AI5" s="46"/>
      <c r="AJ5" s="46"/>
      <c r="AK5" s="46"/>
      <c r="AL5" s="46"/>
      <c r="AM5" s="46"/>
      <c r="AN5" s="46"/>
      <c r="AO5" s="44">
        <f>SUM(AH5:AN5)</f>
        <v>0</v>
      </c>
      <c r="AP5" s="46">
        <v>100</v>
      </c>
      <c r="AQ5" s="46"/>
      <c r="AR5" s="46"/>
      <c r="AS5" s="367">
        <v>150</v>
      </c>
      <c r="AT5" s="46"/>
      <c r="AU5" s="46"/>
      <c r="AV5" s="46">
        <v>70</v>
      </c>
      <c r="AW5" s="44">
        <f t="shared" ref="AW5:AW57" si="2">SUM(AP5:AV5)</f>
        <v>320</v>
      </c>
      <c r="AX5" s="124">
        <f t="shared" si="0"/>
        <v>160</v>
      </c>
      <c r="AY5" s="44">
        <f t="shared" ref="AY5:AY57" si="3">+S5+AA5+AI5+AQ5</f>
        <v>0</v>
      </c>
      <c r="AZ5" s="44">
        <f t="shared" ref="AZ5:AZ57" si="4">+T5+AB5+AJ5+AR5</f>
        <v>0</v>
      </c>
      <c r="BA5" s="44">
        <f t="shared" ref="BA5:BA57" si="5">+U5+AC5+AK5+AS5</f>
        <v>190</v>
      </c>
      <c r="BB5" s="44">
        <f t="shared" ref="BB5:BC57" si="6">+V5+AD5+AL5+AT5</f>
        <v>0</v>
      </c>
      <c r="BC5" s="44">
        <f t="shared" ref="BC5:BC57" si="7">+W5+AE5+AM5+AU5</f>
        <v>0</v>
      </c>
      <c r="BD5" s="44">
        <f t="shared" ref="BD5:BE57" si="8">+X5+AF5+AN5+AV5</f>
        <v>170</v>
      </c>
      <c r="BE5" s="45">
        <f t="shared" ref="BE5:BE57" si="9">+AX5+AY5+AZ5+BA5+BB5+BC5+BD5</f>
        <v>520</v>
      </c>
      <c r="BF5" s="388"/>
      <c r="BG5" s="390"/>
    </row>
    <row r="6" spans="1:73" s="102" customFormat="1" ht="40.5" customHeight="1" thickBot="1" x14ac:dyDescent="0.3">
      <c r="A6" s="806"/>
      <c r="B6" s="860"/>
      <c r="C6" s="860"/>
      <c r="D6" s="617"/>
      <c r="E6" s="617"/>
      <c r="F6" s="617"/>
      <c r="G6" s="603" t="s">
        <v>388</v>
      </c>
      <c r="H6" s="603" t="s">
        <v>1123</v>
      </c>
      <c r="I6" s="611" t="s">
        <v>389</v>
      </c>
      <c r="J6" s="355" t="s">
        <v>390</v>
      </c>
      <c r="K6" s="379" t="s">
        <v>1105</v>
      </c>
      <c r="L6" s="46"/>
      <c r="M6" s="458">
        <v>20</v>
      </c>
      <c r="N6" s="17"/>
      <c r="O6" s="17">
        <v>5</v>
      </c>
      <c r="P6" s="17">
        <v>12</v>
      </c>
      <c r="Q6" s="17">
        <v>20</v>
      </c>
      <c r="R6" s="119"/>
      <c r="S6" s="44"/>
      <c r="T6" s="119"/>
      <c r="U6" s="44">
        <v>0</v>
      </c>
      <c r="V6" s="44"/>
      <c r="W6" s="44"/>
      <c r="X6" s="44"/>
      <c r="Y6" s="44">
        <f t="shared" ref="Y6:Y57" si="10">SUM(R6:X6)</f>
        <v>0</v>
      </c>
      <c r="Z6" s="44"/>
      <c r="AA6" s="44"/>
      <c r="AB6" s="44"/>
      <c r="AC6" s="3">
        <v>500</v>
      </c>
      <c r="AD6" s="44"/>
      <c r="AE6" s="44"/>
      <c r="AF6" s="44"/>
      <c r="AG6" s="44">
        <f t="shared" si="1"/>
        <v>500</v>
      </c>
      <c r="AH6" s="44"/>
      <c r="AI6" s="44"/>
      <c r="AJ6" s="44"/>
      <c r="AK6" s="44">
        <v>200</v>
      </c>
      <c r="AL6" s="44"/>
      <c r="AM6" s="44"/>
      <c r="AN6" s="44"/>
      <c r="AO6" s="44">
        <f t="shared" ref="AO6:AO57" si="11">SUM(AH6:AN6)</f>
        <v>200</v>
      </c>
      <c r="AP6" s="44"/>
      <c r="AQ6" s="44"/>
      <c r="AR6" s="44"/>
      <c r="AS6" s="3">
        <v>200</v>
      </c>
      <c r="AT6" s="75"/>
      <c r="AU6" s="44"/>
      <c r="AV6" s="44"/>
      <c r="AW6" s="44">
        <f t="shared" si="2"/>
        <v>200</v>
      </c>
      <c r="AX6" s="124">
        <f t="shared" si="0"/>
        <v>0</v>
      </c>
      <c r="AY6" s="44">
        <f t="shared" si="3"/>
        <v>0</v>
      </c>
      <c r="AZ6" s="44">
        <f t="shared" si="4"/>
        <v>0</v>
      </c>
      <c r="BA6" s="44">
        <f t="shared" si="5"/>
        <v>900</v>
      </c>
      <c r="BB6" s="44">
        <f t="shared" si="6"/>
        <v>0</v>
      </c>
      <c r="BC6" s="44">
        <f t="shared" si="7"/>
        <v>0</v>
      </c>
      <c r="BD6" s="44">
        <f t="shared" si="8"/>
        <v>0</v>
      </c>
      <c r="BE6" s="45">
        <f t="shared" si="9"/>
        <v>900</v>
      </c>
      <c r="BF6" s="467"/>
      <c r="BG6" s="468"/>
      <c r="BH6" s="468"/>
      <c r="BI6" s="468"/>
      <c r="BJ6" s="468"/>
      <c r="BK6" s="468"/>
      <c r="BL6" s="468"/>
      <c r="BM6" s="468"/>
      <c r="BN6" s="468"/>
      <c r="BO6" s="468"/>
      <c r="BP6" s="468"/>
      <c r="BQ6" s="468"/>
      <c r="BR6" s="468"/>
      <c r="BS6" s="468"/>
      <c r="BT6" s="468"/>
      <c r="BU6" s="468"/>
    </row>
    <row r="7" spans="1:73" s="102" customFormat="1" ht="41.25" thickBot="1" x14ac:dyDescent="0.3">
      <c r="A7" s="806"/>
      <c r="B7" s="860"/>
      <c r="C7" s="860"/>
      <c r="D7" s="617"/>
      <c r="E7" s="617"/>
      <c r="F7" s="617"/>
      <c r="G7" s="603"/>
      <c r="H7" s="603"/>
      <c r="I7" s="611"/>
      <c r="J7" s="469" t="s">
        <v>1106</v>
      </c>
      <c r="K7" s="379" t="s">
        <v>1109</v>
      </c>
      <c r="L7" s="46"/>
      <c r="M7" s="458">
        <v>2240</v>
      </c>
      <c r="N7" s="17"/>
      <c r="O7" s="458">
        <v>1000</v>
      </c>
      <c r="P7" s="458">
        <v>2000</v>
      </c>
      <c r="Q7" s="17">
        <v>2240</v>
      </c>
      <c r="R7" s="119"/>
      <c r="S7" s="44"/>
      <c r="T7" s="119"/>
      <c r="U7" s="44"/>
      <c r="V7" s="44"/>
      <c r="W7" s="44"/>
      <c r="X7" s="44"/>
      <c r="Y7" s="44">
        <f t="shared" si="10"/>
        <v>0</v>
      </c>
      <c r="Z7" s="44"/>
      <c r="AA7" s="44"/>
      <c r="AB7" s="44"/>
      <c r="AC7" s="3">
        <v>1000</v>
      </c>
      <c r="AD7" s="44"/>
      <c r="AE7" s="44"/>
      <c r="AF7" s="44"/>
      <c r="AG7" s="44">
        <f t="shared" si="1"/>
        <v>1000</v>
      </c>
      <c r="AH7" s="44"/>
      <c r="AI7" s="44"/>
      <c r="AJ7" s="44"/>
      <c r="AK7" s="44">
        <v>1000</v>
      </c>
      <c r="AL7" s="44"/>
      <c r="AM7" s="44"/>
      <c r="AN7" s="44"/>
      <c r="AO7" s="44">
        <f t="shared" si="11"/>
        <v>1000</v>
      </c>
      <c r="AP7" s="44"/>
      <c r="AQ7" s="44"/>
      <c r="AR7" s="44"/>
      <c r="AS7" s="3">
        <v>200</v>
      </c>
      <c r="AT7" s="75"/>
      <c r="AU7" s="44"/>
      <c r="AV7" s="44"/>
      <c r="AW7" s="44">
        <f t="shared" si="2"/>
        <v>200</v>
      </c>
      <c r="AX7" s="124">
        <f t="shared" si="0"/>
        <v>0</v>
      </c>
      <c r="AY7" s="44">
        <f t="shared" si="3"/>
        <v>0</v>
      </c>
      <c r="AZ7" s="44">
        <f t="shared" si="4"/>
        <v>0</v>
      </c>
      <c r="BA7" s="44">
        <f t="shared" si="5"/>
        <v>2200</v>
      </c>
      <c r="BB7" s="44">
        <f t="shared" si="6"/>
        <v>0</v>
      </c>
      <c r="BC7" s="44">
        <f t="shared" si="7"/>
        <v>0</v>
      </c>
      <c r="BD7" s="44">
        <f t="shared" si="8"/>
        <v>0</v>
      </c>
      <c r="BE7" s="45">
        <f t="shared" si="9"/>
        <v>2200</v>
      </c>
      <c r="BF7" s="467"/>
      <c r="BG7" s="468"/>
      <c r="BH7" s="468"/>
      <c r="BI7" s="468"/>
      <c r="BJ7" s="468"/>
      <c r="BK7" s="468"/>
      <c r="BL7" s="468"/>
      <c r="BM7" s="468"/>
      <c r="BN7" s="468"/>
      <c r="BO7" s="468"/>
      <c r="BP7" s="468"/>
      <c r="BQ7" s="468"/>
      <c r="BR7" s="468"/>
      <c r="BS7" s="468"/>
      <c r="BT7" s="468"/>
      <c r="BU7" s="468"/>
    </row>
    <row r="8" spans="1:73" s="102" customFormat="1" ht="41.25" thickBot="1" x14ac:dyDescent="0.3">
      <c r="A8" s="806"/>
      <c r="B8" s="860"/>
      <c r="C8" s="860"/>
      <c r="D8" s="617"/>
      <c r="E8" s="617"/>
      <c r="F8" s="617"/>
      <c r="G8" s="603"/>
      <c r="H8" s="603"/>
      <c r="I8" s="611"/>
      <c r="J8" s="355" t="s">
        <v>1107</v>
      </c>
      <c r="K8" s="379" t="s">
        <v>1108</v>
      </c>
      <c r="L8" s="46"/>
      <c r="M8" s="458">
        <v>2</v>
      </c>
      <c r="N8" s="17"/>
      <c r="O8" s="17"/>
      <c r="P8" s="17">
        <v>1</v>
      </c>
      <c r="Q8" s="17">
        <v>2</v>
      </c>
      <c r="R8" s="119"/>
      <c r="S8" s="44"/>
      <c r="T8" s="119"/>
      <c r="U8" s="44"/>
      <c r="V8" s="44"/>
      <c r="W8" s="44"/>
      <c r="X8" s="44"/>
      <c r="Y8" s="44">
        <f t="shared" si="10"/>
        <v>0</v>
      </c>
      <c r="Z8" s="44"/>
      <c r="AA8" s="44"/>
      <c r="AB8" s="44"/>
      <c r="AC8" s="3"/>
      <c r="AD8" s="44"/>
      <c r="AE8" s="44"/>
      <c r="AF8" s="44"/>
      <c r="AG8" s="44">
        <f t="shared" si="1"/>
        <v>0</v>
      </c>
      <c r="AH8" s="44"/>
      <c r="AI8" s="44"/>
      <c r="AJ8" s="44"/>
      <c r="AK8" s="44">
        <v>1000</v>
      </c>
      <c r="AL8" s="44"/>
      <c r="AM8" s="44"/>
      <c r="AN8" s="44"/>
      <c r="AO8" s="44">
        <f t="shared" si="11"/>
        <v>1000</v>
      </c>
      <c r="AP8" s="44"/>
      <c r="AQ8" s="44"/>
      <c r="AR8" s="44"/>
      <c r="AS8" s="3">
        <v>1000</v>
      </c>
      <c r="AT8" s="75"/>
      <c r="AU8" s="44"/>
      <c r="AV8" s="44"/>
      <c r="AW8" s="44">
        <f t="shared" si="2"/>
        <v>1000</v>
      </c>
      <c r="AX8" s="124">
        <f t="shared" si="0"/>
        <v>0</v>
      </c>
      <c r="AY8" s="44">
        <f t="shared" si="3"/>
        <v>0</v>
      </c>
      <c r="AZ8" s="44">
        <f t="shared" si="4"/>
        <v>0</v>
      </c>
      <c r="BA8" s="44">
        <f t="shared" si="5"/>
        <v>2000</v>
      </c>
      <c r="BB8" s="44">
        <f t="shared" si="6"/>
        <v>0</v>
      </c>
      <c r="BC8" s="44">
        <f t="shared" si="7"/>
        <v>0</v>
      </c>
      <c r="BD8" s="44">
        <f t="shared" si="8"/>
        <v>0</v>
      </c>
      <c r="BE8" s="45">
        <f t="shared" si="9"/>
        <v>2000</v>
      </c>
      <c r="BF8" s="467"/>
      <c r="BG8" s="468"/>
      <c r="BH8" s="468"/>
      <c r="BI8" s="468"/>
      <c r="BJ8" s="468"/>
      <c r="BK8" s="468"/>
      <c r="BL8" s="468"/>
      <c r="BM8" s="468"/>
      <c r="BN8" s="468"/>
      <c r="BO8" s="468"/>
      <c r="BP8" s="468"/>
      <c r="BQ8" s="468"/>
      <c r="BR8" s="468"/>
      <c r="BS8" s="468"/>
      <c r="BT8" s="468"/>
      <c r="BU8" s="468"/>
    </row>
    <row r="9" spans="1:73" s="102" customFormat="1" ht="41.25" thickBot="1" x14ac:dyDescent="0.3">
      <c r="A9" s="806"/>
      <c r="B9" s="860"/>
      <c r="C9" s="860"/>
      <c r="D9" s="617"/>
      <c r="E9" s="617"/>
      <c r="F9" s="617"/>
      <c r="G9" s="603"/>
      <c r="H9" s="603"/>
      <c r="I9" s="611"/>
      <c r="J9" s="355" t="s">
        <v>391</v>
      </c>
      <c r="K9" s="379" t="s">
        <v>1110</v>
      </c>
      <c r="L9" s="46"/>
      <c r="M9" s="458">
        <v>2</v>
      </c>
      <c r="N9" s="17"/>
      <c r="O9" s="17"/>
      <c r="P9" s="17">
        <v>1</v>
      </c>
      <c r="Q9" s="17">
        <v>2</v>
      </c>
      <c r="R9" s="119"/>
      <c r="S9" s="44"/>
      <c r="T9" s="119"/>
      <c r="U9" s="44"/>
      <c r="V9" s="44"/>
      <c r="W9" s="44"/>
      <c r="X9" s="44"/>
      <c r="Y9" s="44">
        <f t="shared" si="10"/>
        <v>0</v>
      </c>
      <c r="Z9" s="44"/>
      <c r="AA9" s="44"/>
      <c r="AB9" s="44"/>
      <c r="AC9" s="3"/>
      <c r="AD9" s="44"/>
      <c r="AE9" s="44"/>
      <c r="AF9" s="44"/>
      <c r="AG9" s="44">
        <f t="shared" si="1"/>
        <v>0</v>
      </c>
      <c r="AH9" s="44"/>
      <c r="AI9" s="44"/>
      <c r="AJ9" s="44"/>
      <c r="AK9" s="44"/>
      <c r="AL9" s="44"/>
      <c r="AM9" s="44">
        <v>150</v>
      </c>
      <c r="AN9" s="44"/>
      <c r="AO9" s="44">
        <f t="shared" si="11"/>
        <v>150</v>
      </c>
      <c r="AP9" s="44"/>
      <c r="AQ9" s="44"/>
      <c r="AR9" s="44"/>
      <c r="AS9" s="3"/>
      <c r="AT9" s="44"/>
      <c r="AU9" s="44">
        <v>150</v>
      </c>
      <c r="AV9" s="44"/>
      <c r="AW9" s="44">
        <f t="shared" si="2"/>
        <v>150</v>
      </c>
      <c r="AX9" s="124">
        <f t="shared" si="0"/>
        <v>0</v>
      </c>
      <c r="AY9" s="44">
        <f t="shared" si="3"/>
        <v>0</v>
      </c>
      <c r="AZ9" s="44">
        <f t="shared" si="4"/>
        <v>0</v>
      </c>
      <c r="BA9" s="44">
        <f t="shared" si="5"/>
        <v>0</v>
      </c>
      <c r="BB9" s="44">
        <f t="shared" si="6"/>
        <v>0</v>
      </c>
      <c r="BC9" s="44">
        <f t="shared" si="7"/>
        <v>300</v>
      </c>
      <c r="BD9" s="44">
        <f t="shared" si="8"/>
        <v>0</v>
      </c>
      <c r="BE9" s="45">
        <f t="shared" si="9"/>
        <v>300</v>
      </c>
      <c r="BF9" s="467"/>
      <c r="BG9" s="468"/>
      <c r="BH9" s="468"/>
      <c r="BI9" s="468"/>
      <c r="BJ9" s="468"/>
      <c r="BK9" s="468"/>
      <c r="BL9" s="468"/>
      <c r="BM9" s="468"/>
      <c r="BN9" s="468"/>
      <c r="BO9" s="468"/>
      <c r="BP9" s="468"/>
      <c r="BQ9" s="468"/>
      <c r="BR9" s="468"/>
      <c r="BS9" s="468"/>
      <c r="BT9" s="468"/>
      <c r="BU9" s="468"/>
    </row>
    <row r="10" spans="1:73" s="102" customFormat="1" ht="41.25" thickBot="1" x14ac:dyDescent="0.3">
      <c r="A10" s="806"/>
      <c r="B10" s="860"/>
      <c r="C10" s="860"/>
      <c r="D10" s="617"/>
      <c r="E10" s="617"/>
      <c r="F10" s="617"/>
      <c r="G10" s="603"/>
      <c r="H10" s="603"/>
      <c r="I10" s="611" t="s">
        <v>392</v>
      </c>
      <c r="J10" s="355" t="s">
        <v>393</v>
      </c>
      <c r="K10" s="379" t="s">
        <v>1111</v>
      </c>
      <c r="L10" s="46"/>
      <c r="M10" s="17">
        <v>1000</v>
      </c>
      <c r="N10" s="17"/>
      <c r="O10" s="17">
        <v>500</v>
      </c>
      <c r="P10" s="17">
        <v>750</v>
      </c>
      <c r="Q10" s="17">
        <v>1000</v>
      </c>
      <c r="R10" s="119"/>
      <c r="S10" s="44"/>
      <c r="T10" s="119"/>
      <c r="U10" s="44"/>
      <c r="V10" s="44"/>
      <c r="W10" s="44"/>
      <c r="X10" s="44"/>
      <c r="Y10" s="44">
        <f t="shared" si="10"/>
        <v>0</v>
      </c>
      <c r="Z10" s="44"/>
      <c r="AA10" s="44"/>
      <c r="AB10" s="44"/>
      <c r="AC10" s="3">
        <v>10</v>
      </c>
      <c r="AD10" s="44"/>
      <c r="AE10" s="44"/>
      <c r="AF10" s="44"/>
      <c r="AG10" s="44">
        <f t="shared" si="1"/>
        <v>10</v>
      </c>
      <c r="AH10" s="44"/>
      <c r="AI10" s="44"/>
      <c r="AJ10" s="44"/>
      <c r="AK10" s="44">
        <v>5</v>
      </c>
      <c r="AL10" s="44"/>
      <c r="AM10" s="44"/>
      <c r="AN10" s="44"/>
      <c r="AO10" s="44">
        <f t="shared" si="11"/>
        <v>5</v>
      </c>
      <c r="AP10" s="44"/>
      <c r="AQ10" s="44"/>
      <c r="AR10" s="44"/>
      <c r="AS10" s="3">
        <v>5</v>
      </c>
      <c r="AT10" s="75"/>
      <c r="AU10" s="44"/>
      <c r="AV10" s="44"/>
      <c r="AW10" s="44">
        <f t="shared" si="2"/>
        <v>5</v>
      </c>
      <c r="AX10" s="124">
        <f t="shared" si="0"/>
        <v>0</v>
      </c>
      <c r="AY10" s="44">
        <f t="shared" si="3"/>
        <v>0</v>
      </c>
      <c r="AZ10" s="44">
        <f t="shared" si="4"/>
        <v>0</v>
      </c>
      <c r="BA10" s="44">
        <f t="shared" si="5"/>
        <v>20</v>
      </c>
      <c r="BB10" s="44">
        <f t="shared" si="6"/>
        <v>0</v>
      </c>
      <c r="BC10" s="44">
        <f t="shared" si="7"/>
        <v>0</v>
      </c>
      <c r="BD10" s="44">
        <f t="shared" si="8"/>
        <v>0</v>
      </c>
      <c r="BE10" s="45">
        <f t="shared" si="9"/>
        <v>20</v>
      </c>
      <c r="BF10" s="467"/>
      <c r="BG10" s="468"/>
      <c r="BH10" s="468"/>
      <c r="BI10" s="468"/>
      <c r="BJ10" s="468"/>
      <c r="BK10" s="468"/>
      <c r="BL10" s="468"/>
      <c r="BM10" s="468"/>
      <c r="BN10" s="468"/>
      <c r="BO10" s="468"/>
      <c r="BP10" s="468"/>
      <c r="BQ10" s="468"/>
      <c r="BR10" s="468"/>
      <c r="BS10" s="468"/>
      <c r="BT10" s="468"/>
      <c r="BU10" s="468"/>
    </row>
    <row r="11" spans="1:73" s="102" customFormat="1" ht="41.25" thickBot="1" x14ac:dyDescent="0.3">
      <c r="A11" s="806"/>
      <c r="B11" s="860"/>
      <c r="C11" s="860"/>
      <c r="D11" s="617"/>
      <c r="E11" s="617"/>
      <c r="F11" s="617"/>
      <c r="G11" s="603"/>
      <c r="H11" s="603"/>
      <c r="I11" s="611"/>
      <c r="J11" s="355" t="s">
        <v>394</v>
      </c>
      <c r="K11" s="379" t="s">
        <v>1112</v>
      </c>
      <c r="L11" s="46"/>
      <c r="M11" s="17">
        <v>300</v>
      </c>
      <c r="N11" s="17"/>
      <c r="O11" s="17">
        <v>100</v>
      </c>
      <c r="P11" s="17">
        <v>200</v>
      </c>
      <c r="Q11" s="17">
        <v>300</v>
      </c>
      <c r="R11" s="119"/>
      <c r="S11" s="44"/>
      <c r="T11" s="119"/>
      <c r="U11" s="44"/>
      <c r="V11" s="44"/>
      <c r="W11" s="44"/>
      <c r="X11" s="44"/>
      <c r="Y11" s="44">
        <f t="shared" si="10"/>
        <v>0</v>
      </c>
      <c r="Z11" s="44"/>
      <c r="AA11" s="44"/>
      <c r="AB11" s="44"/>
      <c r="AC11" s="3">
        <v>500</v>
      </c>
      <c r="AD11" s="44"/>
      <c r="AE11" s="44"/>
      <c r="AF11" s="44"/>
      <c r="AG11" s="44">
        <f t="shared" si="1"/>
        <v>500</v>
      </c>
      <c r="AH11" s="44"/>
      <c r="AI11" s="44"/>
      <c r="AJ11" s="44"/>
      <c r="AK11" s="44">
        <v>500</v>
      </c>
      <c r="AL11" s="44"/>
      <c r="AM11" s="44"/>
      <c r="AN11" s="44"/>
      <c r="AO11" s="44">
        <f t="shared" si="11"/>
        <v>500</v>
      </c>
      <c r="AP11" s="44"/>
      <c r="AQ11" s="44"/>
      <c r="AR11" s="44"/>
      <c r="AS11" s="3">
        <v>500</v>
      </c>
      <c r="AT11" s="75"/>
      <c r="AU11" s="44"/>
      <c r="AV11" s="44"/>
      <c r="AW11" s="44">
        <f t="shared" si="2"/>
        <v>500</v>
      </c>
      <c r="AX11" s="124">
        <f t="shared" si="0"/>
        <v>0</v>
      </c>
      <c r="AY11" s="44">
        <f t="shared" si="3"/>
        <v>0</v>
      </c>
      <c r="AZ11" s="44">
        <f t="shared" si="4"/>
        <v>0</v>
      </c>
      <c r="BA11" s="44">
        <f t="shared" si="5"/>
        <v>1500</v>
      </c>
      <c r="BB11" s="44">
        <f t="shared" si="6"/>
        <v>0</v>
      </c>
      <c r="BC11" s="44">
        <f t="shared" si="7"/>
        <v>0</v>
      </c>
      <c r="BD11" s="44">
        <f t="shared" si="8"/>
        <v>0</v>
      </c>
      <c r="BE11" s="45">
        <f t="shared" si="9"/>
        <v>1500</v>
      </c>
      <c r="BF11" s="467"/>
      <c r="BG11" s="468"/>
      <c r="BH11" s="468"/>
      <c r="BI11" s="468"/>
      <c r="BJ11" s="468"/>
      <c r="BK11" s="468"/>
      <c r="BL11" s="468"/>
      <c r="BM11" s="468"/>
      <c r="BN11" s="468"/>
      <c r="BO11" s="468"/>
      <c r="BP11" s="468"/>
      <c r="BQ11" s="468"/>
      <c r="BR11" s="468"/>
      <c r="BS11" s="468"/>
      <c r="BT11" s="468"/>
      <c r="BU11" s="468"/>
    </row>
    <row r="12" spans="1:73" s="102" customFormat="1" ht="27.75" thickBot="1" x14ac:dyDescent="0.3">
      <c r="A12" s="806"/>
      <c r="B12" s="860"/>
      <c r="C12" s="860"/>
      <c r="D12" s="617"/>
      <c r="E12" s="617"/>
      <c r="F12" s="617"/>
      <c r="G12" s="603"/>
      <c r="H12" s="603"/>
      <c r="I12" s="611"/>
      <c r="J12" s="355" t="s">
        <v>0</v>
      </c>
      <c r="K12" s="379" t="s">
        <v>1113</v>
      </c>
      <c r="L12" s="46"/>
      <c r="M12" s="17">
        <v>400</v>
      </c>
      <c r="N12" s="17"/>
      <c r="O12" s="17">
        <v>200</v>
      </c>
      <c r="P12" s="17">
        <v>300</v>
      </c>
      <c r="Q12" s="17">
        <v>400</v>
      </c>
      <c r="R12" s="119"/>
      <c r="S12" s="44"/>
      <c r="T12" s="119"/>
      <c r="U12" s="44"/>
      <c r="V12" s="44"/>
      <c r="W12" s="44"/>
      <c r="X12" s="44"/>
      <c r="Y12" s="44">
        <f t="shared" si="10"/>
        <v>0</v>
      </c>
      <c r="Z12" s="44"/>
      <c r="AA12" s="44"/>
      <c r="AB12" s="44"/>
      <c r="AC12" s="3">
        <v>1000</v>
      </c>
      <c r="AD12" s="44"/>
      <c r="AE12" s="44"/>
      <c r="AF12" s="44"/>
      <c r="AG12" s="44">
        <f t="shared" si="1"/>
        <v>1000</v>
      </c>
      <c r="AH12" s="44"/>
      <c r="AI12" s="44"/>
      <c r="AJ12" s="44"/>
      <c r="AK12" s="44">
        <v>500</v>
      </c>
      <c r="AL12" s="44"/>
      <c r="AM12" s="44"/>
      <c r="AN12" s="44"/>
      <c r="AO12" s="44">
        <f t="shared" si="11"/>
        <v>500</v>
      </c>
      <c r="AP12" s="44"/>
      <c r="AQ12" s="44"/>
      <c r="AR12" s="44"/>
      <c r="AS12" s="3">
        <v>500</v>
      </c>
      <c r="AT12" s="75"/>
      <c r="AU12" s="44"/>
      <c r="AV12" s="44"/>
      <c r="AW12" s="44">
        <f t="shared" si="2"/>
        <v>500</v>
      </c>
      <c r="AX12" s="124">
        <f t="shared" si="0"/>
        <v>0</v>
      </c>
      <c r="AY12" s="44">
        <f t="shared" si="3"/>
        <v>0</v>
      </c>
      <c r="AZ12" s="44">
        <f t="shared" si="4"/>
        <v>0</v>
      </c>
      <c r="BA12" s="44">
        <f t="shared" si="5"/>
        <v>2000</v>
      </c>
      <c r="BB12" s="44">
        <f t="shared" si="6"/>
        <v>0</v>
      </c>
      <c r="BC12" s="44">
        <f t="shared" si="7"/>
        <v>0</v>
      </c>
      <c r="BD12" s="44">
        <f t="shared" si="8"/>
        <v>0</v>
      </c>
      <c r="BE12" s="45">
        <f t="shared" si="9"/>
        <v>2000</v>
      </c>
      <c r="BF12" s="467"/>
      <c r="BG12" s="468"/>
      <c r="BH12" s="468"/>
      <c r="BI12" s="468"/>
      <c r="BJ12" s="468"/>
      <c r="BK12" s="468"/>
      <c r="BL12" s="468"/>
      <c r="BM12" s="468"/>
      <c r="BN12" s="468"/>
      <c r="BO12" s="468"/>
      <c r="BP12" s="468"/>
      <c r="BQ12" s="468"/>
      <c r="BR12" s="468"/>
      <c r="BS12" s="468"/>
      <c r="BT12" s="468"/>
      <c r="BU12" s="468"/>
    </row>
    <row r="13" spans="1:73" s="102" customFormat="1" ht="41.25" thickBot="1" x14ac:dyDescent="0.3">
      <c r="A13" s="806"/>
      <c r="B13" s="860"/>
      <c r="C13" s="860"/>
      <c r="D13" s="617"/>
      <c r="E13" s="617"/>
      <c r="F13" s="617"/>
      <c r="G13" s="603"/>
      <c r="H13" s="603"/>
      <c r="I13" s="611"/>
      <c r="J13" s="355" t="s">
        <v>1</v>
      </c>
      <c r="K13" s="379" t="s">
        <v>1113</v>
      </c>
      <c r="L13" s="46"/>
      <c r="M13" s="17">
        <v>200</v>
      </c>
      <c r="N13" s="17"/>
      <c r="O13" s="17">
        <v>50</v>
      </c>
      <c r="P13" s="17">
        <v>125</v>
      </c>
      <c r="Q13" s="17">
        <v>200</v>
      </c>
      <c r="R13" s="119"/>
      <c r="S13" s="44"/>
      <c r="T13" s="119"/>
      <c r="U13" s="44"/>
      <c r="V13" s="44"/>
      <c r="W13" s="44"/>
      <c r="X13" s="44"/>
      <c r="Y13" s="44">
        <f t="shared" si="10"/>
        <v>0</v>
      </c>
      <c r="Z13" s="44"/>
      <c r="AA13" s="44"/>
      <c r="AB13" s="44"/>
      <c r="AC13" s="3">
        <v>250</v>
      </c>
      <c r="AD13" s="44"/>
      <c r="AE13" s="44"/>
      <c r="AF13" s="44"/>
      <c r="AG13" s="44">
        <f t="shared" si="1"/>
        <v>250</v>
      </c>
      <c r="AH13" s="44"/>
      <c r="AI13" s="44"/>
      <c r="AJ13" s="44"/>
      <c r="AK13" s="44">
        <v>250</v>
      </c>
      <c r="AL13" s="44"/>
      <c r="AM13" s="44"/>
      <c r="AN13" s="44"/>
      <c r="AO13" s="44">
        <f t="shared" si="11"/>
        <v>250</v>
      </c>
      <c r="AP13" s="44"/>
      <c r="AQ13" s="44"/>
      <c r="AR13" s="44"/>
      <c r="AS13" s="3">
        <v>400</v>
      </c>
      <c r="AT13" s="75"/>
      <c r="AU13" s="44"/>
      <c r="AV13" s="44"/>
      <c r="AW13" s="44">
        <f t="shared" si="2"/>
        <v>400</v>
      </c>
      <c r="AX13" s="124">
        <f t="shared" si="0"/>
        <v>0</v>
      </c>
      <c r="AY13" s="44">
        <f t="shared" si="3"/>
        <v>0</v>
      </c>
      <c r="AZ13" s="44">
        <f t="shared" si="4"/>
        <v>0</v>
      </c>
      <c r="BA13" s="44">
        <f t="shared" si="5"/>
        <v>900</v>
      </c>
      <c r="BB13" s="44">
        <f t="shared" si="6"/>
        <v>0</v>
      </c>
      <c r="BC13" s="44">
        <f t="shared" si="7"/>
        <v>0</v>
      </c>
      <c r="BD13" s="44">
        <f t="shared" si="8"/>
        <v>0</v>
      </c>
      <c r="BE13" s="45">
        <f t="shared" si="9"/>
        <v>900</v>
      </c>
      <c r="BF13" s="467"/>
      <c r="BG13" s="468"/>
      <c r="BH13" s="468"/>
      <c r="BI13" s="468"/>
      <c r="BJ13" s="468"/>
      <c r="BK13" s="468"/>
      <c r="BL13" s="468"/>
      <c r="BM13" s="468"/>
      <c r="BN13" s="468"/>
      <c r="BO13" s="468"/>
      <c r="BP13" s="468"/>
      <c r="BQ13" s="468"/>
      <c r="BR13" s="468"/>
      <c r="BS13" s="468"/>
      <c r="BT13" s="468"/>
      <c r="BU13" s="468"/>
    </row>
    <row r="14" spans="1:73" s="102" customFormat="1" ht="41.25" thickBot="1" x14ac:dyDescent="0.3">
      <c r="A14" s="806"/>
      <c r="B14" s="860"/>
      <c r="C14" s="860"/>
      <c r="D14" s="617"/>
      <c r="E14" s="617"/>
      <c r="F14" s="617"/>
      <c r="G14" s="603"/>
      <c r="H14" s="603"/>
      <c r="I14" s="611" t="s">
        <v>2</v>
      </c>
      <c r="J14" s="355" t="s">
        <v>3</v>
      </c>
      <c r="K14" s="379" t="s">
        <v>1224</v>
      </c>
      <c r="L14" s="46"/>
      <c r="M14" s="17">
        <v>64000</v>
      </c>
      <c r="N14" s="17"/>
      <c r="O14" s="17">
        <v>20000</v>
      </c>
      <c r="P14" s="17">
        <v>42000</v>
      </c>
      <c r="Q14" s="17">
        <v>64000</v>
      </c>
      <c r="R14" s="119"/>
      <c r="S14" s="44"/>
      <c r="T14" s="119"/>
      <c r="U14" s="44">
        <v>0</v>
      </c>
      <c r="V14" s="44"/>
      <c r="W14" s="44"/>
      <c r="X14" s="44"/>
      <c r="Y14" s="44">
        <f t="shared" si="10"/>
        <v>0</v>
      </c>
      <c r="Z14" s="44"/>
      <c r="AA14" s="44"/>
      <c r="AB14" s="44"/>
      <c r="AC14" s="3">
        <v>1000</v>
      </c>
      <c r="AD14" s="44"/>
      <c r="AE14" s="44"/>
      <c r="AF14" s="44"/>
      <c r="AG14" s="44">
        <f t="shared" si="1"/>
        <v>1000</v>
      </c>
      <c r="AH14" s="44"/>
      <c r="AI14" s="44"/>
      <c r="AJ14" s="44"/>
      <c r="AK14" s="44">
        <v>1000</v>
      </c>
      <c r="AL14" s="44"/>
      <c r="AM14" s="44"/>
      <c r="AN14" s="44"/>
      <c r="AO14" s="44">
        <f t="shared" si="11"/>
        <v>1000</v>
      </c>
      <c r="AP14" s="44"/>
      <c r="AQ14" s="44"/>
      <c r="AR14" s="44"/>
      <c r="AS14" s="3">
        <v>1000</v>
      </c>
      <c r="AT14" s="75"/>
      <c r="AU14" s="44"/>
      <c r="AV14" s="44"/>
      <c r="AW14" s="44">
        <f t="shared" si="2"/>
        <v>1000</v>
      </c>
      <c r="AX14" s="124">
        <f t="shared" si="0"/>
        <v>0</v>
      </c>
      <c r="AY14" s="44">
        <f t="shared" si="3"/>
        <v>0</v>
      </c>
      <c r="AZ14" s="44">
        <f t="shared" si="4"/>
        <v>0</v>
      </c>
      <c r="BA14" s="44">
        <f t="shared" si="5"/>
        <v>3000</v>
      </c>
      <c r="BB14" s="44">
        <f t="shared" si="6"/>
        <v>0</v>
      </c>
      <c r="BC14" s="44">
        <f t="shared" si="7"/>
        <v>0</v>
      </c>
      <c r="BD14" s="44">
        <f t="shared" si="8"/>
        <v>0</v>
      </c>
      <c r="BE14" s="45">
        <f t="shared" si="9"/>
        <v>3000</v>
      </c>
      <c r="BF14" s="467"/>
      <c r="BG14" s="468"/>
      <c r="BH14" s="468"/>
      <c r="BI14" s="468"/>
      <c r="BJ14" s="468"/>
      <c r="BK14" s="468"/>
      <c r="BL14" s="468"/>
      <c r="BM14" s="468"/>
      <c r="BN14" s="468"/>
      <c r="BO14" s="468"/>
      <c r="BP14" s="468"/>
      <c r="BQ14" s="468"/>
      <c r="BR14" s="468"/>
      <c r="BS14" s="468"/>
      <c r="BT14" s="468"/>
      <c r="BU14" s="468"/>
    </row>
    <row r="15" spans="1:73" s="102" customFormat="1" ht="68.25" thickBot="1" x14ac:dyDescent="0.3">
      <c r="A15" s="806"/>
      <c r="B15" s="860"/>
      <c r="C15" s="860"/>
      <c r="D15" s="617"/>
      <c r="E15" s="617"/>
      <c r="F15" s="617"/>
      <c r="G15" s="603"/>
      <c r="H15" s="603"/>
      <c r="I15" s="611"/>
      <c r="J15" s="355" t="s">
        <v>1119</v>
      </c>
      <c r="K15" s="379" t="s">
        <v>1118</v>
      </c>
      <c r="L15" s="46"/>
      <c r="M15" s="17">
        <v>1</v>
      </c>
      <c r="N15" s="17"/>
      <c r="O15" s="17">
        <v>1</v>
      </c>
      <c r="P15" s="17">
        <v>1</v>
      </c>
      <c r="Q15" s="17">
        <v>1</v>
      </c>
      <c r="R15" s="119"/>
      <c r="S15" s="44"/>
      <c r="T15" s="119"/>
      <c r="U15" s="44">
        <v>0</v>
      </c>
      <c r="V15" s="44"/>
      <c r="W15" s="44"/>
      <c r="X15" s="44"/>
      <c r="Y15" s="44">
        <f t="shared" si="10"/>
        <v>0</v>
      </c>
      <c r="Z15" s="44"/>
      <c r="AA15" s="44"/>
      <c r="AB15" s="44"/>
      <c r="AC15" s="3">
        <v>30</v>
      </c>
      <c r="AD15" s="44"/>
      <c r="AE15" s="44"/>
      <c r="AF15" s="44"/>
      <c r="AG15" s="44">
        <f t="shared" si="1"/>
        <v>30</v>
      </c>
      <c r="AH15" s="44"/>
      <c r="AI15" s="44"/>
      <c r="AJ15" s="44"/>
      <c r="AK15" s="44">
        <v>32</v>
      </c>
      <c r="AL15" s="44"/>
      <c r="AM15" s="44"/>
      <c r="AN15" s="44"/>
      <c r="AO15" s="44">
        <f t="shared" si="11"/>
        <v>32</v>
      </c>
      <c r="AP15" s="44"/>
      <c r="AQ15" s="44"/>
      <c r="AR15" s="44"/>
      <c r="AS15" s="3">
        <v>33</v>
      </c>
      <c r="AT15" s="75"/>
      <c r="AU15" s="44"/>
      <c r="AV15" s="44"/>
      <c r="AW15" s="44">
        <f t="shared" si="2"/>
        <v>33</v>
      </c>
      <c r="AX15" s="124">
        <f t="shared" si="0"/>
        <v>0</v>
      </c>
      <c r="AY15" s="44">
        <f t="shared" si="3"/>
        <v>0</v>
      </c>
      <c r="AZ15" s="44">
        <f t="shared" si="4"/>
        <v>0</v>
      </c>
      <c r="BA15" s="44">
        <f t="shared" si="5"/>
        <v>95</v>
      </c>
      <c r="BB15" s="44">
        <f t="shared" si="6"/>
        <v>0</v>
      </c>
      <c r="BC15" s="44">
        <f t="shared" si="7"/>
        <v>0</v>
      </c>
      <c r="BD15" s="44">
        <f t="shared" si="8"/>
        <v>0</v>
      </c>
      <c r="BE15" s="45">
        <f t="shared" si="9"/>
        <v>95</v>
      </c>
      <c r="BF15" s="467"/>
      <c r="BG15" s="468"/>
      <c r="BH15" s="468"/>
      <c r="BI15" s="468"/>
      <c r="BJ15" s="468"/>
      <c r="BK15" s="468"/>
      <c r="BL15" s="468"/>
      <c r="BM15" s="468"/>
      <c r="BN15" s="468"/>
      <c r="BO15" s="468"/>
      <c r="BP15" s="468"/>
      <c r="BQ15" s="468"/>
      <c r="BR15" s="468"/>
      <c r="BS15" s="468"/>
      <c r="BT15" s="468"/>
      <c r="BU15" s="468"/>
    </row>
    <row r="16" spans="1:73" s="102" customFormat="1" ht="41.25" thickBot="1" x14ac:dyDescent="0.3">
      <c r="A16" s="806"/>
      <c r="B16" s="860"/>
      <c r="C16" s="860"/>
      <c r="D16" s="617"/>
      <c r="E16" s="617"/>
      <c r="F16" s="617"/>
      <c r="G16" s="603"/>
      <c r="H16" s="603"/>
      <c r="I16" s="611"/>
      <c r="J16" s="355" t="s">
        <v>1120</v>
      </c>
      <c r="K16" s="379" t="s">
        <v>4</v>
      </c>
      <c r="L16" s="46"/>
      <c r="M16" s="17">
        <v>2</v>
      </c>
      <c r="N16" s="17"/>
      <c r="O16" s="17"/>
      <c r="P16" s="17">
        <v>1</v>
      </c>
      <c r="Q16" s="17">
        <v>2</v>
      </c>
      <c r="R16" s="119"/>
      <c r="S16" s="44"/>
      <c r="T16" s="119"/>
      <c r="U16" s="44"/>
      <c r="V16" s="44"/>
      <c r="W16" s="44"/>
      <c r="X16" s="44"/>
      <c r="Y16" s="44">
        <f t="shared" si="10"/>
        <v>0</v>
      </c>
      <c r="Z16" s="44"/>
      <c r="AA16" s="44"/>
      <c r="AB16" s="44"/>
      <c r="AC16" s="3">
        <v>9</v>
      </c>
      <c r="AD16" s="44"/>
      <c r="AE16" s="44"/>
      <c r="AF16" s="44"/>
      <c r="AG16" s="44">
        <f t="shared" si="1"/>
        <v>9</v>
      </c>
      <c r="AH16" s="44"/>
      <c r="AI16" s="44"/>
      <c r="AJ16" s="44"/>
      <c r="AK16" s="44">
        <v>200</v>
      </c>
      <c r="AL16" s="44"/>
      <c r="AM16" s="44"/>
      <c r="AN16" s="44"/>
      <c r="AO16" s="44">
        <f t="shared" si="11"/>
        <v>200</v>
      </c>
      <c r="AP16" s="44"/>
      <c r="AQ16" s="44"/>
      <c r="AR16" s="44"/>
      <c r="AS16" s="3">
        <v>200</v>
      </c>
      <c r="AT16" s="75"/>
      <c r="AU16" s="44"/>
      <c r="AV16" s="44"/>
      <c r="AW16" s="44">
        <f t="shared" si="2"/>
        <v>200</v>
      </c>
      <c r="AX16" s="124">
        <f t="shared" si="0"/>
        <v>0</v>
      </c>
      <c r="AY16" s="44">
        <f t="shared" si="3"/>
        <v>0</v>
      </c>
      <c r="AZ16" s="44">
        <f t="shared" si="4"/>
        <v>0</v>
      </c>
      <c r="BA16" s="44">
        <f t="shared" si="5"/>
        <v>409</v>
      </c>
      <c r="BB16" s="44">
        <f t="shared" si="6"/>
        <v>0</v>
      </c>
      <c r="BC16" s="44">
        <f t="shared" si="7"/>
        <v>0</v>
      </c>
      <c r="BD16" s="44">
        <f t="shared" si="8"/>
        <v>0</v>
      </c>
      <c r="BE16" s="45">
        <f t="shared" si="9"/>
        <v>409</v>
      </c>
      <c r="BF16" s="467"/>
      <c r="BG16" s="468"/>
      <c r="BH16" s="468"/>
      <c r="BI16" s="468"/>
      <c r="BJ16" s="468"/>
      <c r="BK16" s="468"/>
      <c r="BL16" s="468"/>
      <c r="BM16" s="468"/>
      <c r="BN16" s="468"/>
      <c r="BO16" s="468"/>
      <c r="BP16" s="468"/>
      <c r="BQ16" s="468"/>
      <c r="BR16" s="468"/>
      <c r="BS16" s="468"/>
      <c r="BT16" s="468"/>
      <c r="BU16" s="468"/>
    </row>
    <row r="17" spans="1:73" s="102" customFormat="1" ht="27.75" thickBot="1" x14ac:dyDescent="0.3">
      <c r="A17" s="806"/>
      <c r="B17" s="860"/>
      <c r="C17" s="860"/>
      <c r="D17" s="617"/>
      <c r="E17" s="617"/>
      <c r="F17" s="617"/>
      <c r="G17" s="603"/>
      <c r="H17" s="603"/>
      <c r="I17" s="611"/>
      <c r="J17" s="355" t="s">
        <v>5</v>
      </c>
      <c r="K17" s="379" t="s">
        <v>6</v>
      </c>
      <c r="L17" s="46"/>
      <c r="M17" s="17">
        <v>200</v>
      </c>
      <c r="N17" s="17"/>
      <c r="O17" s="17">
        <v>50</v>
      </c>
      <c r="P17" s="17">
        <v>100</v>
      </c>
      <c r="Q17" s="17">
        <v>200</v>
      </c>
      <c r="R17" s="119"/>
      <c r="S17" s="44"/>
      <c r="T17" s="119"/>
      <c r="U17" s="44">
        <v>0</v>
      </c>
      <c r="V17" s="44"/>
      <c r="W17" s="44"/>
      <c r="X17" s="44"/>
      <c r="Y17" s="44">
        <f t="shared" si="10"/>
        <v>0</v>
      </c>
      <c r="Z17" s="44"/>
      <c r="AA17" s="44"/>
      <c r="AB17" s="44"/>
      <c r="AC17" s="3">
        <v>200</v>
      </c>
      <c r="AD17" s="44"/>
      <c r="AE17" s="44"/>
      <c r="AF17" s="44"/>
      <c r="AG17" s="44">
        <f t="shared" si="1"/>
        <v>200</v>
      </c>
      <c r="AH17" s="44"/>
      <c r="AI17" s="44"/>
      <c r="AJ17" s="44"/>
      <c r="AK17" s="44">
        <v>200</v>
      </c>
      <c r="AL17" s="44"/>
      <c r="AM17" s="44"/>
      <c r="AN17" s="44"/>
      <c r="AO17" s="44">
        <f t="shared" si="11"/>
        <v>200</v>
      </c>
      <c r="AP17" s="44"/>
      <c r="AQ17" s="44"/>
      <c r="AR17" s="44"/>
      <c r="AS17" s="3">
        <v>500</v>
      </c>
      <c r="AT17" s="75"/>
      <c r="AU17" s="44"/>
      <c r="AV17" s="44"/>
      <c r="AW17" s="44">
        <f t="shared" si="2"/>
        <v>500</v>
      </c>
      <c r="AX17" s="124">
        <f t="shared" si="0"/>
        <v>0</v>
      </c>
      <c r="AY17" s="44">
        <f t="shared" si="3"/>
        <v>0</v>
      </c>
      <c r="AZ17" s="44">
        <f t="shared" si="4"/>
        <v>0</v>
      </c>
      <c r="BA17" s="44">
        <f t="shared" si="5"/>
        <v>900</v>
      </c>
      <c r="BB17" s="44">
        <f t="shared" si="6"/>
        <v>0</v>
      </c>
      <c r="BC17" s="44">
        <f t="shared" si="7"/>
        <v>0</v>
      </c>
      <c r="BD17" s="44">
        <f t="shared" si="8"/>
        <v>0</v>
      </c>
      <c r="BE17" s="45">
        <f t="shared" si="9"/>
        <v>900</v>
      </c>
      <c r="BF17" s="467"/>
      <c r="BG17" s="468"/>
      <c r="BH17" s="468"/>
      <c r="BI17" s="468"/>
      <c r="BJ17" s="468"/>
      <c r="BK17" s="468"/>
      <c r="BL17" s="468"/>
      <c r="BM17" s="468"/>
      <c r="BN17" s="468"/>
      <c r="BO17" s="468"/>
      <c r="BP17" s="468"/>
      <c r="BQ17" s="468"/>
      <c r="BR17" s="468"/>
      <c r="BS17" s="468"/>
      <c r="BT17" s="468"/>
      <c r="BU17" s="468"/>
    </row>
    <row r="18" spans="1:73" s="102" customFormat="1" ht="41.25" thickBot="1" x14ac:dyDescent="0.3">
      <c r="A18" s="806"/>
      <c r="B18" s="860"/>
      <c r="C18" s="860"/>
      <c r="D18" s="617"/>
      <c r="E18" s="617"/>
      <c r="F18" s="617"/>
      <c r="G18" s="603"/>
      <c r="H18" s="603"/>
      <c r="I18" s="611" t="s">
        <v>7</v>
      </c>
      <c r="J18" s="355" t="s">
        <v>8</v>
      </c>
      <c r="K18" s="379" t="s">
        <v>9</v>
      </c>
      <c r="L18" s="46"/>
      <c r="M18" s="17">
        <v>200</v>
      </c>
      <c r="N18" s="17"/>
      <c r="O18" s="17">
        <v>50</v>
      </c>
      <c r="P18" s="17">
        <v>100</v>
      </c>
      <c r="Q18" s="17">
        <v>200</v>
      </c>
      <c r="R18" s="119"/>
      <c r="S18" s="44"/>
      <c r="T18" s="119"/>
      <c r="U18" s="44">
        <v>0</v>
      </c>
      <c r="V18" s="44"/>
      <c r="W18" s="44"/>
      <c r="X18" s="44"/>
      <c r="Y18" s="44">
        <f t="shared" si="10"/>
        <v>0</v>
      </c>
      <c r="Z18" s="44"/>
      <c r="AA18" s="44"/>
      <c r="AB18" s="44"/>
      <c r="AC18" s="3">
        <v>200</v>
      </c>
      <c r="AD18" s="44"/>
      <c r="AE18" s="44"/>
      <c r="AF18" s="44"/>
      <c r="AG18" s="44">
        <f t="shared" si="1"/>
        <v>200</v>
      </c>
      <c r="AH18" s="44"/>
      <c r="AI18" s="44"/>
      <c r="AJ18" s="44"/>
      <c r="AK18" s="44">
        <v>200</v>
      </c>
      <c r="AL18" s="44"/>
      <c r="AM18" s="44"/>
      <c r="AN18" s="44"/>
      <c r="AO18" s="44">
        <f t="shared" si="11"/>
        <v>200</v>
      </c>
      <c r="AP18" s="44"/>
      <c r="AQ18" s="44"/>
      <c r="AR18" s="44"/>
      <c r="AS18" s="3">
        <v>300</v>
      </c>
      <c r="AT18" s="75"/>
      <c r="AU18" s="44"/>
      <c r="AV18" s="44"/>
      <c r="AW18" s="44">
        <f t="shared" si="2"/>
        <v>300</v>
      </c>
      <c r="AX18" s="124">
        <f t="shared" si="0"/>
        <v>0</v>
      </c>
      <c r="AY18" s="44">
        <f t="shared" si="3"/>
        <v>0</v>
      </c>
      <c r="AZ18" s="44">
        <f t="shared" si="4"/>
        <v>0</v>
      </c>
      <c r="BA18" s="44">
        <f t="shared" si="5"/>
        <v>700</v>
      </c>
      <c r="BB18" s="44">
        <f t="shared" si="6"/>
        <v>0</v>
      </c>
      <c r="BC18" s="44">
        <f t="shared" si="7"/>
        <v>0</v>
      </c>
      <c r="BD18" s="44">
        <f t="shared" si="8"/>
        <v>0</v>
      </c>
      <c r="BE18" s="45">
        <f t="shared" si="9"/>
        <v>700</v>
      </c>
      <c r="BF18" s="467"/>
      <c r="BG18" s="468"/>
      <c r="BH18" s="468"/>
      <c r="BI18" s="468"/>
      <c r="BJ18" s="468"/>
      <c r="BK18" s="468"/>
      <c r="BL18" s="468"/>
      <c r="BM18" s="468"/>
      <c r="BN18" s="468"/>
      <c r="BO18" s="468"/>
      <c r="BP18" s="468"/>
      <c r="BQ18" s="468"/>
      <c r="BR18" s="468"/>
      <c r="BS18" s="468"/>
      <c r="BT18" s="468"/>
      <c r="BU18" s="468"/>
    </row>
    <row r="19" spans="1:73" s="102" customFormat="1" ht="41.25" thickBot="1" x14ac:dyDescent="0.3">
      <c r="A19" s="806"/>
      <c r="B19" s="860"/>
      <c r="C19" s="860"/>
      <c r="D19" s="617"/>
      <c r="E19" s="617"/>
      <c r="F19" s="617"/>
      <c r="G19" s="603"/>
      <c r="H19" s="603"/>
      <c r="I19" s="611"/>
      <c r="J19" s="355" t="s">
        <v>10</v>
      </c>
      <c r="K19" s="379" t="s">
        <v>11</v>
      </c>
      <c r="L19" s="46"/>
      <c r="M19" s="17">
        <v>200</v>
      </c>
      <c r="N19" s="17"/>
      <c r="O19" s="17">
        <v>50</v>
      </c>
      <c r="P19" s="17">
        <v>100</v>
      </c>
      <c r="Q19" s="17">
        <v>200</v>
      </c>
      <c r="R19" s="119"/>
      <c r="S19" s="44"/>
      <c r="T19" s="119"/>
      <c r="U19" s="44"/>
      <c r="V19" s="44"/>
      <c r="W19" s="44"/>
      <c r="X19" s="44"/>
      <c r="Y19" s="44">
        <f t="shared" si="10"/>
        <v>0</v>
      </c>
      <c r="Z19" s="44"/>
      <c r="AA19" s="44"/>
      <c r="AB19" s="44"/>
      <c r="AC19" s="3">
        <v>200</v>
      </c>
      <c r="AD19" s="44"/>
      <c r="AE19" s="44"/>
      <c r="AF19" s="44"/>
      <c r="AG19" s="44">
        <f t="shared" si="1"/>
        <v>200</v>
      </c>
      <c r="AH19" s="44"/>
      <c r="AI19" s="44"/>
      <c r="AJ19" s="44"/>
      <c r="AK19" s="44">
        <v>200</v>
      </c>
      <c r="AL19" s="44"/>
      <c r="AM19" s="44"/>
      <c r="AN19" s="44"/>
      <c r="AO19" s="44">
        <f t="shared" si="11"/>
        <v>200</v>
      </c>
      <c r="AP19" s="44"/>
      <c r="AQ19" s="44"/>
      <c r="AR19" s="44"/>
      <c r="AS19" s="3">
        <v>300</v>
      </c>
      <c r="AT19" s="75"/>
      <c r="AU19" s="44"/>
      <c r="AV19" s="44"/>
      <c r="AW19" s="44">
        <f t="shared" si="2"/>
        <v>300</v>
      </c>
      <c r="AX19" s="124">
        <f t="shared" si="0"/>
        <v>0</v>
      </c>
      <c r="AY19" s="44">
        <f t="shared" si="3"/>
        <v>0</v>
      </c>
      <c r="AZ19" s="44">
        <f t="shared" si="4"/>
        <v>0</v>
      </c>
      <c r="BA19" s="44">
        <f t="shared" si="5"/>
        <v>700</v>
      </c>
      <c r="BB19" s="44">
        <f t="shared" si="6"/>
        <v>0</v>
      </c>
      <c r="BC19" s="44">
        <f t="shared" si="7"/>
        <v>0</v>
      </c>
      <c r="BD19" s="44">
        <f t="shared" si="8"/>
        <v>0</v>
      </c>
      <c r="BE19" s="45">
        <f t="shared" si="9"/>
        <v>700</v>
      </c>
      <c r="BF19" s="467"/>
      <c r="BG19" s="468"/>
      <c r="BH19" s="468"/>
      <c r="BI19" s="468"/>
      <c r="BJ19" s="468"/>
      <c r="BK19" s="468"/>
      <c r="BL19" s="468"/>
      <c r="BM19" s="468"/>
      <c r="BN19" s="468"/>
      <c r="BO19" s="468"/>
      <c r="BP19" s="468"/>
      <c r="BQ19" s="468"/>
      <c r="BR19" s="468"/>
      <c r="BS19" s="468"/>
      <c r="BT19" s="468"/>
      <c r="BU19" s="468"/>
    </row>
    <row r="20" spans="1:73" s="102" customFormat="1" ht="54.75" thickBot="1" x14ac:dyDescent="0.3">
      <c r="A20" s="806"/>
      <c r="B20" s="860"/>
      <c r="C20" s="860"/>
      <c r="D20" s="617"/>
      <c r="E20" s="617"/>
      <c r="F20" s="617"/>
      <c r="G20" s="603"/>
      <c r="H20" s="603"/>
      <c r="I20" s="379" t="s">
        <v>12</v>
      </c>
      <c r="J20" s="355" t="s">
        <v>13</v>
      </c>
      <c r="K20" s="379" t="s">
        <v>14</v>
      </c>
      <c r="L20" s="46"/>
      <c r="M20" s="17">
        <v>150</v>
      </c>
      <c r="N20" s="17"/>
      <c r="O20" s="17">
        <v>50</v>
      </c>
      <c r="P20" s="17">
        <v>100</v>
      </c>
      <c r="Q20" s="17">
        <v>150</v>
      </c>
      <c r="R20" s="119"/>
      <c r="S20" s="44"/>
      <c r="T20" s="119"/>
      <c r="U20" s="44">
        <v>0</v>
      </c>
      <c r="V20" s="44"/>
      <c r="W20" s="44"/>
      <c r="X20" s="44"/>
      <c r="Y20" s="44">
        <f t="shared" si="10"/>
        <v>0</v>
      </c>
      <c r="Z20" s="44"/>
      <c r="AA20" s="44"/>
      <c r="AB20" s="44"/>
      <c r="AC20" s="3">
        <v>300</v>
      </c>
      <c r="AD20" s="44"/>
      <c r="AE20" s="44"/>
      <c r="AF20" s="44"/>
      <c r="AG20" s="44">
        <f t="shared" si="1"/>
        <v>300</v>
      </c>
      <c r="AH20" s="44"/>
      <c r="AI20" s="44"/>
      <c r="AJ20" s="44"/>
      <c r="AK20" s="44">
        <v>300</v>
      </c>
      <c r="AL20" s="44"/>
      <c r="AM20" s="44"/>
      <c r="AN20" s="44"/>
      <c r="AO20" s="44">
        <f t="shared" si="11"/>
        <v>300</v>
      </c>
      <c r="AP20" s="44"/>
      <c r="AQ20" s="44"/>
      <c r="AR20" s="44"/>
      <c r="AS20" s="3">
        <v>300</v>
      </c>
      <c r="AT20" s="75"/>
      <c r="AU20" s="44"/>
      <c r="AV20" s="44"/>
      <c r="AW20" s="44">
        <f t="shared" si="2"/>
        <v>300</v>
      </c>
      <c r="AX20" s="124">
        <f t="shared" ref="AX20:AX57" si="12">+R20+Z20+AH20+AP20</f>
        <v>0</v>
      </c>
      <c r="AY20" s="44">
        <f t="shared" si="3"/>
        <v>0</v>
      </c>
      <c r="AZ20" s="44">
        <f t="shared" si="4"/>
        <v>0</v>
      </c>
      <c r="BA20" s="44">
        <f t="shared" si="5"/>
        <v>900</v>
      </c>
      <c r="BB20" s="44">
        <f t="shared" si="6"/>
        <v>0</v>
      </c>
      <c r="BC20" s="44">
        <f t="shared" si="7"/>
        <v>0</v>
      </c>
      <c r="BD20" s="44">
        <f t="shared" si="8"/>
        <v>0</v>
      </c>
      <c r="BE20" s="45">
        <f t="shared" si="9"/>
        <v>900</v>
      </c>
      <c r="BF20" s="467"/>
      <c r="BG20" s="468"/>
      <c r="BH20" s="468"/>
      <c r="BI20" s="468"/>
      <c r="BJ20" s="468"/>
      <c r="BK20" s="468"/>
      <c r="BL20" s="468"/>
      <c r="BM20" s="468"/>
      <c r="BN20" s="468"/>
      <c r="BO20" s="468"/>
      <c r="BP20" s="468"/>
      <c r="BQ20" s="468"/>
      <c r="BR20" s="468"/>
      <c r="BS20" s="468"/>
      <c r="BT20" s="468"/>
      <c r="BU20" s="468"/>
    </row>
    <row r="21" spans="1:73" s="102" customFormat="1" ht="41.25" thickBot="1" x14ac:dyDescent="0.3">
      <c r="A21" s="806"/>
      <c r="B21" s="860"/>
      <c r="C21" s="860"/>
      <c r="D21" s="617"/>
      <c r="E21" s="617"/>
      <c r="F21" s="617"/>
      <c r="G21" s="603"/>
      <c r="H21" s="603"/>
      <c r="I21" s="611" t="s">
        <v>15</v>
      </c>
      <c r="J21" s="355" t="s">
        <v>16</v>
      </c>
      <c r="K21" s="379" t="s">
        <v>17</v>
      </c>
      <c r="L21" s="46"/>
      <c r="M21" s="17">
        <v>200</v>
      </c>
      <c r="N21" s="17"/>
      <c r="O21" s="17">
        <v>50</v>
      </c>
      <c r="P21" s="17">
        <v>150</v>
      </c>
      <c r="Q21" s="17">
        <v>200</v>
      </c>
      <c r="R21" s="119"/>
      <c r="S21" s="44"/>
      <c r="T21" s="119"/>
      <c r="U21" s="44">
        <v>0</v>
      </c>
      <c r="V21" s="44"/>
      <c r="W21" s="44"/>
      <c r="X21" s="44"/>
      <c r="Y21" s="44">
        <f t="shared" si="10"/>
        <v>0</v>
      </c>
      <c r="Z21" s="44"/>
      <c r="AA21" s="44"/>
      <c r="AB21" s="44"/>
      <c r="AC21" s="3">
        <v>500</v>
      </c>
      <c r="AD21" s="44"/>
      <c r="AE21" s="44"/>
      <c r="AF21" s="44"/>
      <c r="AG21" s="44">
        <v>500</v>
      </c>
      <c r="AH21" s="44"/>
      <c r="AI21" s="44"/>
      <c r="AJ21" s="44"/>
      <c r="AK21" s="44">
        <v>500</v>
      </c>
      <c r="AL21" s="44"/>
      <c r="AM21" s="44"/>
      <c r="AN21" s="44"/>
      <c r="AO21" s="44">
        <f t="shared" si="11"/>
        <v>500</v>
      </c>
      <c r="AP21" s="44"/>
      <c r="AQ21" s="44"/>
      <c r="AR21" s="44"/>
      <c r="AS21" s="3">
        <v>800</v>
      </c>
      <c r="AT21" s="75"/>
      <c r="AU21" s="44"/>
      <c r="AV21" s="44"/>
      <c r="AW21" s="44">
        <f t="shared" si="2"/>
        <v>800</v>
      </c>
      <c r="AX21" s="124">
        <f t="shared" si="12"/>
        <v>0</v>
      </c>
      <c r="AY21" s="44">
        <f t="shared" si="3"/>
        <v>0</v>
      </c>
      <c r="AZ21" s="44">
        <f t="shared" si="4"/>
        <v>0</v>
      </c>
      <c r="BA21" s="44">
        <f t="shared" si="5"/>
        <v>1800</v>
      </c>
      <c r="BB21" s="44">
        <f t="shared" si="6"/>
        <v>0</v>
      </c>
      <c r="BC21" s="44">
        <f t="shared" si="7"/>
        <v>0</v>
      </c>
      <c r="BD21" s="44">
        <f t="shared" si="8"/>
        <v>0</v>
      </c>
      <c r="BE21" s="45">
        <f t="shared" si="9"/>
        <v>1800</v>
      </c>
      <c r="BF21" s="467"/>
      <c r="BG21" s="468"/>
      <c r="BH21" s="468"/>
      <c r="BI21" s="468"/>
      <c r="BJ21" s="468"/>
      <c r="BK21" s="468"/>
      <c r="BL21" s="468"/>
      <c r="BM21" s="468"/>
      <c r="BN21" s="468"/>
      <c r="BO21" s="468"/>
      <c r="BP21" s="468"/>
      <c r="BQ21" s="468"/>
      <c r="BR21" s="468"/>
      <c r="BS21" s="468"/>
      <c r="BT21" s="468"/>
      <c r="BU21" s="468"/>
    </row>
    <row r="22" spans="1:73" s="102" customFormat="1" ht="41.25" thickBot="1" x14ac:dyDescent="0.3">
      <c r="A22" s="806"/>
      <c r="B22" s="860"/>
      <c r="C22" s="860"/>
      <c r="D22" s="617"/>
      <c r="E22" s="617"/>
      <c r="F22" s="617"/>
      <c r="G22" s="603"/>
      <c r="H22" s="603"/>
      <c r="I22" s="611"/>
      <c r="J22" s="355" t="s">
        <v>18</v>
      </c>
      <c r="K22" s="379" t="s">
        <v>19</v>
      </c>
      <c r="L22" s="46"/>
      <c r="M22" s="17">
        <v>50</v>
      </c>
      <c r="N22" s="17"/>
      <c r="O22" s="17">
        <v>10</v>
      </c>
      <c r="P22" s="17">
        <v>30</v>
      </c>
      <c r="Q22" s="17">
        <v>50</v>
      </c>
      <c r="R22" s="119"/>
      <c r="S22" s="44"/>
      <c r="T22" s="119"/>
      <c r="U22" s="44">
        <v>0</v>
      </c>
      <c r="V22" s="44"/>
      <c r="W22" s="44"/>
      <c r="X22" s="44"/>
      <c r="Y22" s="44">
        <f t="shared" si="10"/>
        <v>0</v>
      </c>
      <c r="Z22" s="44"/>
      <c r="AA22" s="44"/>
      <c r="AB22" s="44"/>
      <c r="AC22" s="3">
        <v>50</v>
      </c>
      <c r="AD22" s="44"/>
      <c r="AE22" s="44"/>
      <c r="AF22" s="44"/>
      <c r="AG22" s="44">
        <f t="shared" si="1"/>
        <v>50</v>
      </c>
      <c r="AH22" s="44"/>
      <c r="AI22" s="44"/>
      <c r="AJ22" s="44"/>
      <c r="AK22" s="44">
        <v>50</v>
      </c>
      <c r="AL22" s="44"/>
      <c r="AM22" s="44"/>
      <c r="AN22" s="44"/>
      <c r="AO22" s="44">
        <f t="shared" si="11"/>
        <v>50</v>
      </c>
      <c r="AP22" s="44"/>
      <c r="AQ22" s="44"/>
      <c r="AR22" s="44"/>
      <c r="AS22" s="3">
        <v>50</v>
      </c>
      <c r="AT22" s="75"/>
      <c r="AU22" s="44"/>
      <c r="AV22" s="44"/>
      <c r="AW22" s="44">
        <f t="shared" si="2"/>
        <v>50</v>
      </c>
      <c r="AX22" s="124">
        <f t="shared" si="12"/>
        <v>0</v>
      </c>
      <c r="AY22" s="44">
        <f t="shared" si="3"/>
        <v>0</v>
      </c>
      <c r="AZ22" s="44">
        <f t="shared" si="4"/>
        <v>0</v>
      </c>
      <c r="BA22" s="44">
        <f t="shared" si="5"/>
        <v>150</v>
      </c>
      <c r="BB22" s="44">
        <f t="shared" si="6"/>
        <v>0</v>
      </c>
      <c r="BC22" s="44">
        <f t="shared" si="7"/>
        <v>0</v>
      </c>
      <c r="BD22" s="44">
        <f t="shared" si="8"/>
        <v>0</v>
      </c>
      <c r="BE22" s="45">
        <f t="shared" si="9"/>
        <v>150</v>
      </c>
      <c r="BF22" s="467"/>
      <c r="BG22" s="468"/>
      <c r="BH22" s="468"/>
      <c r="BI22" s="468"/>
      <c r="BJ22" s="468"/>
      <c r="BK22" s="468"/>
      <c r="BL22" s="468"/>
      <c r="BM22" s="468"/>
      <c r="BN22" s="468"/>
      <c r="BO22" s="468"/>
      <c r="BP22" s="468"/>
      <c r="BQ22" s="468"/>
      <c r="BR22" s="468"/>
      <c r="BS22" s="468"/>
      <c r="BT22" s="468"/>
      <c r="BU22" s="468"/>
    </row>
    <row r="23" spans="1:73" s="102" customFormat="1" ht="27.75" thickBot="1" x14ac:dyDescent="0.3">
      <c r="A23" s="806"/>
      <c r="B23" s="860"/>
      <c r="C23" s="860"/>
      <c r="D23" s="617"/>
      <c r="E23" s="617"/>
      <c r="F23" s="617"/>
      <c r="G23" s="603"/>
      <c r="H23" s="603"/>
      <c r="I23" s="611"/>
      <c r="J23" s="355" t="s">
        <v>20</v>
      </c>
      <c r="K23" s="379" t="s">
        <v>21</v>
      </c>
      <c r="L23" s="46"/>
      <c r="M23" s="17">
        <v>100</v>
      </c>
      <c r="N23" s="17"/>
      <c r="O23" s="17">
        <v>20</v>
      </c>
      <c r="P23" s="17">
        <v>60</v>
      </c>
      <c r="Q23" s="17">
        <v>100</v>
      </c>
      <c r="R23" s="119"/>
      <c r="S23" s="44"/>
      <c r="T23" s="119"/>
      <c r="U23" s="44">
        <v>0</v>
      </c>
      <c r="V23" s="44"/>
      <c r="W23" s="44"/>
      <c r="X23" s="44"/>
      <c r="Y23" s="44">
        <f t="shared" si="10"/>
        <v>0</v>
      </c>
      <c r="Z23" s="44"/>
      <c r="AA23" s="44"/>
      <c r="AB23" s="44"/>
      <c r="AC23" s="3">
        <v>100</v>
      </c>
      <c r="AD23" s="44"/>
      <c r="AE23" s="44"/>
      <c r="AF23" s="44"/>
      <c r="AG23" s="44">
        <f t="shared" si="1"/>
        <v>100</v>
      </c>
      <c r="AH23" s="44"/>
      <c r="AI23" s="44"/>
      <c r="AJ23" s="44"/>
      <c r="AK23" s="44">
        <v>100</v>
      </c>
      <c r="AL23" s="44"/>
      <c r="AM23" s="44"/>
      <c r="AN23" s="44"/>
      <c r="AO23" s="44">
        <f t="shared" si="11"/>
        <v>100</v>
      </c>
      <c r="AP23" s="44"/>
      <c r="AQ23" s="44"/>
      <c r="AR23" s="44"/>
      <c r="AS23" s="3">
        <v>100</v>
      </c>
      <c r="AT23" s="75"/>
      <c r="AU23" s="44"/>
      <c r="AV23" s="44"/>
      <c r="AW23" s="44">
        <f t="shared" si="2"/>
        <v>100</v>
      </c>
      <c r="AX23" s="124">
        <f t="shared" si="12"/>
        <v>0</v>
      </c>
      <c r="AY23" s="44">
        <f t="shared" si="3"/>
        <v>0</v>
      </c>
      <c r="AZ23" s="44">
        <f t="shared" si="4"/>
        <v>0</v>
      </c>
      <c r="BA23" s="44">
        <f t="shared" si="5"/>
        <v>300</v>
      </c>
      <c r="BB23" s="44">
        <f t="shared" si="6"/>
        <v>0</v>
      </c>
      <c r="BC23" s="44">
        <f t="shared" si="7"/>
        <v>0</v>
      </c>
      <c r="BD23" s="44">
        <f t="shared" si="8"/>
        <v>0</v>
      </c>
      <c r="BE23" s="45">
        <f t="shared" si="9"/>
        <v>300</v>
      </c>
      <c r="BF23" s="467"/>
      <c r="BG23" s="468"/>
      <c r="BH23" s="468"/>
      <c r="BI23" s="468"/>
      <c r="BJ23" s="468"/>
      <c r="BK23" s="468"/>
      <c r="BL23" s="468"/>
      <c r="BM23" s="468"/>
      <c r="BN23" s="468"/>
      <c r="BO23" s="468"/>
      <c r="BP23" s="468"/>
      <c r="BQ23" s="468"/>
      <c r="BR23" s="468"/>
      <c r="BS23" s="468"/>
      <c r="BT23" s="468"/>
      <c r="BU23" s="468"/>
    </row>
    <row r="24" spans="1:73" s="102" customFormat="1" ht="108.75" thickBot="1" x14ac:dyDescent="0.3">
      <c r="A24" s="806"/>
      <c r="B24" s="860"/>
      <c r="C24" s="860"/>
      <c r="D24" s="617"/>
      <c r="E24" s="617"/>
      <c r="F24" s="617"/>
      <c r="G24" s="603"/>
      <c r="H24" s="603"/>
      <c r="I24" s="611" t="s">
        <v>22</v>
      </c>
      <c r="J24" s="355" t="s">
        <v>23</v>
      </c>
      <c r="K24" s="379" t="s">
        <v>24</v>
      </c>
      <c r="L24" s="46"/>
      <c r="M24" s="458">
        <v>25</v>
      </c>
      <c r="N24" s="17">
        <v>10</v>
      </c>
      <c r="O24" s="17">
        <v>15</v>
      </c>
      <c r="P24" s="17">
        <v>20</v>
      </c>
      <c r="Q24" s="17">
        <v>25</v>
      </c>
      <c r="R24" s="119"/>
      <c r="S24" s="44"/>
      <c r="T24" s="119"/>
      <c r="U24" s="44">
        <v>50</v>
      </c>
      <c r="V24" s="44">
        <v>0</v>
      </c>
      <c r="W24" s="44">
        <v>0</v>
      </c>
      <c r="X24" s="44">
        <v>0</v>
      </c>
      <c r="Y24" s="44">
        <f t="shared" si="10"/>
        <v>50</v>
      </c>
      <c r="Z24" s="44">
        <v>155</v>
      </c>
      <c r="AA24" s="44"/>
      <c r="AB24" s="44"/>
      <c r="AC24" s="3">
        <v>25</v>
      </c>
      <c r="AD24" s="44">
        <v>0</v>
      </c>
      <c r="AE24" s="44">
        <v>0</v>
      </c>
      <c r="AF24" s="44">
        <v>0</v>
      </c>
      <c r="AG24" s="44">
        <f t="shared" si="1"/>
        <v>180</v>
      </c>
      <c r="AH24" s="44">
        <v>300</v>
      </c>
      <c r="AI24" s="44">
        <v>0</v>
      </c>
      <c r="AJ24" s="44">
        <v>0</v>
      </c>
      <c r="AK24" s="44">
        <v>25</v>
      </c>
      <c r="AL24" s="44">
        <v>0</v>
      </c>
      <c r="AM24" s="44">
        <v>0</v>
      </c>
      <c r="AN24" s="44">
        <v>0</v>
      </c>
      <c r="AO24" s="44">
        <f t="shared" si="11"/>
        <v>325</v>
      </c>
      <c r="AP24" s="44">
        <v>400</v>
      </c>
      <c r="AQ24" s="44">
        <v>0</v>
      </c>
      <c r="AR24" s="44">
        <v>0</v>
      </c>
      <c r="AS24" s="3">
        <v>25</v>
      </c>
      <c r="AT24" s="119">
        <v>0</v>
      </c>
      <c r="AU24" s="44">
        <v>0</v>
      </c>
      <c r="AV24" s="44">
        <v>0</v>
      </c>
      <c r="AW24" s="44">
        <f t="shared" si="2"/>
        <v>425</v>
      </c>
      <c r="AX24" s="124">
        <f t="shared" si="12"/>
        <v>855</v>
      </c>
      <c r="AY24" s="44">
        <f t="shared" si="3"/>
        <v>0</v>
      </c>
      <c r="AZ24" s="44">
        <f t="shared" si="4"/>
        <v>0</v>
      </c>
      <c r="BA24" s="44">
        <f t="shared" si="5"/>
        <v>125</v>
      </c>
      <c r="BB24" s="44">
        <f t="shared" si="6"/>
        <v>0</v>
      </c>
      <c r="BC24" s="44">
        <f t="shared" si="7"/>
        <v>0</v>
      </c>
      <c r="BD24" s="44">
        <f t="shared" si="8"/>
        <v>0</v>
      </c>
      <c r="BE24" s="45">
        <f t="shared" si="9"/>
        <v>980</v>
      </c>
      <c r="BF24" s="467"/>
      <c r="BG24" s="468"/>
      <c r="BH24" s="468"/>
      <c r="BI24" s="468"/>
      <c r="BJ24" s="468"/>
      <c r="BK24" s="468"/>
      <c r="BL24" s="468"/>
      <c r="BM24" s="468"/>
      <c r="BN24" s="468"/>
      <c r="BO24" s="468"/>
      <c r="BP24" s="468"/>
      <c r="BQ24" s="468"/>
      <c r="BR24" s="468"/>
      <c r="BS24" s="468"/>
      <c r="BT24" s="468"/>
      <c r="BU24" s="468"/>
    </row>
    <row r="25" spans="1:73" s="102" customFormat="1" ht="29.25" customHeight="1" x14ac:dyDescent="0.25">
      <c r="A25" s="806"/>
      <c r="B25" s="860"/>
      <c r="C25" s="860"/>
      <c r="D25" s="617"/>
      <c r="E25" s="617"/>
      <c r="F25" s="617"/>
      <c r="G25" s="652"/>
      <c r="H25" s="652"/>
      <c r="I25" s="616"/>
      <c r="J25" s="566" t="s">
        <v>25</v>
      </c>
      <c r="K25" s="564" t="s">
        <v>1121</v>
      </c>
      <c r="L25" s="262"/>
      <c r="M25" s="574">
        <v>150</v>
      </c>
      <c r="N25" s="448"/>
      <c r="O25" s="448">
        <v>50</v>
      </c>
      <c r="P25" s="448">
        <v>100</v>
      </c>
      <c r="Q25" s="448">
        <v>150</v>
      </c>
      <c r="R25" s="575"/>
      <c r="S25" s="268"/>
      <c r="T25" s="575"/>
      <c r="U25" s="268"/>
      <c r="V25" s="268"/>
      <c r="W25" s="268"/>
      <c r="X25" s="268"/>
      <c r="Y25" s="268">
        <f t="shared" si="10"/>
        <v>0</v>
      </c>
      <c r="Z25" s="268"/>
      <c r="AA25" s="268"/>
      <c r="AB25" s="268"/>
      <c r="AC25" s="576"/>
      <c r="AD25" s="268"/>
      <c r="AE25" s="268"/>
      <c r="AF25" s="268">
        <v>20</v>
      </c>
      <c r="AG25" s="268">
        <f t="shared" si="1"/>
        <v>20</v>
      </c>
      <c r="AH25" s="268"/>
      <c r="AI25" s="268"/>
      <c r="AJ25" s="268"/>
      <c r="AK25" s="268"/>
      <c r="AL25" s="268"/>
      <c r="AM25" s="268"/>
      <c r="AN25" s="268">
        <v>20</v>
      </c>
      <c r="AO25" s="268">
        <f t="shared" si="11"/>
        <v>20</v>
      </c>
      <c r="AP25" s="268"/>
      <c r="AQ25" s="268"/>
      <c r="AR25" s="268"/>
      <c r="AS25" s="576"/>
      <c r="AT25" s="268"/>
      <c r="AU25" s="268"/>
      <c r="AV25" s="268"/>
      <c r="AW25" s="268">
        <f t="shared" si="2"/>
        <v>0</v>
      </c>
      <c r="AX25" s="488">
        <f t="shared" si="12"/>
        <v>0</v>
      </c>
      <c r="AY25" s="268">
        <f t="shared" si="3"/>
        <v>0</v>
      </c>
      <c r="AZ25" s="268">
        <f t="shared" si="4"/>
        <v>0</v>
      </c>
      <c r="BA25" s="268">
        <f t="shared" si="5"/>
        <v>0</v>
      </c>
      <c r="BB25" s="268">
        <f t="shared" si="6"/>
        <v>0</v>
      </c>
      <c r="BC25" s="268">
        <f t="shared" si="7"/>
        <v>0</v>
      </c>
      <c r="BD25" s="268">
        <f t="shared" si="8"/>
        <v>40</v>
      </c>
      <c r="BE25" s="577">
        <f t="shared" si="9"/>
        <v>40</v>
      </c>
      <c r="BF25" s="471"/>
      <c r="BG25" s="468"/>
      <c r="BH25" s="468"/>
      <c r="BI25" s="468"/>
      <c r="BJ25" s="468"/>
      <c r="BK25" s="468"/>
      <c r="BL25" s="468"/>
      <c r="BM25" s="468"/>
      <c r="BN25" s="468"/>
      <c r="BO25" s="468"/>
      <c r="BP25" s="468"/>
      <c r="BQ25" s="468"/>
      <c r="BR25" s="468"/>
      <c r="BS25" s="468"/>
      <c r="BT25" s="468"/>
      <c r="BU25" s="468"/>
    </row>
    <row r="26" spans="1:73" s="102" customFormat="1" ht="57" customHeight="1" x14ac:dyDescent="0.25">
      <c r="A26" s="806"/>
      <c r="B26" s="860"/>
      <c r="C26" s="860"/>
      <c r="D26" s="617"/>
      <c r="E26" s="617"/>
      <c r="F26" s="617"/>
      <c r="G26" s="566" t="s">
        <v>1549</v>
      </c>
      <c r="H26" s="566" t="s">
        <v>1550</v>
      </c>
      <c r="I26" s="564"/>
      <c r="J26" s="561" t="s">
        <v>1551</v>
      </c>
      <c r="K26" s="563" t="s">
        <v>1552</v>
      </c>
      <c r="L26" s="46">
        <v>0</v>
      </c>
      <c r="M26" s="458">
        <v>1</v>
      </c>
      <c r="N26" s="17"/>
      <c r="O26" s="17">
        <v>1</v>
      </c>
      <c r="P26" s="17"/>
      <c r="Q26" s="17"/>
      <c r="R26" s="119"/>
      <c r="S26" s="44"/>
      <c r="T26" s="119"/>
      <c r="U26" s="44"/>
      <c r="V26" s="44"/>
      <c r="W26" s="44"/>
      <c r="X26" s="44"/>
      <c r="Y26" s="44"/>
      <c r="Z26" s="44"/>
      <c r="AA26" s="44"/>
      <c r="AB26" s="44"/>
      <c r="AC26" s="3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3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71"/>
      <c r="BG26" s="468"/>
      <c r="BH26" s="468"/>
      <c r="BI26" s="468"/>
      <c r="BJ26" s="468"/>
      <c r="BK26" s="468"/>
      <c r="BL26" s="468"/>
      <c r="BM26" s="468"/>
      <c r="BN26" s="468"/>
      <c r="BO26" s="468"/>
      <c r="BP26" s="468"/>
      <c r="BQ26" s="468"/>
      <c r="BR26" s="468"/>
      <c r="BS26" s="468"/>
      <c r="BT26" s="468"/>
      <c r="BU26" s="468"/>
    </row>
    <row r="27" spans="1:73" s="102" customFormat="1" ht="87.75" customHeight="1" thickBot="1" x14ac:dyDescent="0.3">
      <c r="A27" s="806"/>
      <c r="B27" s="861"/>
      <c r="C27" s="861"/>
      <c r="D27" s="650"/>
      <c r="E27" s="650"/>
      <c r="F27" s="650"/>
      <c r="G27" s="567"/>
      <c r="H27" s="567"/>
      <c r="I27" s="565"/>
      <c r="J27" s="567" t="s">
        <v>1553</v>
      </c>
      <c r="K27" s="565" t="s">
        <v>1554</v>
      </c>
      <c r="L27" s="569">
        <v>0</v>
      </c>
      <c r="M27" s="570">
        <v>5</v>
      </c>
      <c r="N27" s="571">
        <v>1</v>
      </c>
      <c r="O27" s="571">
        <v>2</v>
      </c>
      <c r="P27" s="571">
        <v>3</v>
      </c>
      <c r="Q27" s="571">
        <v>5</v>
      </c>
      <c r="R27" s="572"/>
      <c r="S27" s="444"/>
      <c r="T27" s="572"/>
      <c r="U27" s="444"/>
      <c r="V27" s="444"/>
      <c r="W27" s="444"/>
      <c r="X27" s="444"/>
      <c r="Y27" s="444"/>
      <c r="Z27" s="444"/>
      <c r="AA27" s="444"/>
      <c r="AB27" s="444"/>
      <c r="AC27" s="573"/>
      <c r="AD27" s="444"/>
      <c r="AE27" s="444"/>
      <c r="AF27" s="444"/>
      <c r="AG27" s="444"/>
      <c r="AH27" s="444"/>
      <c r="AI27" s="444"/>
      <c r="AJ27" s="444"/>
      <c r="AK27" s="444"/>
      <c r="AL27" s="444"/>
      <c r="AM27" s="444"/>
      <c r="AN27" s="444"/>
      <c r="AO27" s="444"/>
      <c r="AP27" s="444"/>
      <c r="AQ27" s="444"/>
      <c r="AR27" s="444"/>
      <c r="AS27" s="573"/>
      <c r="AT27" s="444"/>
      <c r="AU27" s="444"/>
      <c r="AV27" s="444"/>
      <c r="AW27" s="444"/>
      <c r="AX27" s="310"/>
      <c r="AY27" s="444"/>
      <c r="AZ27" s="444"/>
      <c r="BA27" s="444"/>
      <c r="BB27" s="444"/>
      <c r="BC27" s="444"/>
      <c r="BD27" s="444"/>
      <c r="BE27" s="444"/>
      <c r="BF27" s="471"/>
      <c r="BG27" s="468"/>
      <c r="BH27" s="468"/>
      <c r="BI27" s="468"/>
      <c r="BJ27" s="468"/>
      <c r="BK27" s="468"/>
      <c r="BL27" s="468"/>
      <c r="BM27" s="468"/>
      <c r="BN27" s="468"/>
      <c r="BO27" s="468"/>
      <c r="BP27" s="468"/>
      <c r="BQ27" s="468"/>
      <c r="BR27" s="468"/>
      <c r="BS27" s="468"/>
      <c r="BT27" s="468"/>
      <c r="BU27" s="468"/>
    </row>
    <row r="28" spans="1:73" s="172" customFormat="1" ht="95.25" thickBot="1" x14ac:dyDescent="0.3">
      <c r="A28" s="806"/>
      <c r="B28" s="832" t="s">
        <v>915</v>
      </c>
      <c r="C28" s="832" t="s">
        <v>916</v>
      </c>
      <c r="D28" s="811"/>
      <c r="E28" s="811"/>
      <c r="F28" s="811"/>
      <c r="G28" s="852" t="s">
        <v>1122</v>
      </c>
      <c r="H28" s="852" t="s">
        <v>1124</v>
      </c>
      <c r="I28" s="811"/>
      <c r="J28" s="180" t="s">
        <v>1125</v>
      </c>
      <c r="K28" s="181" t="s">
        <v>1238</v>
      </c>
      <c r="L28" s="381" t="s">
        <v>1239</v>
      </c>
      <c r="M28" s="381">
        <v>10</v>
      </c>
      <c r="N28" s="851">
        <v>10</v>
      </c>
      <c r="O28" s="851"/>
      <c r="P28" s="851"/>
      <c r="Q28" s="851"/>
      <c r="R28" s="182"/>
      <c r="S28" s="183"/>
      <c r="T28" s="182"/>
      <c r="U28" s="183"/>
      <c r="V28" s="183"/>
      <c r="W28" s="183">
        <v>1500</v>
      </c>
      <c r="X28" s="183"/>
      <c r="Y28" s="44">
        <f t="shared" si="10"/>
        <v>1500</v>
      </c>
      <c r="Z28" s="183"/>
      <c r="AA28" s="183"/>
      <c r="AB28" s="183"/>
      <c r="AC28" s="122"/>
      <c r="AD28" s="183"/>
      <c r="AE28" s="183"/>
      <c r="AF28" s="183"/>
      <c r="AG28" s="124">
        <f t="shared" si="1"/>
        <v>0</v>
      </c>
      <c r="AH28" s="183"/>
      <c r="AI28" s="183"/>
      <c r="AJ28" s="183"/>
      <c r="AK28" s="183"/>
      <c r="AL28" s="183"/>
      <c r="AM28" s="183"/>
      <c r="AN28" s="183"/>
      <c r="AO28" s="124">
        <f t="shared" si="11"/>
        <v>0</v>
      </c>
      <c r="AP28" s="183"/>
      <c r="AQ28" s="183"/>
      <c r="AR28" s="183"/>
      <c r="AS28" s="122"/>
      <c r="AT28" s="183"/>
      <c r="AU28" s="183">
        <v>1500</v>
      </c>
      <c r="AV28" s="183"/>
      <c r="AW28" s="44">
        <f t="shared" si="2"/>
        <v>1500</v>
      </c>
      <c r="AX28" s="124">
        <f t="shared" si="12"/>
        <v>0</v>
      </c>
      <c r="AY28" s="124">
        <f t="shared" si="3"/>
        <v>0</v>
      </c>
      <c r="AZ28" s="124">
        <f t="shared" si="4"/>
        <v>0</v>
      </c>
      <c r="BA28" s="124">
        <f t="shared" si="5"/>
        <v>0</v>
      </c>
      <c r="BB28" s="124">
        <f t="shared" si="6"/>
        <v>0</v>
      </c>
      <c r="BC28" s="124">
        <f t="shared" si="6"/>
        <v>3000</v>
      </c>
      <c r="BD28" s="124">
        <f t="shared" si="8"/>
        <v>0</v>
      </c>
      <c r="BE28" s="124">
        <f t="shared" si="8"/>
        <v>3000</v>
      </c>
      <c r="BF28" s="174"/>
    </row>
    <row r="29" spans="1:73" ht="54.75" thickBot="1" x14ac:dyDescent="0.3">
      <c r="A29" s="806"/>
      <c r="B29" s="810"/>
      <c r="C29" s="810"/>
      <c r="D29" s="808"/>
      <c r="E29" s="808"/>
      <c r="F29" s="808"/>
      <c r="G29" s="643"/>
      <c r="H29" s="643"/>
      <c r="I29" s="808"/>
      <c r="J29" s="173" t="s">
        <v>1126</v>
      </c>
      <c r="K29" s="74" t="s">
        <v>1127</v>
      </c>
      <c r="L29" s="76">
        <v>2</v>
      </c>
      <c r="M29" s="76">
        <v>18</v>
      </c>
      <c r="N29" s="76">
        <v>2</v>
      </c>
      <c r="O29" s="76">
        <v>6</v>
      </c>
      <c r="P29" s="76">
        <v>12</v>
      </c>
      <c r="Q29" s="76">
        <v>18</v>
      </c>
      <c r="R29" s="119"/>
      <c r="S29" s="77"/>
      <c r="T29" s="119"/>
      <c r="U29" s="77">
        <v>50</v>
      </c>
      <c r="V29" s="77"/>
      <c r="W29" s="77"/>
      <c r="X29" s="77">
        <v>20</v>
      </c>
      <c r="Y29" s="44">
        <f t="shared" si="10"/>
        <v>70</v>
      </c>
      <c r="Z29" s="77">
        <v>50</v>
      </c>
      <c r="AA29" s="77"/>
      <c r="AB29" s="77"/>
      <c r="AC29" s="3">
        <v>40</v>
      </c>
      <c r="AD29" s="77"/>
      <c r="AE29" s="77"/>
      <c r="AF29" s="77"/>
      <c r="AG29" s="44">
        <f t="shared" si="1"/>
        <v>90</v>
      </c>
      <c r="AH29" s="77">
        <v>50</v>
      </c>
      <c r="AI29" s="77"/>
      <c r="AJ29" s="77"/>
      <c r="AK29" s="77">
        <v>40</v>
      </c>
      <c r="AL29" s="77"/>
      <c r="AM29" s="77"/>
      <c r="AN29" s="77"/>
      <c r="AO29" s="44">
        <f t="shared" si="11"/>
        <v>90</v>
      </c>
      <c r="AP29" s="77">
        <v>50</v>
      </c>
      <c r="AQ29" s="77"/>
      <c r="AR29" s="77"/>
      <c r="AS29" s="3">
        <v>40</v>
      </c>
      <c r="AT29" s="77"/>
      <c r="AU29" s="77"/>
      <c r="AV29" s="77">
        <v>30</v>
      </c>
      <c r="AW29" s="44">
        <f t="shared" si="2"/>
        <v>120</v>
      </c>
      <c r="AX29" s="124">
        <f t="shared" si="12"/>
        <v>150</v>
      </c>
      <c r="AY29" s="44">
        <f t="shared" si="3"/>
        <v>0</v>
      </c>
      <c r="AZ29" s="44">
        <f t="shared" si="4"/>
        <v>0</v>
      </c>
      <c r="BA29" s="44">
        <f t="shared" si="5"/>
        <v>170</v>
      </c>
      <c r="BB29" s="44">
        <f t="shared" si="6"/>
        <v>0</v>
      </c>
      <c r="BC29" s="44">
        <f t="shared" si="7"/>
        <v>0</v>
      </c>
      <c r="BD29" s="44">
        <f t="shared" si="8"/>
        <v>50</v>
      </c>
      <c r="BE29" s="45">
        <f t="shared" si="9"/>
        <v>370</v>
      </c>
      <c r="BF29" s="174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</row>
    <row r="30" spans="1:73" ht="68.25" thickBot="1" x14ac:dyDescent="0.3">
      <c r="A30" s="806"/>
      <c r="B30" s="810"/>
      <c r="C30" s="810"/>
      <c r="D30" s="808"/>
      <c r="E30" s="808"/>
      <c r="F30" s="808"/>
      <c r="G30" s="643"/>
      <c r="H30" s="643"/>
      <c r="I30" s="808"/>
      <c r="J30" s="173" t="s">
        <v>1240</v>
      </c>
      <c r="K30" s="74" t="s">
        <v>1128</v>
      </c>
      <c r="L30" s="76">
        <v>2</v>
      </c>
      <c r="M30" s="76">
        <v>135</v>
      </c>
      <c r="N30" s="76">
        <v>20</v>
      </c>
      <c r="O30" s="76">
        <v>45</v>
      </c>
      <c r="P30" s="76">
        <v>85</v>
      </c>
      <c r="Q30" s="76">
        <v>135</v>
      </c>
      <c r="R30" s="119"/>
      <c r="S30" s="77"/>
      <c r="T30" s="119"/>
      <c r="U30" s="77"/>
      <c r="V30" s="77"/>
      <c r="W30" s="77">
        <v>35162</v>
      </c>
      <c r="X30" s="77"/>
      <c r="Y30" s="44">
        <f t="shared" si="10"/>
        <v>35162</v>
      </c>
      <c r="Z30" s="77"/>
      <c r="AA30" s="77"/>
      <c r="AB30" s="77"/>
      <c r="AC30" s="3"/>
      <c r="AD30" s="77"/>
      <c r="AE30" s="77">
        <v>28712</v>
      </c>
      <c r="AF30" s="77"/>
      <c r="AG30" s="44">
        <f t="shared" si="1"/>
        <v>28712</v>
      </c>
      <c r="AH30" s="77"/>
      <c r="AI30" s="77"/>
      <c r="AJ30" s="77"/>
      <c r="AK30" s="77"/>
      <c r="AL30" s="77"/>
      <c r="AM30" s="77">
        <v>30212</v>
      </c>
      <c r="AN30" s="77"/>
      <c r="AO30" s="44">
        <f t="shared" si="11"/>
        <v>30212</v>
      </c>
      <c r="AP30" s="77"/>
      <c r="AQ30" s="77"/>
      <c r="AR30" s="77"/>
      <c r="AS30" s="3"/>
      <c r="AT30" s="77"/>
      <c r="AU30" s="77">
        <v>30212</v>
      </c>
      <c r="AV30" s="77"/>
      <c r="AW30" s="44">
        <f t="shared" si="2"/>
        <v>30212</v>
      </c>
      <c r="AX30" s="124">
        <f t="shared" si="12"/>
        <v>0</v>
      </c>
      <c r="AY30" s="44">
        <f t="shared" si="3"/>
        <v>0</v>
      </c>
      <c r="AZ30" s="44">
        <f t="shared" si="4"/>
        <v>0</v>
      </c>
      <c r="BA30" s="44">
        <f t="shared" si="5"/>
        <v>0</v>
      </c>
      <c r="BB30" s="44">
        <f t="shared" si="6"/>
        <v>0</v>
      </c>
      <c r="BC30" s="44">
        <f t="shared" si="7"/>
        <v>124298</v>
      </c>
      <c r="BD30" s="44">
        <f t="shared" si="8"/>
        <v>0</v>
      </c>
      <c r="BE30" s="45">
        <f t="shared" si="9"/>
        <v>124298</v>
      </c>
      <c r="BF30" s="174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172"/>
      <c r="BS30" s="172"/>
      <c r="BT30" s="172"/>
      <c r="BU30" s="172"/>
    </row>
    <row r="31" spans="1:73" ht="108.75" thickBot="1" x14ac:dyDescent="0.3">
      <c r="A31" s="806"/>
      <c r="B31" s="810"/>
      <c r="C31" s="810"/>
      <c r="D31" s="808"/>
      <c r="E31" s="808"/>
      <c r="F31" s="808"/>
      <c r="G31" s="643"/>
      <c r="H31" s="643"/>
      <c r="I31" s="808"/>
      <c r="J31" s="173" t="s">
        <v>1129</v>
      </c>
      <c r="K31" s="74" t="s">
        <v>1130</v>
      </c>
      <c r="L31" s="76" t="s">
        <v>1241</v>
      </c>
      <c r="M31" s="76">
        <v>130</v>
      </c>
      <c r="N31" s="76">
        <v>25</v>
      </c>
      <c r="O31" s="76">
        <v>55</v>
      </c>
      <c r="P31" s="76">
        <v>90</v>
      </c>
      <c r="Q31" s="76">
        <v>130</v>
      </c>
      <c r="R31" s="119"/>
      <c r="S31" s="77"/>
      <c r="T31" s="119"/>
      <c r="U31" s="77"/>
      <c r="V31" s="77"/>
      <c r="W31" s="77"/>
      <c r="X31" s="77">
        <v>200</v>
      </c>
      <c r="Y31" s="44">
        <f t="shared" si="10"/>
        <v>200</v>
      </c>
      <c r="Z31" s="77"/>
      <c r="AA31" s="77"/>
      <c r="AB31" s="77"/>
      <c r="AC31" s="3"/>
      <c r="AD31" s="77"/>
      <c r="AE31" s="77"/>
      <c r="AF31" s="77">
        <v>250</v>
      </c>
      <c r="AG31" s="44">
        <f t="shared" si="1"/>
        <v>250</v>
      </c>
      <c r="AH31" s="77"/>
      <c r="AI31" s="77"/>
      <c r="AJ31" s="77"/>
      <c r="AK31" s="77"/>
      <c r="AL31" s="77"/>
      <c r="AM31" s="77"/>
      <c r="AN31" s="77">
        <v>250</v>
      </c>
      <c r="AO31" s="44">
        <f t="shared" si="11"/>
        <v>250</v>
      </c>
      <c r="AP31" s="77"/>
      <c r="AQ31" s="77"/>
      <c r="AR31" s="77"/>
      <c r="AS31" s="3"/>
      <c r="AT31" s="77"/>
      <c r="AU31" s="77"/>
      <c r="AV31" s="77">
        <v>280</v>
      </c>
      <c r="AW31" s="44">
        <f t="shared" si="2"/>
        <v>280</v>
      </c>
      <c r="AX31" s="124">
        <f t="shared" si="12"/>
        <v>0</v>
      </c>
      <c r="AY31" s="44">
        <f t="shared" si="3"/>
        <v>0</v>
      </c>
      <c r="AZ31" s="44">
        <f t="shared" si="4"/>
        <v>0</v>
      </c>
      <c r="BA31" s="44">
        <f t="shared" si="5"/>
        <v>0</v>
      </c>
      <c r="BB31" s="44">
        <f t="shared" si="6"/>
        <v>0</v>
      </c>
      <c r="BC31" s="44">
        <f t="shared" si="7"/>
        <v>0</v>
      </c>
      <c r="BD31" s="44">
        <f t="shared" si="8"/>
        <v>980</v>
      </c>
      <c r="BE31" s="45">
        <f t="shared" si="9"/>
        <v>980</v>
      </c>
      <c r="BF31" s="174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</row>
    <row r="32" spans="1:73" ht="68.25" thickBot="1" x14ac:dyDescent="0.3">
      <c r="A32" s="806"/>
      <c r="B32" s="810"/>
      <c r="C32" s="810"/>
      <c r="D32" s="808"/>
      <c r="E32" s="808"/>
      <c r="F32" s="808"/>
      <c r="G32" s="173" t="s">
        <v>1131</v>
      </c>
      <c r="H32" s="173" t="s">
        <v>1132</v>
      </c>
      <c r="I32" s="74"/>
      <c r="J32" s="173" t="s">
        <v>1133</v>
      </c>
      <c r="K32" s="74" t="s">
        <v>1134</v>
      </c>
      <c r="L32" s="76" t="s">
        <v>537</v>
      </c>
      <c r="M32" s="472">
        <v>49</v>
      </c>
      <c r="N32" s="473">
        <v>4</v>
      </c>
      <c r="O32" s="473">
        <v>14</v>
      </c>
      <c r="P32" s="473">
        <v>29</v>
      </c>
      <c r="Q32" s="473">
        <v>49</v>
      </c>
      <c r="R32" s="119"/>
      <c r="S32" s="77"/>
      <c r="T32" s="119"/>
      <c r="U32" s="77"/>
      <c r="V32" s="77"/>
      <c r="W32" s="77"/>
      <c r="X32" s="77"/>
      <c r="Y32" s="44">
        <f t="shared" si="10"/>
        <v>0</v>
      </c>
      <c r="Z32" s="77"/>
      <c r="AA32" s="77"/>
      <c r="AB32" s="77"/>
      <c r="AC32" s="3"/>
      <c r="AD32" s="77"/>
      <c r="AE32" s="77"/>
      <c r="AF32" s="77"/>
      <c r="AG32" s="44">
        <f t="shared" si="1"/>
        <v>0</v>
      </c>
      <c r="AH32" s="77"/>
      <c r="AI32" s="77"/>
      <c r="AJ32" s="77"/>
      <c r="AK32" s="77"/>
      <c r="AL32" s="77"/>
      <c r="AM32" s="77"/>
      <c r="AN32" s="77"/>
      <c r="AO32" s="44">
        <f t="shared" si="11"/>
        <v>0</v>
      </c>
      <c r="AP32" s="77"/>
      <c r="AQ32" s="77"/>
      <c r="AR32" s="77"/>
      <c r="AS32" s="3"/>
      <c r="AT32" s="77"/>
      <c r="AU32" s="77"/>
      <c r="AV32" s="77"/>
      <c r="AW32" s="44">
        <f t="shared" si="2"/>
        <v>0</v>
      </c>
      <c r="AX32" s="124">
        <f t="shared" si="12"/>
        <v>0</v>
      </c>
      <c r="AY32" s="44">
        <f t="shared" si="3"/>
        <v>0</v>
      </c>
      <c r="AZ32" s="44">
        <f t="shared" si="4"/>
        <v>0</v>
      </c>
      <c r="BA32" s="44">
        <f t="shared" si="5"/>
        <v>0</v>
      </c>
      <c r="BB32" s="44">
        <f t="shared" si="6"/>
        <v>0</v>
      </c>
      <c r="BC32" s="44">
        <f t="shared" si="7"/>
        <v>0</v>
      </c>
      <c r="BD32" s="44">
        <f t="shared" si="8"/>
        <v>0</v>
      </c>
      <c r="BE32" s="45">
        <f t="shared" si="9"/>
        <v>0</v>
      </c>
      <c r="BF32" s="174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</row>
    <row r="33" spans="1:73" ht="81.75" thickBot="1" x14ac:dyDescent="0.3">
      <c r="A33" s="806"/>
      <c r="B33" s="810"/>
      <c r="C33" s="810"/>
      <c r="D33" s="808"/>
      <c r="E33" s="808"/>
      <c r="F33" s="808"/>
      <c r="G33" s="643" t="s">
        <v>1136</v>
      </c>
      <c r="H33" s="643" t="s">
        <v>1137</v>
      </c>
      <c r="I33" s="643"/>
      <c r="J33" s="173" t="s">
        <v>1138</v>
      </c>
      <c r="K33" s="74" t="s">
        <v>1139</v>
      </c>
      <c r="L33" s="76" t="s">
        <v>537</v>
      </c>
      <c r="M33" s="472">
        <v>8</v>
      </c>
      <c r="N33" s="473">
        <v>2</v>
      </c>
      <c r="O33" s="473">
        <v>4</v>
      </c>
      <c r="P33" s="473">
        <v>6</v>
      </c>
      <c r="Q33" s="473">
        <v>8</v>
      </c>
      <c r="R33" s="119"/>
      <c r="S33" s="77"/>
      <c r="T33" s="119"/>
      <c r="U33" s="77"/>
      <c r="V33" s="77"/>
      <c r="W33" s="77"/>
      <c r="X33" s="77">
        <v>300</v>
      </c>
      <c r="Y33" s="44">
        <f t="shared" si="10"/>
        <v>300</v>
      </c>
      <c r="Z33" s="77"/>
      <c r="AA33" s="77"/>
      <c r="AB33" s="77"/>
      <c r="AC33" s="3"/>
      <c r="AD33" s="77"/>
      <c r="AE33" s="77"/>
      <c r="AF33" s="77">
        <v>360</v>
      </c>
      <c r="AG33" s="44">
        <f t="shared" si="1"/>
        <v>360</v>
      </c>
      <c r="AH33" s="77"/>
      <c r="AI33" s="77"/>
      <c r="AJ33" s="77"/>
      <c r="AK33" s="77"/>
      <c r="AL33" s="77"/>
      <c r="AM33" s="77"/>
      <c r="AN33" s="77">
        <v>400</v>
      </c>
      <c r="AO33" s="44">
        <f t="shared" si="11"/>
        <v>400</v>
      </c>
      <c r="AP33" s="77"/>
      <c r="AQ33" s="77"/>
      <c r="AR33" s="77"/>
      <c r="AS33" s="3"/>
      <c r="AT33" s="77"/>
      <c r="AU33" s="77"/>
      <c r="AV33" s="77">
        <v>440</v>
      </c>
      <c r="AW33" s="44">
        <f t="shared" si="2"/>
        <v>440</v>
      </c>
      <c r="AX33" s="124">
        <f t="shared" si="12"/>
        <v>0</v>
      </c>
      <c r="AY33" s="44">
        <f t="shared" si="3"/>
        <v>0</v>
      </c>
      <c r="AZ33" s="44">
        <f t="shared" si="4"/>
        <v>0</v>
      </c>
      <c r="BA33" s="44">
        <f t="shared" si="5"/>
        <v>0</v>
      </c>
      <c r="BB33" s="44">
        <f t="shared" si="6"/>
        <v>0</v>
      </c>
      <c r="BC33" s="44">
        <f t="shared" si="7"/>
        <v>0</v>
      </c>
      <c r="BD33" s="44">
        <f t="shared" si="8"/>
        <v>1500</v>
      </c>
      <c r="BE33" s="45">
        <f t="shared" si="9"/>
        <v>1500</v>
      </c>
      <c r="BF33" s="174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</row>
    <row r="34" spans="1:73" ht="68.25" thickBot="1" x14ac:dyDescent="0.3">
      <c r="A34" s="806"/>
      <c r="B34" s="833"/>
      <c r="C34" s="833"/>
      <c r="D34" s="812"/>
      <c r="E34" s="812"/>
      <c r="F34" s="812"/>
      <c r="G34" s="644"/>
      <c r="H34" s="644"/>
      <c r="I34" s="644"/>
      <c r="J34" s="474" t="s">
        <v>1140</v>
      </c>
      <c r="K34" s="475" t="s">
        <v>1141</v>
      </c>
      <c r="L34" s="476"/>
      <c r="M34" s="477">
        <v>3</v>
      </c>
      <c r="N34" s="478">
        <v>1</v>
      </c>
      <c r="O34" s="478">
        <v>2</v>
      </c>
      <c r="P34" s="478">
        <v>3</v>
      </c>
      <c r="Q34" s="478"/>
      <c r="R34" s="470"/>
      <c r="S34" s="479"/>
      <c r="T34" s="470"/>
      <c r="U34" s="479"/>
      <c r="V34" s="479"/>
      <c r="W34" s="479">
        <v>1500</v>
      </c>
      <c r="X34" s="479"/>
      <c r="Y34" s="123">
        <f t="shared" si="10"/>
        <v>1500</v>
      </c>
      <c r="Z34" s="479"/>
      <c r="AA34" s="479"/>
      <c r="AB34" s="479"/>
      <c r="AC34" s="132"/>
      <c r="AD34" s="479"/>
      <c r="AE34" s="479">
        <v>1500</v>
      </c>
      <c r="AF34" s="479"/>
      <c r="AG34" s="123">
        <f t="shared" si="1"/>
        <v>1500</v>
      </c>
      <c r="AH34" s="479"/>
      <c r="AI34" s="479"/>
      <c r="AJ34" s="479"/>
      <c r="AK34" s="479"/>
      <c r="AL34" s="479"/>
      <c r="AM34" s="479">
        <v>1500</v>
      </c>
      <c r="AN34" s="479"/>
      <c r="AO34" s="123">
        <f t="shared" si="11"/>
        <v>1500</v>
      </c>
      <c r="AP34" s="479"/>
      <c r="AQ34" s="479"/>
      <c r="AR34" s="479"/>
      <c r="AS34" s="132"/>
      <c r="AT34" s="479"/>
      <c r="AU34" s="479"/>
      <c r="AV34" s="479"/>
      <c r="AW34" s="123">
        <f t="shared" si="2"/>
        <v>0</v>
      </c>
      <c r="AX34" s="124">
        <f t="shared" si="12"/>
        <v>0</v>
      </c>
      <c r="AY34" s="123">
        <f t="shared" si="3"/>
        <v>0</v>
      </c>
      <c r="AZ34" s="123">
        <f t="shared" si="4"/>
        <v>0</v>
      </c>
      <c r="BA34" s="123">
        <f t="shared" si="5"/>
        <v>0</v>
      </c>
      <c r="BB34" s="123">
        <f t="shared" si="6"/>
        <v>0</v>
      </c>
      <c r="BC34" s="123">
        <f t="shared" si="7"/>
        <v>4500</v>
      </c>
      <c r="BD34" s="123">
        <f t="shared" si="8"/>
        <v>0</v>
      </c>
      <c r="BE34" s="199">
        <f t="shared" si="9"/>
        <v>4500</v>
      </c>
      <c r="BF34" s="174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</row>
    <row r="35" spans="1:73" ht="54" customHeight="1" thickBot="1" x14ac:dyDescent="0.3">
      <c r="A35" s="806"/>
      <c r="B35" s="832" t="s">
        <v>917</v>
      </c>
      <c r="C35" s="832" t="s">
        <v>918</v>
      </c>
      <c r="D35" s="811"/>
      <c r="E35" s="811"/>
      <c r="F35" s="811"/>
      <c r="G35" s="180" t="s">
        <v>1142</v>
      </c>
      <c r="H35" s="180" t="s">
        <v>1143</v>
      </c>
      <c r="I35" s="181"/>
      <c r="J35" s="180" t="s">
        <v>1242</v>
      </c>
      <c r="K35" s="181" t="s">
        <v>1243</v>
      </c>
      <c r="L35" s="381">
        <v>0</v>
      </c>
      <c r="M35" s="381">
        <v>30</v>
      </c>
      <c r="N35" s="381">
        <v>3</v>
      </c>
      <c r="O35" s="381">
        <v>15</v>
      </c>
      <c r="P35" s="381">
        <v>25</v>
      </c>
      <c r="Q35" s="381">
        <v>30</v>
      </c>
      <c r="R35" s="182"/>
      <c r="S35" s="183"/>
      <c r="T35" s="182"/>
      <c r="U35" s="183"/>
      <c r="V35" s="183"/>
      <c r="W35" s="183"/>
      <c r="X35" s="183"/>
      <c r="Y35" s="124">
        <f t="shared" si="10"/>
        <v>0</v>
      </c>
      <c r="Z35" s="183"/>
      <c r="AA35" s="183"/>
      <c r="AB35" s="183"/>
      <c r="AC35" s="122"/>
      <c r="AD35" s="183"/>
      <c r="AE35" s="183"/>
      <c r="AF35" s="183"/>
      <c r="AG35" s="124">
        <f t="shared" si="1"/>
        <v>0</v>
      </c>
      <c r="AH35" s="183"/>
      <c r="AI35" s="183"/>
      <c r="AJ35" s="183"/>
      <c r="AK35" s="183"/>
      <c r="AL35" s="183"/>
      <c r="AM35" s="183"/>
      <c r="AN35" s="183"/>
      <c r="AO35" s="124">
        <f t="shared" si="11"/>
        <v>0</v>
      </c>
      <c r="AP35" s="183"/>
      <c r="AQ35" s="183"/>
      <c r="AR35" s="183"/>
      <c r="AS35" s="122"/>
      <c r="AT35" s="183"/>
      <c r="AU35" s="183"/>
      <c r="AV35" s="183"/>
      <c r="AW35" s="124">
        <f t="shared" si="2"/>
        <v>0</v>
      </c>
      <c r="AX35" s="124">
        <f t="shared" si="12"/>
        <v>0</v>
      </c>
      <c r="AY35" s="124">
        <f t="shared" si="3"/>
        <v>0</v>
      </c>
      <c r="AZ35" s="124">
        <f t="shared" si="4"/>
        <v>0</v>
      </c>
      <c r="BA35" s="124">
        <f t="shared" si="5"/>
        <v>0</v>
      </c>
      <c r="BB35" s="124">
        <f t="shared" si="6"/>
        <v>0</v>
      </c>
      <c r="BC35" s="124">
        <f t="shared" si="7"/>
        <v>0</v>
      </c>
      <c r="BD35" s="124">
        <f t="shared" si="8"/>
        <v>0</v>
      </c>
      <c r="BE35" s="277">
        <f t="shared" si="9"/>
        <v>0</v>
      </c>
      <c r="BF35" s="174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</row>
    <row r="36" spans="1:73" ht="27" customHeight="1" thickBot="1" x14ac:dyDescent="0.3">
      <c r="A36" s="806"/>
      <c r="B36" s="810"/>
      <c r="C36" s="810"/>
      <c r="D36" s="808"/>
      <c r="E36" s="808"/>
      <c r="F36" s="808"/>
      <c r="G36" s="643" t="s">
        <v>1144</v>
      </c>
      <c r="H36" s="643" t="s">
        <v>1145</v>
      </c>
      <c r="I36" s="808"/>
      <c r="J36" s="173" t="s">
        <v>1244</v>
      </c>
      <c r="K36" s="74" t="s">
        <v>1245</v>
      </c>
      <c r="L36" s="76">
        <v>0</v>
      </c>
      <c r="M36" s="76">
        <v>1</v>
      </c>
      <c r="N36" s="76"/>
      <c r="O36" s="76">
        <v>1</v>
      </c>
      <c r="P36" s="76">
        <v>1</v>
      </c>
      <c r="Q36" s="76">
        <v>1</v>
      </c>
      <c r="R36" s="119"/>
      <c r="S36" s="77"/>
      <c r="T36" s="119"/>
      <c r="U36" s="77"/>
      <c r="V36" s="77"/>
      <c r="W36" s="77"/>
      <c r="X36" s="77"/>
      <c r="Y36" s="44">
        <f t="shared" si="10"/>
        <v>0</v>
      </c>
      <c r="Z36" s="77"/>
      <c r="AA36" s="77"/>
      <c r="AB36" s="77"/>
      <c r="AC36" s="3">
        <v>220</v>
      </c>
      <c r="AD36" s="77"/>
      <c r="AE36" s="77">
        <v>150</v>
      </c>
      <c r="AF36" s="77"/>
      <c r="AG36" s="44">
        <f t="shared" si="1"/>
        <v>370</v>
      </c>
      <c r="AH36" s="77">
        <v>30</v>
      </c>
      <c r="AI36" s="77"/>
      <c r="AJ36" s="77"/>
      <c r="AK36" s="77"/>
      <c r="AL36" s="77"/>
      <c r="AM36" s="77"/>
      <c r="AN36" s="77"/>
      <c r="AO36" s="44">
        <f t="shared" si="11"/>
        <v>30</v>
      </c>
      <c r="AP36" s="77">
        <v>30</v>
      </c>
      <c r="AQ36" s="77"/>
      <c r="AR36" s="77"/>
      <c r="AS36" s="3"/>
      <c r="AT36" s="77"/>
      <c r="AU36" s="77"/>
      <c r="AV36" s="77"/>
      <c r="AW36" s="44">
        <f t="shared" si="2"/>
        <v>30</v>
      </c>
      <c r="AX36" s="124">
        <f t="shared" si="12"/>
        <v>60</v>
      </c>
      <c r="AY36" s="44">
        <f t="shared" si="3"/>
        <v>0</v>
      </c>
      <c r="AZ36" s="44">
        <f t="shared" si="4"/>
        <v>0</v>
      </c>
      <c r="BA36" s="44">
        <f t="shared" si="5"/>
        <v>220</v>
      </c>
      <c r="BB36" s="44">
        <f t="shared" si="6"/>
        <v>0</v>
      </c>
      <c r="BC36" s="44">
        <f t="shared" si="7"/>
        <v>150</v>
      </c>
      <c r="BD36" s="44">
        <f t="shared" si="8"/>
        <v>0</v>
      </c>
      <c r="BE36" s="45">
        <f t="shared" si="9"/>
        <v>430</v>
      </c>
      <c r="BF36" s="174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</row>
    <row r="37" spans="1:73" ht="81.75" thickBot="1" x14ac:dyDescent="0.3">
      <c r="A37" s="806"/>
      <c r="B37" s="810"/>
      <c r="C37" s="810"/>
      <c r="D37" s="808"/>
      <c r="E37" s="808"/>
      <c r="F37" s="808"/>
      <c r="G37" s="643"/>
      <c r="H37" s="643"/>
      <c r="I37" s="808"/>
      <c r="J37" s="173" t="s">
        <v>1246</v>
      </c>
      <c r="K37" s="74" t="s">
        <v>1247</v>
      </c>
      <c r="L37" s="76">
        <v>0</v>
      </c>
      <c r="M37" s="76">
        <v>3</v>
      </c>
      <c r="N37" s="76"/>
      <c r="O37" s="76">
        <v>1</v>
      </c>
      <c r="P37" s="76">
        <v>2</v>
      </c>
      <c r="Q37" s="76">
        <v>3</v>
      </c>
      <c r="R37" s="119"/>
      <c r="S37" s="77"/>
      <c r="T37" s="119"/>
      <c r="U37" s="77"/>
      <c r="V37" s="77"/>
      <c r="W37" s="77"/>
      <c r="X37" s="77"/>
      <c r="Y37" s="44">
        <f t="shared" si="10"/>
        <v>0</v>
      </c>
      <c r="Z37" s="77">
        <v>25</v>
      </c>
      <c r="AA37" s="77"/>
      <c r="AB37" s="77"/>
      <c r="AC37" s="3"/>
      <c r="AD37" s="77"/>
      <c r="AE37" s="77"/>
      <c r="AF37" s="77"/>
      <c r="AG37" s="44">
        <f t="shared" si="1"/>
        <v>25</v>
      </c>
      <c r="AH37" s="77">
        <v>35</v>
      </c>
      <c r="AI37" s="77"/>
      <c r="AJ37" s="77"/>
      <c r="AK37" s="77"/>
      <c r="AL37" s="77"/>
      <c r="AM37" s="77"/>
      <c r="AN37" s="77"/>
      <c r="AO37" s="44">
        <f t="shared" si="11"/>
        <v>35</v>
      </c>
      <c r="AP37" s="77">
        <v>50</v>
      </c>
      <c r="AQ37" s="77"/>
      <c r="AR37" s="77"/>
      <c r="AS37" s="3"/>
      <c r="AT37" s="77"/>
      <c r="AU37" s="77"/>
      <c r="AV37" s="77"/>
      <c r="AW37" s="44">
        <f t="shared" si="2"/>
        <v>50</v>
      </c>
      <c r="AX37" s="124">
        <f t="shared" si="12"/>
        <v>110</v>
      </c>
      <c r="AY37" s="44">
        <f t="shared" si="3"/>
        <v>0</v>
      </c>
      <c r="AZ37" s="44">
        <f t="shared" si="4"/>
        <v>0</v>
      </c>
      <c r="BA37" s="44">
        <f t="shared" si="5"/>
        <v>0</v>
      </c>
      <c r="BB37" s="44">
        <f t="shared" si="6"/>
        <v>0</v>
      </c>
      <c r="BC37" s="44">
        <f t="shared" si="7"/>
        <v>0</v>
      </c>
      <c r="BD37" s="44">
        <f t="shared" si="8"/>
        <v>0</v>
      </c>
      <c r="BE37" s="45">
        <f t="shared" si="9"/>
        <v>110</v>
      </c>
      <c r="BF37" s="174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172"/>
    </row>
    <row r="38" spans="1:73" ht="81.75" thickBot="1" x14ac:dyDescent="0.3">
      <c r="A38" s="806"/>
      <c r="B38" s="810"/>
      <c r="C38" s="810"/>
      <c r="D38" s="808"/>
      <c r="E38" s="808"/>
      <c r="F38" s="808"/>
      <c r="G38" s="643"/>
      <c r="H38" s="643"/>
      <c r="I38" s="808"/>
      <c r="J38" s="173" t="s">
        <v>1248</v>
      </c>
      <c r="K38" s="74" t="s">
        <v>1249</v>
      </c>
      <c r="L38" s="76">
        <v>0</v>
      </c>
      <c r="M38" s="76">
        <v>3</v>
      </c>
      <c r="N38" s="76"/>
      <c r="O38" s="76">
        <v>1</v>
      </c>
      <c r="P38" s="76">
        <v>2</v>
      </c>
      <c r="Q38" s="76">
        <v>3</v>
      </c>
      <c r="R38" s="119"/>
      <c r="S38" s="77"/>
      <c r="T38" s="119"/>
      <c r="U38" s="77"/>
      <c r="V38" s="77"/>
      <c r="W38" s="77"/>
      <c r="X38" s="77"/>
      <c r="Y38" s="44">
        <f t="shared" si="10"/>
        <v>0</v>
      </c>
      <c r="Z38" s="77">
        <v>25</v>
      </c>
      <c r="AA38" s="77"/>
      <c r="AB38" s="77"/>
      <c r="AC38" s="3"/>
      <c r="AD38" s="77"/>
      <c r="AE38" s="77"/>
      <c r="AF38" s="77"/>
      <c r="AG38" s="44">
        <f t="shared" si="1"/>
        <v>25</v>
      </c>
      <c r="AH38" s="77">
        <v>35</v>
      </c>
      <c r="AI38" s="77"/>
      <c r="AJ38" s="77"/>
      <c r="AK38" s="77"/>
      <c r="AL38" s="77"/>
      <c r="AM38" s="77"/>
      <c r="AN38" s="77"/>
      <c r="AO38" s="44">
        <f t="shared" si="11"/>
        <v>35</v>
      </c>
      <c r="AP38" s="77">
        <v>45</v>
      </c>
      <c r="AQ38" s="77"/>
      <c r="AR38" s="77"/>
      <c r="AS38" s="3"/>
      <c r="AT38" s="77"/>
      <c r="AU38" s="77"/>
      <c r="AV38" s="77"/>
      <c r="AW38" s="44">
        <f t="shared" si="2"/>
        <v>45</v>
      </c>
      <c r="AX38" s="124">
        <f t="shared" si="12"/>
        <v>105</v>
      </c>
      <c r="AY38" s="44">
        <f t="shared" si="3"/>
        <v>0</v>
      </c>
      <c r="AZ38" s="44">
        <f t="shared" si="4"/>
        <v>0</v>
      </c>
      <c r="BA38" s="44">
        <f t="shared" si="5"/>
        <v>0</v>
      </c>
      <c r="BB38" s="44">
        <f t="shared" si="6"/>
        <v>0</v>
      </c>
      <c r="BC38" s="44">
        <f t="shared" si="7"/>
        <v>0</v>
      </c>
      <c r="BD38" s="44">
        <f t="shared" si="8"/>
        <v>0</v>
      </c>
      <c r="BE38" s="45">
        <f t="shared" si="9"/>
        <v>105</v>
      </c>
      <c r="BF38" s="174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2"/>
      <c r="BT38" s="172"/>
      <c r="BU38" s="172"/>
    </row>
    <row r="39" spans="1:73" ht="54.75" thickBot="1" x14ac:dyDescent="0.3">
      <c r="A39" s="806"/>
      <c r="B39" s="810"/>
      <c r="C39" s="810"/>
      <c r="D39" s="808"/>
      <c r="E39" s="808"/>
      <c r="F39" s="808"/>
      <c r="G39" s="173" t="s">
        <v>1135</v>
      </c>
      <c r="H39" s="173" t="s">
        <v>1146</v>
      </c>
      <c r="I39" s="74"/>
      <c r="J39" s="173" t="s">
        <v>1250</v>
      </c>
      <c r="K39" s="74" t="s">
        <v>1251</v>
      </c>
      <c r="L39" s="76">
        <v>1</v>
      </c>
      <c r="M39" s="76">
        <v>10</v>
      </c>
      <c r="N39" s="76">
        <v>1</v>
      </c>
      <c r="O39" s="76">
        <v>4</v>
      </c>
      <c r="P39" s="76">
        <v>8</v>
      </c>
      <c r="Q39" s="76">
        <v>10</v>
      </c>
      <c r="R39" s="119"/>
      <c r="S39" s="77"/>
      <c r="T39" s="119"/>
      <c r="U39" s="77"/>
      <c r="V39" s="77"/>
      <c r="W39" s="77"/>
      <c r="X39" s="77"/>
      <c r="Y39" s="44">
        <f t="shared" si="10"/>
        <v>0</v>
      </c>
      <c r="Z39" s="77"/>
      <c r="AA39" s="77"/>
      <c r="AB39" s="77"/>
      <c r="AC39" s="3"/>
      <c r="AD39" s="77"/>
      <c r="AE39" s="77"/>
      <c r="AF39" s="77"/>
      <c r="AG39" s="44">
        <f t="shared" si="1"/>
        <v>0</v>
      </c>
      <c r="AH39" s="77"/>
      <c r="AI39" s="77"/>
      <c r="AJ39" s="77"/>
      <c r="AK39" s="77"/>
      <c r="AL39" s="77"/>
      <c r="AM39" s="77"/>
      <c r="AN39" s="77"/>
      <c r="AO39" s="44">
        <f t="shared" si="11"/>
        <v>0</v>
      </c>
      <c r="AP39" s="77"/>
      <c r="AQ39" s="77"/>
      <c r="AR39" s="77"/>
      <c r="AS39" s="3"/>
      <c r="AT39" s="77"/>
      <c r="AU39" s="77"/>
      <c r="AV39" s="77"/>
      <c r="AW39" s="44">
        <f t="shared" si="2"/>
        <v>0</v>
      </c>
      <c r="AX39" s="124">
        <f t="shared" si="12"/>
        <v>0</v>
      </c>
      <c r="AY39" s="44">
        <f t="shared" si="3"/>
        <v>0</v>
      </c>
      <c r="AZ39" s="44">
        <f t="shared" si="4"/>
        <v>0</v>
      </c>
      <c r="BA39" s="44">
        <f t="shared" si="5"/>
        <v>0</v>
      </c>
      <c r="BB39" s="44">
        <f t="shared" si="6"/>
        <v>0</v>
      </c>
      <c r="BC39" s="44">
        <f t="shared" si="7"/>
        <v>0</v>
      </c>
      <c r="BD39" s="44">
        <f t="shared" si="8"/>
        <v>0</v>
      </c>
      <c r="BE39" s="45">
        <f t="shared" si="9"/>
        <v>0</v>
      </c>
      <c r="BF39" s="174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172"/>
    </row>
    <row r="40" spans="1:73" ht="27" customHeight="1" thickBot="1" x14ac:dyDescent="0.3">
      <c r="A40" s="806"/>
      <c r="B40" s="810"/>
      <c r="C40" s="810"/>
      <c r="D40" s="808"/>
      <c r="E40" s="808"/>
      <c r="F40" s="808"/>
      <c r="G40" s="643" t="s">
        <v>1136</v>
      </c>
      <c r="H40" s="643" t="s">
        <v>1147</v>
      </c>
      <c r="I40" s="808"/>
      <c r="J40" s="643" t="s">
        <v>1252</v>
      </c>
      <c r="K40" s="74" t="s">
        <v>1253</v>
      </c>
      <c r="L40" s="76" t="s">
        <v>537</v>
      </c>
      <c r="M40" s="76">
        <v>25</v>
      </c>
      <c r="N40" s="76">
        <v>2</v>
      </c>
      <c r="O40" s="76">
        <v>10</v>
      </c>
      <c r="P40" s="76">
        <v>20</v>
      </c>
      <c r="Q40" s="76">
        <v>25</v>
      </c>
      <c r="R40" s="119"/>
      <c r="S40" s="77"/>
      <c r="T40" s="119"/>
      <c r="U40" s="77"/>
      <c r="V40" s="77"/>
      <c r="W40" s="77"/>
      <c r="X40" s="77"/>
      <c r="Y40" s="44">
        <f t="shared" si="10"/>
        <v>0</v>
      </c>
      <c r="Z40" s="77"/>
      <c r="AA40" s="77"/>
      <c r="AB40" s="77"/>
      <c r="AC40" s="3"/>
      <c r="AD40" s="77"/>
      <c r="AE40" s="77"/>
      <c r="AF40" s="77"/>
      <c r="AG40" s="44">
        <f t="shared" si="1"/>
        <v>0</v>
      </c>
      <c r="AH40" s="77"/>
      <c r="AI40" s="77"/>
      <c r="AJ40" s="77"/>
      <c r="AK40" s="77"/>
      <c r="AL40" s="77"/>
      <c r="AM40" s="77"/>
      <c r="AN40" s="77"/>
      <c r="AO40" s="44">
        <f t="shared" si="11"/>
        <v>0</v>
      </c>
      <c r="AP40" s="77"/>
      <c r="AQ40" s="77"/>
      <c r="AR40" s="77"/>
      <c r="AS40" s="3"/>
      <c r="AT40" s="77"/>
      <c r="AU40" s="77"/>
      <c r="AV40" s="77"/>
      <c r="AW40" s="44">
        <f t="shared" si="2"/>
        <v>0</v>
      </c>
      <c r="AX40" s="124">
        <f t="shared" si="12"/>
        <v>0</v>
      </c>
      <c r="AY40" s="44">
        <f t="shared" si="3"/>
        <v>0</v>
      </c>
      <c r="AZ40" s="44">
        <f t="shared" si="4"/>
        <v>0</v>
      </c>
      <c r="BA40" s="44">
        <f t="shared" si="5"/>
        <v>0</v>
      </c>
      <c r="BB40" s="44">
        <f t="shared" si="6"/>
        <v>0</v>
      </c>
      <c r="BC40" s="44">
        <f t="shared" si="7"/>
        <v>0</v>
      </c>
      <c r="BD40" s="44">
        <f t="shared" si="8"/>
        <v>0</v>
      </c>
      <c r="BE40" s="45">
        <f t="shared" si="9"/>
        <v>0</v>
      </c>
      <c r="BF40" s="174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172"/>
      <c r="BR40" s="172"/>
      <c r="BS40" s="172"/>
      <c r="BT40" s="172"/>
      <c r="BU40" s="172"/>
    </row>
    <row r="41" spans="1:73" ht="81.75" thickBot="1" x14ac:dyDescent="0.3">
      <c r="A41" s="806"/>
      <c r="B41" s="810"/>
      <c r="C41" s="810"/>
      <c r="D41" s="808"/>
      <c r="E41" s="808"/>
      <c r="F41" s="808"/>
      <c r="G41" s="643"/>
      <c r="H41" s="643"/>
      <c r="I41" s="808"/>
      <c r="J41" s="643"/>
      <c r="K41" s="74" t="s">
        <v>1254</v>
      </c>
      <c r="L41" s="76">
        <v>0</v>
      </c>
      <c r="M41" s="76">
        <v>15</v>
      </c>
      <c r="N41" s="76">
        <v>1</v>
      </c>
      <c r="O41" s="76">
        <v>6</v>
      </c>
      <c r="P41" s="76">
        <v>10</v>
      </c>
      <c r="Q41" s="76">
        <v>15</v>
      </c>
      <c r="R41" s="119"/>
      <c r="S41" s="77"/>
      <c r="T41" s="119"/>
      <c r="U41" s="77"/>
      <c r="V41" s="77"/>
      <c r="W41" s="77"/>
      <c r="X41" s="77"/>
      <c r="Y41" s="44">
        <f t="shared" si="10"/>
        <v>0</v>
      </c>
      <c r="Z41" s="77"/>
      <c r="AA41" s="77"/>
      <c r="AB41" s="77"/>
      <c r="AC41" s="3"/>
      <c r="AD41" s="77"/>
      <c r="AE41" s="77"/>
      <c r="AF41" s="77"/>
      <c r="AG41" s="44">
        <f t="shared" si="1"/>
        <v>0</v>
      </c>
      <c r="AH41" s="77"/>
      <c r="AI41" s="77"/>
      <c r="AJ41" s="77"/>
      <c r="AK41" s="77"/>
      <c r="AL41" s="77"/>
      <c r="AM41" s="77"/>
      <c r="AN41" s="77"/>
      <c r="AO41" s="44">
        <f t="shared" si="11"/>
        <v>0</v>
      </c>
      <c r="AP41" s="77"/>
      <c r="AQ41" s="77"/>
      <c r="AR41" s="77"/>
      <c r="AS41" s="3"/>
      <c r="AT41" s="77"/>
      <c r="AU41" s="77"/>
      <c r="AV41" s="77"/>
      <c r="AW41" s="44">
        <f t="shared" si="2"/>
        <v>0</v>
      </c>
      <c r="AX41" s="124">
        <f t="shared" si="12"/>
        <v>0</v>
      </c>
      <c r="AY41" s="44">
        <f t="shared" si="3"/>
        <v>0</v>
      </c>
      <c r="AZ41" s="44">
        <f t="shared" si="4"/>
        <v>0</v>
      </c>
      <c r="BA41" s="44">
        <f t="shared" si="5"/>
        <v>0</v>
      </c>
      <c r="BB41" s="44">
        <f t="shared" si="6"/>
        <v>0</v>
      </c>
      <c r="BC41" s="44">
        <f t="shared" si="7"/>
        <v>0</v>
      </c>
      <c r="BD41" s="44">
        <f t="shared" si="8"/>
        <v>0</v>
      </c>
      <c r="BE41" s="45">
        <f t="shared" si="9"/>
        <v>0</v>
      </c>
      <c r="BF41" s="174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</row>
    <row r="42" spans="1:73" ht="54" customHeight="1" thickBot="1" x14ac:dyDescent="0.3">
      <c r="A42" s="806"/>
      <c r="B42" s="810"/>
      <c r="C42" s="810"/>
      <c r="D42" s="808"/>
      <c r="E42" s="808"/>
      <c r="F42" s="808"/>
      <c r="G42" s="643" t="s">
        <v>1148</v>
      </c>
      <c r="H42" s="643" t="s">
        <v>1149</v>
      </c>
      <c r="I42" s="74"/>
      <c r="J42" s="173" t="s">
        <v>1255</v>
      </c>
      <c r="K42" s="74" t="s">
        <v>1256</v>
      </c>
      <c r="L42" s="76" t="s">
        <v>537</v>
      </c>
      <c r="M42" s="76">
        <v>30</v>
      </c>
      <c r="N42" s="76">
        <v>4</v>
      </c>
      <c r="O42" s="76">
        <v>20</v>
      </c>
      <c r="P42" s="76">
        <v>30</v>
      </c>
      <c r="Q42" s="76">
        <v>30</v>
      </c>
      <c r="R42" s="119"/>
      <c r="S42" s="77"/>
      <c r="T42" s="119"/>
      <c r="U42" s="77"/>
      <c r="V42" s="77"/>
      <c r="W42" s="77"/>
      <c r="X42" s="77"/>
      <c r="Y42" s="44">
        <f t="shared" si="10"/>
        <v>0</v>
      </c>
      <c r="Z42" s="77"/>
      <c r="AA42" s="77"/>
      <c r="AB42" s="77"/>
      <c r="AC42" s="3"/>
      <c r="AD42" s="77"/>
      <c r="AE42" s="77"/>
      <c r="AF42" s="77"/>
      <c r="AG42" s="44">
        <f t="shared" si="1"/>
        <v>0</v>
      </c>
      <c r="AH42" s="77"/>
      <c r="AI42" s="77"/>
      <c r="AJ42" s="77"/>
      <c r="AK42" s="77"/>
      <c r="AL42" s="77"/>
      <c r="AM42" s="77"/>
      <c r="AN42" s="77"/>
      <c r="AO42" s="44">
        <f t="shared" si="11"/>
        <v>0</v>
      </c>
      <c r="AP42" s="77"/>
      <c r="AQ42" s="77"/>
      <c r="AR42" s="77"/>
      <c r="AS42" s="3"/>
      <c r="AT42" s="77"/>
      <c r="AU42" s="77"/>
      <c r="AV42" s="77"/>
      <c r="AW42" s="44">
        <f t="shared" si="2"/>
        <v>0</v>
      </c>
      <c r="AX42" s="124">
        <f t="shared" si="12"/>
        <v>0</v>
      </c>
      <c r="AY42" s="44">
        <f t="shared" si="3"/>
        <v>0</v>
      </c>
      <c r="AZ42" s="44">
        <f t="shared" si="4"/>
        <v>0</v>
      </c>
      <c r="BA42" s="44">
        <f t="shared" si="5"/>
        <v>0</v>
      </c>
      <c r="BB42" s="44">
        <f t="shared" si="6"/>
        <v>0</v>
      </c>
      <c r="BC42" s="44">
        <f t="shared" si="7"/>
        <v>0</v>
      </c>
      <c r="BD42" s="44">
        <f t="shared" si="8"/>
        <v>0</v>
      </c>
      <c r="BE42" s="45">
        <f t="shared" si="9"/>
        <v>0</v>
      </c>
      <c r="BF42" s="174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2"/>
      <c r="BT42" s="172"/>
      <c r="BU42" s="172"/>
    </row>
    <row r="43" spans="1:73" ht="122.25" thickBot="1" x14ac:dyDescent="0.3">
      <c r="A43" s="806"/>
      <c r="B43" s="833"/>
      <c r="C43" s="833"/>
      <c r="D43" s="812"/>
      <c r="E43" s="812"/>
      <c r="F43" s="812"/>
      <c r="G43" s="644"/>
      <c r="H43" s="644"/>
      <c r="I43" s="475"/>
      <c r="J43" s="474" t="s">
        <v>1257</v>
      </c>
      <c r="K43" s="475" t="s">
        <v>1258</v>
      </c>
      <c r="L43" s="476" t="s">
        <v>537</v>
      </c>
      <c r="M43" s="480">
        <v>1</v>
      </c>
      <c r="N43" s="480">
        <v>1</v>
      </c>
      <c r="O43" s="480">
        <v>1</v>
      </c>
      <c r="P43" s="480">
        <v>1</v>
      </c>
      <c r="Q43" s="480">
        <v>1</v>
      </c>
      <c r="R43" s="470">
        <v>25</v>
      </c>
      <c r="S43" s="479"/>
      <c r="T43" s="470"/>
      <c r="U43" s="479"/>
      <c r="V43" s="479"/>
      <c r="W43" s="479"/>
      <c r="X43" s="479"/>
      <c r="Y43" s="123">
        <f t="shared" si="10"/>
        <v>25</v>
      </c>
      <c r="Z43" s="479">
        <v>25</v>
      </c>
      <c r="AA43" s="479"/>
      <c r="AB43" s="479"/>
      <c r="AC43" s="132"/>
      <c r="AD43" s="479"/>
      <c r="AE43" s="479"/>
      <c r="AF43" s="479"/>
      <c r="AG43" s="123">
        <f t="shared" si="1"/>
        <v>25</v>
      </c>
      <c r="AH43" s="479">
        <v>25</v>
      </c>
      <c r="AI43" s="479"/>
      <c r="AJ43" s="479"/>
      <c r="AK43" s="479"/>
      <c r="AL43" s="479"/>
      <c r="AM43" s="479"/>
      <c r="AN43" s="479"/>
      <c r="AO43" s="123">
        <f t="shared" si="11"/>
        <v>25</v>
      </c>
      <c r="AP43" s="479">
        <v>25</v>
      </c>
      <c r="AQ43" s="479"/>
      <c r="AR43" s="479"/>
      <c r="AS43" s="132"/>
      <c r="AT43" s="479"/>
      <c r="AU43" s="479"/>
      <c r="AV43" s="479"/>
      <c r="AW43" s="123">
        <f t="shared" si="2"/>
        <v>25</v>
      </c>
      <c r="AX43" s="124">
        <f t="shared" si="12"/>
        <v>100</v>
      </c>
      <c r="AY43" s="123">
        <f t="shared" si="3"/>
        <v>0</v>
      </c>
      <c r="AZ43" s="123">
        <f t="shared" si="4"/>
        <v>0</v>
      </c>
      <c r="BA43" s="123">
        <f t="shared" si="5"/>
        <v>0</v>
      </c>
      <c r="BB43" s="123">
        <f t="shared" si="6"/>
        <v>0</v>
      </c>
      <c r="BC43" s="123">
        <f t="shared" si="7"/>
        <v>0</v>
      </c>
      <c r="BD43" s="123">
        <f t="shared" si="8"/>
        <v>0</v>
      </c>
      <c r="BE43" s="199">
        <f t="shared" si="9"/>
        <v>100</v>
      </c>
      <c r="BF43" s="174"/>
      <c r="BG43" s="172"/>
      <c r="BH43" s="172"/>
      <c r="BI43" s="172"/>
      <c r="BJ43" s="172"/>
      <c r="BK43" s="172"/>
      <c r="BL43" s="172"/>
      <c r="BM43" s="172"/>
      <c r="BN43" s="172"/>
      <c r="BO43" s="172"/>
      <c r="BP43" s="172"/>
      <c r="BQ43" s="172"/>
      <c r="BR43" s="172"/>
      <c r="BS43" s="172"/>
      <c r="BT43" s="172"/>
      <c r="BU43" s="172"/>
    </row>
    <row r="44" spans="1:73" ht="67.5" customHeight="1" thickBot="1" x14ac:dyDescent="0.3">
      <c r="A44" s="806"/>
      <c r="B44" s="832" t="s">
        <v>919</v>
      </c>
      <c r="C44" s="832" t="s">
        <v>920</v>
      </c>
      <c r="D44" s="834"/>
      <c r="E44" s="811"/>
      <c r="F44" s="811"/>
      <c r="G44" s="180" t="s">
        <v>1150</v>
      </c>
      <c r="H44" s="180" t="s">
        <v>1151</v>
      </c>
      <c r="I44" s="181"/>
      <c r="J44" s="180" t="s">
        <v>1259</v>
      </c>
      <c r="K44" s="181" t="s">
        <v>1260</v>
      </c>
      <c r="L44" s="381">
        <v>0</v>
      </c>
      <c r="M44" s="381">
        <v>2</v>
      </c>
      <c r="N44" s="381"/>
      <c r="O44" s="381">
        <v>1</v>
      </c>
      <c r="P44" s="381">
        <v>2</v>
      </c>
      <c r="Q44" s="381"/>
      <c r="R44" s="182"/>
      <c r="S44" s="183"/>
      <c r="T44" s="182"/>
      <c r="U44" s="183"/>
      <c r="V44" s="183"/>
      <c r="W44" s="183"/>
      <c r="X44" s="183"/>
      <c r="Y44" s="124">
        <f t="shared" si="10"/>
        <v>0</v>
      </c>
      <c r="Z44" s="183"/>
      <c r="AA44" s="183"/>
      <c r="AB44" s="183"/>
      <c r="AC44" s="122">
        <v>500</v>
      </c>
      <c r="AD44" s="183"/>
      <c r="AE44" s="183">
        <v>500</v>
      </c>
      <c r="AF44" s="183"/>
      <c r="AG44" s="124">
        <f t="shared" si="1"/>
        <v>1000</v>
      </c>
      <c r="AH44" s="183">
        <v>300</v>
      </c>
      <c r="AI44" s="183"/>
      <c r="AJ44" s="183"/>
      <c r="AK44" s="183">
        <v>500</v>
      </c>
      <c r="AL44" s="183"/>
      <c r="AM44" s="183">
        <v>500</v>
      </c>
      <c r="AN44" s="183"/>
      <c r="AO44" s="124">
        <f t="shared" si="11"/>
        <v>1300</v>
      </c>
      <c r="AP44" s="183">
        <v>300</v>
      </c>
      <c r="AQ44" s="183"/>
      <c r="AR44" s="183"/>
      <c r="AS44" s="122"/>
      <c r="AT44" s="183"/>
      <c r="AU44" s="183"/>
      <c r="AV44" s="183"/>
      <c r="AW44" s="124">
        <f t="shared" si="2"/>
        <v>300</v>
      </c>
      <c r="AX44" s="124">
        <f t="shared" si="12"/>
        <v>600</v>
      </c>
      <c r="AY44" s="124">
        <f t="shared" si="3"/>
        <v>0</v>
      </c>
      <c r="AZ44" s="124">
        <f t="shared" si="4"/>
        <v>0</v>
      </c>
      <c r="BA44" s="124">
        <f t="shared" si="5"/>
        <v>1000</v>
      </c>
      <c r="BB44" s="124">
        <f t="shared" si="6"/>
        <v>0</v>
      </c>
      <c r="BC44" s="124">
        <f t="shared" si="7"/>
        <v>1000</v>
      </c>
      <c r="BD44" s="124">
        <f t="shared" si="8"/>
        <v>0</v>
      </c>
      <c r="BE44" s="277">
        <f t="shared" si="9"/>
        <v>2600</v>
      </c>
      <c r="BF44" s="174"/>
      <c r="BG44" s="172"/>
      <c r="BH44" s="172"/>
      <c r="BI44" s="172"/>
      <c r="BJ44" s="172"/>
      <c r="BK44" s="172"/>
      <c r="BL44" s="172"/>
      <c r="BM44" s="172"/>
      <c r="BN44" s="172"/>
      <c r="BO44" s="172"/>
      <c r="BP44" s="172"/>
      <c r="BQ44" s="172"/>
      <c r="BR44" s="172"/>
      <c r="BS44" s="172"/>
      <c r="BT44" s="172"/>
      <c r="BU44" s="172"/>
    </row>
    <row r="45" spans="1:73" ht="108.75" thickBot="1" x14ac:dyDescent="0.3">
      <c r="A45" s="806"/>
      <c r="B45" s="833"/>
      <c r="C45" s="833"/>
      <c r="D45" s="835"/>
      <c r="E45" s="812"/>
      <c r="F45" s="812"/>
      <c r="G45" s="474" t="s">
        <v>1152</v>
      </c>
      <c r="H45" s="474" t="s">
        <v>1153</v>
      </c>
      <c r="I45" s="475"/>
      <c r="J45" s="474" t="s">
        <v>1261</v>
      </c>
      <c r="K45" s="475" t="s">
        <v>1262</v>
      </c>
      <c r="L45" s="476">
        <v>0</v>
      </c>
      <c r="M45" s="476">
        <v>3</v>
      </c>
      <c r="N45" s="476">
        <v>1</v>
      </c>
      <c r="O45" s="476">
        <v>2</v>
      </c>
      <c r="P45" s="476">
        <v>3</v>
      </c>
      <c r="Q45" s="476"/>
      <c r="R45" s="470"/>
      <c r="S45" s="479"/>
      <c r="T45" s="470"/>
      <c r="U45" s="479"/>
      <c r="V45" s="479"/>
      <c r="W45" s="479">
        <v>200</v>
      </c>
      <c r="X45" s="479"/>
      <c r="Y45" s="123">
        <f t="shared" si="10"/>
        <v>200</v>
      </c>
      <c r="Z45" s="479"/>
      <c r="AA45" s="479"/>
      <c r="AB45" s="479"/>
      <c r="AC45" s="132"/>
      <c r="AD45" s="479"/>
      <c r="AE45" s="479">
        <v>200</v>
      </c>
      <c r="AF45" s="479"/>
      <c r="AG45" s="123">
        <f t="shared" si="1"/>
        <v>200</v>
      </c>
      <c r="AH45" s="479">
        <v>200</v>
      </c>
      <c r="AI45" s="479"/>
      <c r="AJ45" s="479"/>
      <c r="AK45" s="479"/>
      <c r="AL45" s="479"/>
      <c r="AM45" s="479">
        <v>200</v>
      </c>
      <c r="AN45" s="479"/>
      <c r="AO45" s="123">
        <f t="shared" si="11"/>
        <v>400</v>
      </c>
      <c r="AP45" s="479">
        <v>200</v>
      </c>
      <c r="AQ45" s="479"/>
      <c r="AR45" s="479"/>
      <c r="AS45" s="132"/>
      <c r="AT45" s="479"/>
      <c r="AU45" s="479"/>
      <c r="AV45" s="479"/>
      <c r="AW45" s="123">
        <f t="shared" si="2"/>
        <v>200</v>
      </c>
      <c r="AX45" s="124">
        <f t="shared" si="12"/>
        <v>400</v>
      </c>
      <c r="AY45" s="123">
        <f t="shared" si="3"/>
        <v>0</v>
      </c>
      <c r="AZ45" s="123">
        <f t="shared" si="4"/>
        <v>0</v>
      </c>
      <c r="BA45" s="123">
        <f t="shared" si="5"/>
        <v>0</v>
      </c>
      <c r="BB45" s="123">
        <f t="shared" si="6"/>
        <v>0</v>
      </c>
      <c r="BC45" s="123">
        <f t="shared" si="7"/>
        <v>600</v>
      </c>
      <c r="BD45" s="123">
        <f t="shared" si="8"/>
        <v>0</v>
      </c>
      <c r="BE45" s="199">
        <f t="shared" si="9"/>
        <v>1000</v>
      </c>
      <c r="BF45" s="174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2"/>
      <c r="BU45" s="172"/>
    </row>
    <row r="46" spans="1:73" ht="69" customHeight="1" thickBot="1" x14ac:dyDescent="0.3">
      <c r="A46" s="806"/>
      <c r="B46" s="809" t="s">
        <v>921</v>
      </c>
      <c r="C46" s="809" t="s">
        <v>922</v>
      </c>
      <c r="D46" s="807"/>
      <c r="E46" s="807"/>
      <c r="F46" s="807"/>
      <c r="G46" s="854" t="s">
        <v>923</v>
      </c>
      <c r="H46" s="855" t="s">
        <v>1154</v>
      </c>
      <c r="I46" s="854"/>
      <c r="J46" s="856" t="s">
        <v>1263</v>
      </c>
      <c r="K46" s="404" t="s">
        <v>1264</v>
      </c>
      <c r="L46" s="481">
        <v>0.7</v>
      </c>
      <c r="M46" s="481">
        <v>1</v>
      </c>
      <c r="N46" s="853">
        <v>1</v>
      </c>
      <c r="O46" s="853"/>
      <c r="P46" s="853"/>
      <c r="Q46" s="853"/>
      <c r="R46" s="482"/>
      <c r="S46" s="483"/>
      <c r="T46" s="482"/>
      <c r="U46" s="483">
        <v>400000</v>
      </c>
      <c r="V46" s="483"/>
      <c r="W46" s="483"/>
      <c r="X46" s="483"/>
      <c r="Y46" s="310">
        <f t="shared" si="10"/>
        <v>400000</v>
      </c>
      <c r="Z46" s="483"/>
      <c r="AA46" s="483"/>
      <c r="AB46" s="483"/>
      <c r="AC46" s="484">
        <v>405000</v>
      </c>
      <c r="AD46" s="483"/>
      <c r="AE46" s="483"/>
      <c r="AF46" s="483"/>
      <c r="AG46" s="310">
        <f t="shared" si="1"/>
        <v>405000</v>
      </c>
      <c r="AH46" s="483"/>
      <c r="AI46" s="483"/>
      <c r="AJ46" s="483"/>
      <c r="AK46" s="483"/>
      <c r="AL46" s="483"/>
      <c r="AM46" s="483"/>
      <c r="AN46" s="483"/>
      <c r="AO46" s="310">
        <f t="shared" si="11"/>
        <v>0</v>
      </c>
      <c r="AP46" s="483"/>
      <c r="AQ46" s="483"/>
      <c r="AR46" s="483"/>
      <c r="AS46" s="484"/>
      <c r="AT46" s="483"/>
      <c r="AU46" s="483"/>
      <c r="AV46" s="483"/>
      <c r="AW46" s="310">
        <f t="shared" si="2"/>
        <v>0</v>
      </c>
      <c r="AX46" s="124">
        <f t="shared" si="12"/>
        <v>0</v>
      </c>
      <c r="AY46" s="310">
        <f t="shared" si="3"/>
        <v>0</v>
      </c>
      <c r="AZ46" s="310">
        <f t="shared" si="4"/>
        <v>0</v>
      </c>
      <c r="BA46" s="310">
        <f t="shared" si="5"/>
        <v>805000</v>
      </c>
      <c r="BB46" s="310">
        <f t="shared" si="6"/>
        <v>0</v>
      </c>
      <c r="BC46" s="310">
        <f t="shared" si="7"/>
        <v>0</v>
      </c>
      <c r="BD46" s="310">
        <f t="shared" si="8"/>
        <v>0</v>
      </c>
      <c r="BE46" s="417">
        <f t="shared" si="9"/>
        <v>805000</v>
      </c>
      <c r="BF46" s="174"/>
      <c r="BG46" s="172"/>
      <c r="BH46" s="172"/>
      <c r="BI46" s="172"/>
      <c r="BJ46" s="172"/>
      <c r="BK46" s="172"/>
      <c r="BL46" s="172"/>
      <c r="BM46" s="172"/>
      <c r="BN46" s="172"/>
      <c r="BO46" s="172"/>
      <c r="BP46" s="172"/>
      <c r="BQ46" s="172"/>
      <c r="BR46" s="172"/>
      <c r="BS46" s="172"/>
      <c r="BT46" s="172"/>
      <c r="BU46" s="172"/>
    </row>
    <row r="47" spans="1:73" ht="54" x14ac:dyDescent="0.25">
      <c r="A47" s="806"/>
      <c r="B47" s="810"/>
      <c r="C47" s="810"/>
      <c r="D47" s="808"/>
      <c r="E47" s="808"/>
      <c r="F47" s="808"/>
      <c r="G47" s="807"/>
      <c r="H47" s="856"/>
      <c r="I47" s="807"/>
      <c r="J47" s="643"/>
      <c r="K47" s="74" t="s">
        <v>1265</v>
      </c>
      <c r="L47" s="76">
        <v>0</v>
      </c>
      <c r="M47" s="76">
        <v>2012</v>
      </c>
      <c r="N47" s="76">
        <v>2012</v>
      </c>
      <c r="O47" s="76"/>
      <c r="P47" s="76"/>
      <c r="Q47" s="76"/>
      <c r="R47" s="119"/>
      <c r="S47" s="77"/>
      <c r="T47" s="119"/>
      <c r="U47" s="77">
        <v>15000</v>
      </c>
      <c r="V47" s="77"/>
      <c r="W47" s="77"/>
      <c r="X47" s="77"/>
      <c r="Y47" s="44">
        <f t="shared" si="10"/>
        <v>15000</v>
      </c>
      <c r="Z47" s="77"/>
      <c r="AA47" s="77"/>
      <c r="AB47" s="77"/>
      <c r="AC47" s="3">
        <v>36667</v>
      </c>
      <c r="AD47" s="77"/>
      <c r="AE47" s="77"/>
      <c r="AF47" s="77"/>
      <c r="AG47" s="44">
        <f t="shared" si="1"/>
        <v>36667</v>
      </c>
      <c r="AH47" s="77"/>
      <c r="AI47" s="77"/>
      <c r="AJ47" s="77"/>
      <c r="AK47" s="77">
        <v>36667</v>
      </c>
      <c r="AL47" s="77"/>
      <c r="AM47" s="77"/>
      <c r="AN47" s="77"/>
      <c r="AO47" s="44">
        <f t="shared" si="11"/>
        <v>36667</v>
      </c>
      <c r="AP47" s="77"/>
      <c r="AQ47" s="77"/>
      <c r="AR47" s="77"/>
      <c r="AS47" s="3">
        <v>36667</v>
      </c>
      <c r="AT47" s="77"/>
      <c r="AU47" s="77"/>
      <c r="AV47" s="77"/>
      <c r="AW47" s="44">
        <f t="shared" si="2"/>
        <v>36667</v>
      </c>
      <c r="AX47" s="124">
        <f t="shared" si="12"/>
        <v>0</v>
      </c>
      <c r="AY47" s="44">
        <f t="shared" si="3"/>
        <v>0</v>
      </c>
      <c r="AZ47" s="44">
        <f t="shared" si="4"/>
        <v>0</v>
      </c>
      <c r="BA47" s="44">
        <f t="shared" si="5"/>
        <v>125001</v>
      </c>
      <c r="BB47" s="44">
        <f t="shared" si="6"/>
        <v>0</v>
      </c>
      <c r="BC47" s="44">
        <f t="shared" si="7"/>
        <v>0</v>
      </c>
      <c r="BD47" s="44">
        <f t="shared" si="8"/>
        <v>0</v>
      </c>
      <c r="BE47" s="45">
        <f t="shared" si="9"/>
        <v>125001</v>
      </c>
      <c r="BF47" s="174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/>
      <c r="BR47" s="172"/>
      <c r="BS47" s="172"/>
      <c r="BT47" s="172"/>
      <c r="BU47" s="172"/>
    </row>
    <row r="48" spans="1:73" ht="67.5" x14ac:dyDescent="0.25">
      <c r="A48" s="806"/>
      <c r="B48" s="810"/>
      <c r="C48" s="810"/>
      <c r="D48" s="808"/>
      <c r="E48" s="808"/>
      <c r="F48" s="808"/>
      <c r="G48" s="857" t="s">
        <v>924</v>
      </c>
      <c r="H48" s="858" t="s">
        <v>1155</v>
      </c>
      <c r="I48" s="858"/>
      <c r="J48" s="643" t="s">
        <v>1269</v>
      </c>
      <c r="K48" s="76" t="s">
        <v>1266</v>
      </c>
      <c r="L48" s="76">
        <v>0</v>
      </c>
      <c r="M48" s="76">
        <v>71.5</v>
      </c>
      <c r="N48" s="76"/>
      <c r="O48" s="76"/>
      <c r="P48" s="76"/>
      <c r="Q48" s="76">
        <v>71.5</v>
      </c>
      <c r="R48" s="119"/>
      <c r="S48" s="77"/>
      <c r="T48" s="119"/>
      <c r="U48" s="77">
        <v>15000</v>
      </c>
      <c r="V48" s="77"/>
      <c r="W48" s="77">
        <v>70000</v>
      </c>
      <c r="X48" s="77">
        <v>15750</v>
      </c>
      <c r="Y48" s="44">
        <f t="shared" si="10"/>
        <v>100750</v>
      </c>
      <c r="Z48" s="77"/>
      <c r="AA48" s="77"/>
      <c r="AB48" s="77"/>
      <c r="AC48" s="3">
        <v>15000</v>
      </c>
      <c r="AD48" s="77"/>
      <c r="AE48" s="77">
        <v>10789</v>
      </c>
      <c r="AF48" s="77">
        <v>80000</v>
      </c>
      <c r="AG48" s="44">
        <f t="shared" ref="AG48:AG49" si="13">SUM(Z48:AF48)</f>
        <v>105789</v>
      </c>
      <c r="AH48" s="77"/>
      <c r="AI48" s="77"/>
      <c r="AJ48" s="77"/>
      <c r="AK48" s="77">
        <v>15000</v>
      </c>
      <c r="AL48" s="77"/>
      <c r="AM48" s="77">
        <v>33000</v>
      </c>
      <c r="AN48" s="77">
        <v>80000</v>
      </c>
      <c r="AO48" s="44">
        <f t="shared" si="11"/>
        <v>128000</v>
      </c>
      <c r="AP48" s="77"/>
      <c r="AQ48" s="77"/>
      <c r="AR48" s="77"/>
      <c r="AS48" s="3">
        <v>15000</v>
      </c>
      <c r="AT48" s="77"/>
      <c r="AU48" s="77">
        <v>74367</v>
      </c>
      <c r="AV48" s="77">
        <v>80000</v>
      </c>
      <c r="AW48" s="44">
        <f t="shared" ref="AW48:AW49" si="14">SUM(AP48:AV48)</f>
        <v>169367</v>
      </c>
      <c r="AX48" s="44">
        <f t="shared" si="12"/>
        <v>0</v>
      </c>
      <c r="AY48" s="44">
        <f t="shared" si="3"/>
        <v>0</v>
      </c>
      <c r="AZ48" s="44">
        <f t="shared" si="4"/>
        <v>0</v>
      </c>
      <c r="BA48" s="44">
        <f t="shared" si="5"/>
        <v>60000</v>
      </c>
      <c r="BB48" s="44">
        <f t="shared" si="6"/>
        <v>0</v>
      </c>
      <c r="BC48" s="44">
        <f t="shared" si="7"/>
        <v>188156</v>
      </c>
      <c r="BD48" s="44">
        <f t="shared" si="8"/>
        <v>255750</v>
      </c>
      <c r="BE48" s="45">
        <f t="shared" si="8"/>
        <v>503906</v>
      </c>
      <c r="BF48" s="174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</row>
    <row r="49" spans="1:1061" ht="68.25" thickBot="1" x14ac:dyDescent="0.3">
      <c r="A49" s="806"/>
      <c r="B49" s="810"/>
      <c r="C49" s="810"/>
      <c r="D49" s="808"/>
      <c r="E49" s="808"/>
      <c r="F49" s="808"/>
      <c r="G49" s="854"/>
      <c r="H49" s="855"/>
      <c r="I49" s="855"/>
      <c r="J49" s="643"/>
      <c r="K49" s="76" t="s">
        <v>1267</v>
      </c>
      <c r="L49" s="76">
        <v>0</v>
      </c>
      <c r="M49" s="76">
        <v>102</v>
      </c>
      <c r="N49" s="76"/>
      <c r="O49" s="76">
        <v>102</v>
      </c>
      <c r="P49" s="76"/>
      <c r="Q49" s="76" t="s">
        <v>1473</v>
      </c>
      <c r="R49" s="119"/>
      <c r="S49" s="77"/>
      <c r="T49" s="119"/>
      <c r="U49" s="77"/>
      <c r="V49" s="77"/>
      <c r="W49" s="77"/>
      <c r="X49" s="77"/>
      <c r="Y49" s="44">
        <f t="shared" si="10"/>
        <v>0</v>
      </c>
      <c r="Z49" s="77"/>
      <c r="AA49" s="77"/>
      <c r="AB49" s="77"/>
      <c r="AC49" s="3"/>
      <c r="AD49" s="77"/>
      <c r="AE49" s="77"/>
      <c r="AF49" s="77">
        <v>2500</v>
      </c>
      <c r="AG49" s="44">
        <f t="shared" si="13"/>
        <v>2500</v>
      </c>
      <c r="AH49" s="77"/>
      <c r="AI49" s="77"/>
      <c r="AJ49" s="77"/>
      <c r="AK49" s="77"/>
      <c r="AL49" s="77"/>
      <c r="AM49" s="77"/>
      <c r="AN49" s="77"/>
      <c r="AO49" s="44">
        <f t="shared" si="11"/>
        <v>0</v>
      </c>
      <c r="AP49" s="77"/>
      <c r="AQ49" s="77"/>
      <c r="AR49" s="77"/>
      <c r="AS49" s="3"/>
      <c r="AT49" s="77"/>
      <c r="AU49" s="77"/>
      <c r="AV49" s="77"/>
      <c r="AW49" s="44">
        <f t="shared" si="14"/>
        <v>0</v>
      </c>
      <c r="AX49" s="44">
        <f t="shared" si="12"/>
        <v>0</v>
      </c>
      <c r="AY49" s="44">
        <f t="shared" si="3"/>
        <v>0</v>
      </c>
      <c r="AZ49" s="44">
        <f t="shared" si="4"/>
        <v>0</v>
      </c>
      <c r="BA49" s="44">
        <f t="shared" si="5"/>
        <v>0</v>
      </c>
      <c r="BB49" s="44">
        <f t="shared" si="6"/>
        <v>0</v>
      </c>
      <c r="BC49" s="44">
        <f t="shared" si="7"/>
        <v>0</v>
      </c>
      <c r="BD49" s="44">
        <f t="shared" si="8"/>
        <v>2500</v>
      </c>
      <c r="BE49" s="45">
        <f t="shared" si="8"/>
        <v>2500</v>
      </c>
      <c r="BF49" s="174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</row>
    <row r="50" spans="1:1061" ht="41.25" thickBot="1" x14ac:dyDescent="0.3">
      <c r="A50" s="806"/>
      <c r="B50" s="810"/>
      <c r="C50" s="810"/>
      <c r="D50" s="808"/>
      <c r="E50" s="808"/>
      <c r="F50" s="808"/>
      <c r="G50" s="854"/>
      <c r="H50" s="855"/>
      <c r="I50" s="855"/>
      <c r="J50" s="643"/>
      <c r="K50" s="74" t="s">
        <v>1268</v>
      </c>
      <c r="L50" s="76">
        <v>0</v>
      </c>
      <c r="M50" s="76">
        <v>1</v>
      </c>
      <c r="N50" s="76"/>
      <c r="O50" s="76"/>
      <c r="P50" s="76">
        <v>1</v>
      </c>
      <c r="Q50" s="76"/>
      <c r="R50" s="119"/>
      <c r="S50" s="77"/>
      <c r="T50" s="119"/>
      <c r="U50" s="77"/>
      <c r="V50" s="77"/>
      <c r="W50" s="77"/>
      <c r="X50" s="77"/>
      <c r="Y50" s="44">
        <f t="shared" si="10"/>
        <v>0</v>
      </c>
      <c r="Z50" s="77"/>
      <c r="AA50" s="77"/>
      <c r="AB50" s="77"/>
      <c r="AC50" s="3"/>
      <c r="AD50" s="77"/>
      <c r="AE50" s="77"/>
      <c r="AF50" s="77"/>
      <c r="AG50" s="44">
        <f t="shared" si="1"/>
        <v>0</v>
      </c>
      <c r="AH50" s="77"/>
      <c r="AI50" s="77"/>
      <c r="AJ50" s="77"/>
      <c r="AK50" s="77"/>
      <c r="AL50" s="77"/>
      <c r="AM50" s="77"/>
      <c r="AN50" s="77"/>
      <c r="AO50" s="44">
        <f t="shared" si="11"/>
        <v>0</v>
      </c>
      <c r="AP50" s="77"/>
      <c r="AQ50" s="77"/>
      <c r="AR50" s="77"/>
      <c r="AS50" s="3"/>
      <c r="AT50" s="77"/>
      <c r="AU50" s="77"/>
      <c r="AV50" s="77"/>
      <c r="AW50" s="44">
        <f t="shared" si="2"/>
        <v>0</v>
      </c>
      <c r="AX50" s="124">
        <f t="shared" si="12"/>
        <v>0</v>
      </c>
      <c r="AY50" s="44">
        <f t="shared" si="3"/>
        <v>0</v>
      </c>
      <c r="AZ50" s="44">
        <f t="shared" si="4"/>
        <v>0</v>
      </c>
      <c r="BA50" s="44">
        <f t="shared" si="5"/>
        <v>0</v>
      </c>
      <c r="BB50" s="44">
        <f t="shared" si="6"/>
        <v>0</v>
      </c>
      <c r="BC50" s="44">
        <f t="shared" si="7"/>
        <v>0</v>
      </c>
      <c r="BD50" s="44">
        <f t="shared" si="8"/>
        <v>0</v>
      </c>
      <c r="BE50" s="45">
        <f t="shared" si="9"/>
        <v>0</v>
      </c>
      <c r="BF50" s="174"/>
      <c r="BG50" s="172"/>
      <c r="BH50" s="172"/>
      <c r="BI50" s="172"/>
      <c r="BJ50" s="172"/>
      <c r="BK50" s="172"/>
      <c r="BL50" s="172"/>
      <c r="BM50" s="172"/>
      <c r="BN50" s="172"/>
      <c r="BO50" s="172"/>
      <c r="BP50" s="172"/>
      <c r="BQ50" s="172"/>
      <c r="BR50" s="172"/>
      <c r="BS50" s="172"/>
      <c r="BT50" s="172"/>
      <c r="BU50" s="172"/>
    </row>
    <row r="51" spans="1:1061" ht="45" customHeight="1" thickBot="1" x14ac:dyDescent="0.3">
      <c r="A51" s="806"/>
      <c r="B51" s="810"/>
      <c r="C51" s="810"/>
      <c r="D51" s="808"/>
      <c r="E51" s="808"/>
      <c r="F51" s="808"/>
      <c r="G51" s="807"/>
      <c r="H51" s="856"/>
      <c r="I51" s="856"/>
      <c r="J51" s="485" t="s">
        <v>1472</v>
      </c>
      <c r="K51" s="74" t="s">
        <v>1474</v>
      </c>
      <c r="L51" s="76"/>
      <c r="M51" s="77">
        <v>8000</v>
      </c>
      <c r="N51" s="77">
        <v>2000</v>
      </c>
      <c r="O51" s="77">
        <v>1500</v>
      </c>
      <c r="P51" s="77">
        <v>1500</v>
      </c>
      <c r="Q51" s="77">
        <v>3000</v>
      </c>
      <c r="R51" s="119"/>
      <c r="S51" s="77"/>
      <c r="T51" s="119"/>
      <c r="U51" s="77"/>
      <c r="V51" s="77"/>
      <c r="W51" s="77">
        <v>2000</v>
      </c>
      <c r="X51" s="77"/>
      <c r="Y51" s="44">
        <f t="shared" si="10"/>
        <v>2000</v>
      </c>
      <c r="Z51" s="77"/>
      <c r="AA51" s="77"/>
      <c r="AB51" s="77"/>
      <c r="AC51" s="3"/>
      <c r="AD51" s="77"/>
      <c r="AE51" s="77">
        <v>1000</v>
      </c>
      <c r="AF51" s="77"/>
      <c r="AG51" s="44">
        <f t="shared" si="1"/>
        <v>1000</v>
      </c>
      <c r="AH51" s="77"/>
      <c r="AI51" s="77"/>
      <c r="AJ51" s="77"/>
      <c r="AK51" s="77"/>
      <c r="AL51" s="77"/>
      <c r="AM51" s="77">
        <v>1500</v>
      </c>
      <c r="AN51" s="77"/>
      <c r="AO51" s="44">
        <f t="shared" si="11"/>
        <v>1500</v>
      </c>
      <c r="AP51" s="77"/>
      <c r="AQ51" s="77"/>
      <c r="AR51" s="77"/>
      <c r="AS51" s="3"/>
      <c r="AT51" s="77"/>
      <c r="AU51" s="77">
        <v>2500</v>
      </c>
      <c r="AV51" s="77"/>
      <c r="AW51" s="44">
        <f t="shared" si="2"/>
        <v>2500</v>
      </c>
      <c r="AX51" s="124">
        <f t="shared" ref="AX51" si="15">+R51+Z51+AH51+AP51</f>
        <v>0</v>
      </c>
      <c r="AY51" s="44">
        <f t="shared" ref="AY51" si="16">+S51+AA51+AI51+AQ51</f>
        <v>0</v>
      </c>
      <c r="AZ51" s="44">
        <f t="shared" ref="AZ51" si="17">+T51+AB51+AJ51+AR51</f>
        <v>0</v>
      </c>
      <c r="BA51" s="44">
        <f t="shared" ref="BA51" si="18">+U51+AC51+AK51+AS51</f>
        <v>0</v>
      </c>
      <c r="BB51" s="44">
        <f t="shared" ref="BB51" si="19">+V51+AD51+AL51+AT51</f>
        <v>0</v>
      </c>
      <c r="BC51" s="44">
        <f t="shared" ref="BC51" si="20">+W51+AE51+AM51+AU51</f>
        <v>7000</v>
      </c>
      <c r="BD51" s="44">
        <f t="shared" ref="BD51" si="21">+X51+AF51+AN51+AV51</f>
        <v>0</v>
      </c>
      <c r="BE51" s="45">
        <f t="shared" ref="BE51" si="22">+AX51+AY51+AZ51+BA51+BB51+BC51+BD51</f>
        <v>7000</v>
      </c>
      <c r="BF51" s="174"/>
      <c r="BG51" s="172"/>
      <c r="BH51" s="172"/>
      <c r="BI51" s="172"/>
      <c r="BJ51" s="172"/>
      <c r="BK51" s="172"/>
      <c r="BL51" s="172"/>
      <c r="BM51" s="172"/>
      <c r="BN51" s="172"/>
      <c r="BO51" s="172"/>
      <c r="BP51" s="172"/>
      <c r="BQ51" s="172"/>
      <c r="BR51" s="172"/>
      <c r="BS51" s="172"/>
      <c r="BT51" s="172"/>
      <c r="BU51" s="172"/>
    </row>
    <row r="52" spans="1:1061" ht="54.75" thickBot="1" x14ac:dyDescent="0.3">
      <c r="A52" s="806"/>
      <c r="B52" s="810"/>
      <c r="C52" s="810"/>
      <c r="D52" s="808"/>
      <c r="E52" s="808"/>
      <c r="F52" s="808"/>
      <c r="G52" s="173" t="s">
        <v>925</v>
      </c>
      <c r="H52" s="173" t="s">
        <v>1156</v>
      </c>
      <c r="I52" s="74"/>
      <c r="J52" s="173" t="s">
        <v>1270</v>
      </c>
      <c r="K52" s="74" t="s">
        <v>1271</v>
      </c>
      <c r="L52" s="76">
        <v>0</v>
      </c>
      <c r="M52" s="76">
        <v>1</v>
      </c>
      <c r="N52" s="76"/>
      <c r="O52" s="76"/>
      <c r="P52" s="76">
        <v>1</v>
      </c>
      <c r="Q52" s="76"/>
      <c r="R52" s="119"/>
      <c r="S52" s="77"/>
      <c r="T52" s="119"/>
      <c r="U52" s="77"/>
      <c r="V52" s="77"/>
      <c r="W52" s="77"/>
      <c r="X52" s="77"/>
      <c r="Y52" s="44">
        <f t="shared" si="10"/>
        <v>0</v>
      </c>
      <c r="Z52" s="77"/>
      <c r="AA52" s="77"/>
      <c r="AB52" s="77"/>
      <c r="AC52" s="3"/>
      <c r="AD52" s="77"/>
      <c r="AE52" s="77"/>
      <c r="AF52" s="77">
        <v>2000</v>
      </c>
      <c r="AG52" s="44">
        <f t="shared" si="1"/>
        <v>2000</v>
      </c>
      <c r="AH52" s="77"/>
      <c r="AI52" s="77"/>
      <c r="AJ52" s="77"/>
      <c r="AK52" s="77"/>
      <c r="AL52" s="77"/>
      <c r="AM52" s="77"/>
      <c r="AN52" s="77"/>
      <c r="AO52" s="44">
        <f t="shared" si="11"/>
        <v>0</v>
      </c>
      <c r="AP52" s="77"/>
      <c r="AQ52" s="77"/>
      <c r="AR52" s="77"/>
      <c r="AS52" s="3"/>
      <c r="AT52" s="77"/>
      <c r="AU52" s="77"/>
      <c r="AV52" s="77"/>
      <c r="AW52" s="44">
        <f t="shared" si="2"/>
        <v>0</v>
      </c>
      <c r="AX52" s="124">
        <f t="shared" si="12"/>
        <v>0</v>
      </c>
      <c r="AY52" s="44">
        <f t="shared" si="3"/>
        <v>0</v>
      </c>
      <c r="AZ52" s="44">
        <f t="shared" si="4"/>
        <v>0</v>
      </c>
      <c r="BA52" s="44">
        <f t="shared" si="5"/>
        <v>0</v>
      </c>
      <c r="BB52" s="44">
        <f t="shared" si="6"/>
        <v>0</v>
      </c>
      <c r="BC52" s="44">
        <f t="shared" si="7"/>
        <v>0</v>
      </c>
      <c r="BD52" s="44">
        <f t="shared" si="8"/>
        <v>2000</v>
      </c>
      <c r="BE52" s="45">
        <f t="shared" si="9"/>
        <v>2000</v>
      </c>
      <c r="BF52" s="174"/>
      <c r="BG52" s="172"/>
      <c r="BH52" s="172"/>
      <c r="BI52" s="172"/>
      <c r="BJ52" s="172"/>
      <c r="BK52" s="172"/>
      <c r="BL52" s="172"/>
      <c r="BM52" s="172"/>
      <c r="BN52" s="172"/>
      <c r="BO52" s="172"/>
      <c r="BP52" s="172"/>
      <c r="BQ52" s="172"/>
      <c r="BR52" s="172"/>
      <c r="BS52" s="172"/>
      <c r="BT52" s="172"/>
      <c r="BU52" s="172"/>
      <c r="UV52" s="172"/>
      <c r="UW52" s="172"/>
      <c r="UX52" s="172"/>
      <c r="UY52" s="172"/>
      <c r="UZ52" s="172"/>
      <c r="VA52" s="172"/>
      <c r="VB52" s="172"/>
      <c r="VC52" s="172"/>
      <c r="VD52" s="172"/>
      <c r="VE52" s="172"/>
      <c r="VF52" s="172"/>
      <c r="VG52" s="172"/>
      <c r="VH52" s="172"/>
      <c r="VI52" s="172"/>
      <c r="VJ52" s="172"/>
      <c r="VK52" s="172"/>
      <c r="VL52" s="172"/>
      <c r="VM52" s="172"/>
      <c r="VN52" s="172"/>
      <c r="VO52" s="172"/>
      <c r="VP52" s="172"/>
      <c r="VQ52" s="172"/>
      <c r="VR52" s="172"/>
      <c r="VS52" s="172"/>
      <c r="VT52" s="172"/>
      <c r="VU52" s="172"/>
      <c r="VV52" s="172"/>
      <c r="VW52" s="172"/>
      <c r="VX52" s="172"/>
      <c r="VY52" s="172"/>
      <c r="VZ52" s="172"/>
      <c r="WA52" s="172"/>
      <c r="WB52" s="172"/>
      <c r="WC52" s="172"/>
      <c r="WD52" s="172"/>
      <c r="WE52" s="172"/>
      <c r="WF52" s="172"/>
      <c r="WG52" s="172"/>
      <c r="WH52" s="172"/>
      <c r="WI52" s="172"/>
      <c r="WJ52" s="172"/>
      <c r="WK52" s="172"/>
      <c r="WL52" s="172"/>
      <c r="WM52" s="172"/>
      <c r="WN52" s="172"/>
      <c r="WO52" s="172"/>
      <c r="WP52" s="172"/>
      <c r="WQ52" s="172"/>
      <c r="WR52" s="172"/>
      <c r="WS52" s="172"/>
      <c r="WT52" s="172"/>
      <c r="WU52" s="172"/>
      <c r="WV52" s="172"/>
      <c r="WW52" s="172"/>
      <c r="WX52" s="172"/>
      <c r="WY52" s="172"/>
      <c r="WZ52" s="172"/>
      <c r="XA52" s="172"/>
      <c r="XB52" s="172"/>
      <c r="XC52" s="172"/>
      <c r="XD52" s="172"/>
      <c r="XE52" s="172"/>
      <c r="XF52" s="172"/>
      <c r="XG52" s="172"/>
      <c r="XH52" s="172"/>
      <c r="XI52" s="172"/>
      <c r="XJ52" s="172"/>
      <c r="XK52" s="172"/>
      <c r="XL52" s="172"/>
      <c r="XM52" s="172"/>
      <c r="XN52" s="172"/>
      <c r="XO52" s="172"/>
      <c r="XP52" s="172"/>
      <c r="XQ52" s="172"/>
      <c r="XR52" s="172"/>
      <c r="XS52" s="172"/>
      <c r="XT52" s="172"/>
      <c r="XU52" s="172"/>
      <c r="XV52" s="172"/>
      <c r="XW52" s="172"/>
      <c r="XX52" s="172"/>
      <c r="XY52" s="172"/>
      <c r="XZ52" s="172"/>
      <c r="YA52" s="172"/>
      <c r="YB52" s="172"/>
      <c r="YC52" s="172"/>
      <c r="YD52" s="172"/>
      <c r="YE52" s="172"/>
      <c r="YF52" s="172"/>
      <c r="YG52" s="172"/>
      <c r="YH52" s="172"/>
      <c r="YI52" s="172"/>
      <c r="YJ52" s="172"/>
      <c r="YK52" s="172"/>
      <c r="YL52" s="172"/>
      <c r="YM52" s="172"/>
      <c r="YN52" s="172"/>
      <c r="YO52" s="172"/>
      <c r="YP52" s="172"/>
      <c r="YQ52" s="172"/>
      <c r="YR52" s="172"/>
      <c r="YS52" s="172"/>
      <c r="YT52" s="172"/>
      <c r="YU52" s="172"/>
      <c r="YV52" s="172"/>
      <c r="YW52" s="172"/>
      <c r="YX52" s="172"/>
      <c r="YY52" s="172"/>
      <c r="YZ52" s="172"/>
      <c r="ZA52" s="172"/>
      <c r="ZB52" s="172"/>
      <c r="ZC52" s="172"/>
      <c r="ZD52" s="172"/>
      <c r="ZE52" s="172"/>
      <c r="ZF52" s="172"/>
      <c r="ZG52" s="172"/>
      <c r="ZH52" s="172"/>
      <c r="ZI52" s="172"/>
      <c r="ZJ52" s="172"/>
      <c r="ZK52" s="172"/>
      <c r="ZL52" s="172"/>
      <c r="ZM52" s="172"/>
      <c r="ZN52" s="172"/>
      <c r="ZO52" s="172"/>
      <c r="ZP52" s="172"/>
      <c r="ZQ52" s="172"/>
      <c r="ZR52" s="172"/>
      <c r="ZS52" s="172"/>
      <c r="ZT52" s="172"/>
      <c r="ZU52" s="172"/>
      <c r="ZV52" s="172"/>
      <c r="ZW52" s="172"/>
      <c r="ZX52" s="172"/>
      <c r="ZY52" s="172"/>
      <c r="ZZ52" s="172"/>
      <c r="AAA52" s="172"/>
      <c r="AAB52" s="172"/>
      <c r="AAC52" s="172"/>
      <c r="AAD52" s="172"/>
      <c r="AAE52" s="172"/>
      <c r="AAF52" s="172"/>
      <c r="AAG52" s="172"/>
      <c r="AAH52" s="172"/>
      <c r="AAI52" s="172"/>
      <c r="AAJ52" s="172"/>
      <c r="AAK52" s="172"/>
      <c r="AAL52" s="172"/>
      <c r="AAM52" s="172"/>
      <c r="AAN52" s="172"/>
      <c r="AAO52" s="172"/>
      <c r="AAP52" s="172"/>
      <c r="AAQ52" s="172"/>
      <c r="AAR52" s="172"/>
      <c r="AAS52" s="172"/>
      <c r="AAT52" s="172"/>
      <c r="AAU52" s="172"/>
      <c r="AAV52" s="172"/>
      <c r="AAW52" s="172"/>
      <c r="AAX52" s="172"/>
      <c r="AAY52" s="172"/>
      <c r="AAZ52" s="172"/>
      <c r="ABA52" s="172"/>
      <c r="ABB52" s="172"/>
      <c r="ABC52" s="172"/>
      <c r="ABD52" s="172"/>
      <c r="ABE52" s="172"/>
      <c r="ABF52" s="172"/>
      <c r="ABG52" s="172"/>
      <c r="ABH52" s="172"/>
      <c r="ABI52" s="172"/>
      <c r="ABJ52" s="172"/>
      <c r="ABK52" s="172"/>
      <c r="ABL52" s="172"/>
      <c r="ABM52" s="172"/>
      <c r="ABN52" s="172"/>
      <c r="ABO52" s="172"/>
      <c r="ABP52" s="172"/>
      <c r="ABQ52" s="172"/>
      <c r="ABR52" s="172"/>
      <c r="ABS52" s="172"/>
      <c r="ABT52" s="172"/>
      <c r="ABU52" s="172"/>
      <c r="ABV52" s="172"/>
      <c r="ABW52" s="172"/>
      <c r="ABX52" s="172"/>
      <c r="ABY52" s="172"/>
      <c r="ABZ52" s="172"/>
      <c r="ACA52" s="172"/>
      <c r="ACB52" s="172"/>
      <c r="ACC52" s="172"/>
      <c r="ACD52" s="172"/>
      <c r="ACE52" s="172"/>
      <c r="ACF52" s="172"/>
      <c r="ACG52" s="172"/>
      <c r="ACH52" s="172"/>
      <c r="ACI52" s="172"/>
      <c r="ACJ52" s="172"/>
      <c r="ACK52" s="172"/>
      <c r="ACL52" s="172"/>
      <c r="ACM52" s="172"/>
      <c r="ACN52" s="172"/>
      <c r="ACO52" s="172"/>
      <c r="ACP52" s="172"/>
      <c r="ACQ52" s="172"/>
      <c r="ACR52" s="172"/>
      <c r="ACS52" s="172"/>
      <c r="ACT52" s="172"/>
      <c r="ACU52" s="172"/>
      <c r="ACV52" s="172"/>
      <c r="ACW52" s="172"/>
      <c r="ACX52" s="172"/>
      <c r="ACY52" s="172"/>
      <c r="ACZ52" s="172"/>
      <c r="ADA52" s="172"/>
      <c r="ADB52" s="172"/>
      <c r="ADC52" s="172"/>
      <c r="ADD52" s="172"/>
      <c r="ADE52" s="172"/>
      <c r="ADF52" s="172"/>
      <c r="ADG52" s="172"/>
      <c r="ADH52" s="172"/>
      <c r="ADI52" s="172"/>
      <c r="ADJ52" s="172"/>
      <c r="ADK52" s="172"/>
      <c r="ADL52" s="172"/>
      <c r="ADM52" s="172"/>
      <c r="ADN52" s="172"/>
      <c r="ADO52" s="172"/>
      <c r="ADP52" s="172"/>
      <c r="ADQ52" s="172"/>
      <c r="ADR52" s="172"/>
      <c r="ADS52" s="172"/>
      <c r="ADT52" s="172"/>
      <c r="ADU52" s="172"/>
      <c r="ADV52" s="172"/>
      <c r="ADW52" s="172"/>
      <c r="ADX52" s="172"/>
      <c r="ADY52" s="172"/>
      <c r="ADZ52" s="172"/>
      <c r="AEA52" s="172"/>
      <c r="AEB52" s="172"/>
      <c r="AEC52" s="172"/>
      <c r="AED52" s="172"/>
      <c r="AEE52" s="172"/>
      <c r="AEF52" s="172"/>
      <c r="AEG52" s="172"/>
      <c r="AEH52" s="172"/>
      <c r="AEI52" s="172"/>
      <c r="AEJ52" s="172"/>
      <c r="AEK52" s="172"/>
      <c r="AEL52" s="172"/>
      <c r="AEM52" s="172"/>
      <c r="AEN52" s="172"/>
      <c r="AEO52" s="172"/>
      <c r="AEP52" s="172"/>
      <c r="AEQ52" s="172"/>
      <c r="AER52" s="172"/>
      <c r="AES52" s="172"/>
      <c r="AET52" s="172"/>
      <c r="AEU52" s="172"/>
      <c r="AEV52" s="172"/>
      <c r="AEW52" s="172"/>
      <c r="AEX52" s="172"/>
      <c r="AEY52" s="172"/>
      <c r="AEZ52" s="172"/>
      <c r="AFA52" s="172"/>
      <c r="AFB52" s="172"/>
      <c r="AFC52" s="172"/>
      <c r="AFD52" s="172"/>
      <c r="AFE52" s="172"/>
      <c r="AFF52" s="172"/>
      <c r="AFG52" s="172"/>
      <c r="AFH52" s="172"/>
      <c r="AFI52" s="172"/>
      <c r="AFJ52" s="172"/>
      <c r="AFK52" s="172"/>
      <c r="AFL52" s="172"/>
      <c r="AFM52" s="172"/>
      <c r="AFN52" s="172"/>
      <c r="AFO52" s="172"/>
      <c r="AFP52" s="172"/>
      <c r="AFQ52" s="172"/>
      <c r="AFR52" s="172"/>
      <c r="AFS52" s="172"/>
      <c r="AFT52" s="172"/>
      <c r="AFU52" s="172"/>
      <c r="AFV52" s="172"/>
      <c r="AFW52" s="172"/>
      <c r="AFX52" s="172"/>
      <c r="AFY52" s="172"/>
      <c r="AFZ52" s="172"/>
      <c r="AGA52" s="172"/>
      <c r="AGB52" s="172"/>
      <c r="AGC52" s="172"/>
      <c r="AGD52" s="172"/>
      <c r="AGE52" s="172"/>
      <c r="AGF52" s="172"/>
      <c r="AGG52" s="172"/>
      <c r="AGH52" s="172"/>
      <c r="AGI52" s="172"/>
      <c r="AGJ52" s="172"/>
      <c r="AGK52" s="172"/>
      <c r="AGL52" s="172"/>
      <c r="AGM52" s="172"/>
      <c r="AGN52" s="172"/>
      <c r="AGO52" s="172"/>
      <c r="AGP52" s="172"/>
      <c r="AGQ52" s="172"/>
      <c r="AGR52" s="172"/>
      <c r="AGS52" s="172"/>
      <c r="AGT52" s="172"/>
      <c r="AGU52" s="172"/>
      <c r="AGV52" s="172"/>
      <c r="AGW52" s="172"/>
      <c r="AGX52" s="172"/>
      <c r="AGY52" s="172"/>
      <c r="AGZ52" s="172"/>
      <c r="AHA52" s="172"/>
      <c r="AHB52" s="172"/>
      <c r="AHC52" s="172"/>
      <c r="AHD52" s="172"/>
      <c r="AHE52" s="172"/>
      <c r="AHF52" s="172"/>
      <c r="AHG52" s="172"/>
      <c r="AHH52" s="172"/>
      <c r="AHI52" s="172"/>
      <c r="AHJ52" s="172"/>
      <c r="AHK52" s="172"/>
      <c r="AHL52" s="172"/>
      <c r="AHM52" s="172"/>
      <c r="AHN52" s="172"/>
      <c r="AHO52" s="172"/>
      <c r="AHP52" s="172"/>
      <c r="AHQ52" s="172"/>
      <c r="AHR52" s="172"/>
      <c r="AHS52" s="172"/>
      <c r="AHT52" s="172"/>
      <c r="AHU52" s="172"/>
      <c r="AHV52" s="172"/>
      <c r="AHW52" s="172"/>
      <c r="AHX52" s="172"/>
      <c r="AHY52" s="172"/>
      <c r="AHZ52" s="172"/>
      <c r="AIA52" s="172"/>
      <c r="AIB52" s="172"/>
      <c r="AIC52" s="172"/>
      <c r="AID52" s="172"/>
      <c r="AIE52" s="172"/>
      <c r="AIF52" s="172"/>
      <c r="AIG52" s="172"/>
      <c r="AIH52" s="172"/>
      <c r="AII52" s="172"/>
      <c r="AIJ52" s="172"/>
      <c r="AIK52" s="172"/>
      <c r="AIL52" s="172"/>
      <c r="AIM52" s="172"/>
      <c r="AIN52" s="172"/>
      <c r="AIO52" s="172"/>
      <c r="AIP52" s="172"/>
      <c r="AIQ52" s="172"/>
      <c r="AIR52" s="172"/>
      <c r="AIS52" s="172"/>
      <c r="AIT52" s="172"/>
      <c r="AIU52" s="172"/>
      <c r="AIV52" s="172"/>
      <c r="AIW52" s="172"/>
      <c r="AIX52" s="172"/>
      <c r="AIY52" s="172"/>
      <c r="AIZ52" s="172"/>
      <c r="AJA52" s="172"/>
      <c r="AJB52" s="172"/>
      <c r="AJC52" s="172"/>
      <c r="AJD52" s="172"/>
      <c r="AJE52" s="172"/>
      <c r="AJF52" s="172"/>
      <c r="AJG52" s="172"/>
      <c r="AJH52" s="172"/>
      <c r="AJI52" s="172"/>
      <c r="AJJ52" s="172"/>
      <c r="AJK52" s="172"/>
      <c r="AJL52" s="172"/>
      <c r="AJM52" s="172"/>
      <c r="AJN52" s="172"/>
      <c r="AJO52" s="172"/>
      <c r="AJP52" s="172"/>
      <c r="AJQ52" s="172"/>
      <c r="AJR52" s="172"/>
      <c r="AJS52" s="172"/>
      <c r="AJT52" s="172"/>
      <c r="AJU52" s="172"/>
      <c r="AJV52" s="172"/>
      <c r="AJW52" s="172"/>
      <c r="AJX52" s="172"/>
      <c r="AJY52" s="172"/>
      <c r="AJZ52" s="172"/>
      <c r="AKA52" s="172"/>
      <c r="AKB52" s="172"/>
      <c r="AKC52" s="172"/>
      <c r="AKD52" s="172"/>
      <c r="AKE52" s="172"/>
      <c r="AKF52" s="172"/>
      <c r="AKG52" s="172"/>
      <c r="AKH52" s="172"/>
      <c r="AKI52" s="172"/>
      <c r="AKJ52" s="172"/>
      <c r="AKK52" s="172"/>
      <c r="AKL52" s="172"/>
      <c r="AKM52" s="172"/>
      <c r="AKN52" s="172"/>
      <c r="AKO52" s="172"/>
      <c r="AKP52" s="172"/>
      <c r="AKQ52" s="172"/>
      <c r="AKR52" s="172"/>
      <c r="AKS52" s="172"/>
      <c r="AKT52" s="172"/>
      <c r="AKU52" s="172"/>
      <c r="AKV52" s="172"/>
      <c r="AKW52" s="172"/>
      <c r="AKX52" s="172"/>
      <c r="AKY52" s="172"/>
      <c r="AKZ52" s="172"/>
      <c r="ALA52" s="172"/>
      <c r="ALB52" s="172"/>
      <c r="ALC52" s="172"/>
      <c r="ALD52" s="172"/>
      <c r="ALE52" s="172"/>
      <c r="ALF52" s="172"/>
      <c r="ALG52" s="172"/>
      <c r="ALH52" s="172"/>
      <c r="ALI52" s="172"/>
      <c r="ALJ52" s="172"/>
      <c r="ALK52" s="172"/>
      <c r="ALL52" s="172"/>
      <c r="ALM52" s="172"/>
      <c r="ALN52" s="172"/>
      <c r="ALO52" s="172"/>
      <c r="ALP52" s="172"/>
      <c r="ALQ52" s="172"/>
      <c r="ALR52" s="172"/>
      <c r="ALS52" s="172"/>
      <c r="ALT52" s="172"/>
      <c r="ALU52" s="172"/>
      <c r="ALV52" s="172"/>
      <c r="ALW52" s="172"/>
      <c r="ALX52" s="172"/>
      <c r="ALY52" s="172"/>
      <c r="ALZ52" s="172"/>
      <c r="AMA52" s="172"/>
      <c r="AMB52" s="172"/>
      <c r="AMC52" s="172"/>
      <c r="AMD52" s="172"/>
      <c r="AME52" s="172"/>
      <c r="AMF52" s="172"/>
      <c r="AMG52" s="172"/>
      <c r="AMH52" s="172"/>
      <c r="AMI52" s="172"/>
      <c r="AMJ52" s="172"/>
      <c r="AMK52" s="172"/>
      <c r="AML52" s="172"/>
      <c r="AMM52" s="172"/>
      <c r="AMN52" s="172"/>
      <c r="AMO52" s="172"/>
      <c r="AMP52" s="172"/>
      <c r="AMQ52" s="172"/>
      <c r="AMR52" s="172"/>
      <c r="AMS52" s="172"/>
      <c r="AMT52" s="172"/>
      <c r="AMU52" s="172"/>
      <c r="AMV52" s="172"/>
      <c r="AMW52" s="172"/>
      <c r="AMX52" s="172"/>
      <c r="AMY52" s="172"/>
      <c r="AMZ52" s="172"/>
      <c r="ANA52" s="172"/>
      <c r="ANB52" s="172"/>
      <c r="ANC52" s="172"/>
      <c r="AND52" s="172"/>
      <c r="ANE52" s="172"/>
      <c r="ANF52" s="172"/>
      <c r="ANG52" s="172"/>
      <c r="ANH52" s="172"/>
      <c r="ANI52" s="172"/>
      <c r="ANJ52" s="172"/>
      <c r="ANK52" s="172"/>
      <c r="ANL52" s="172"/>
      <c r="ANM52" s="172"/>
      <c r="ANN52" s="172"/>
      <c r="ANO52" s="172"/>
      <c r="ANP52" s="172"/>
      <c r="ANQ52" s="172"/>
      <c r="ANR52" s="172"/>
      <c r="ANS52" s="172"/>
      <c r="ANT52" s="172"/>
      <c r="ANU52" s="172"/>
    </row>
    <row r="53" spans="1:1061" s="172" customFormat="1" ht="81.75" thickBot="1" x14ac:dyDescent="0.3">
      <c r="A53" s="806"/>
      <c r="B53" s="810"/>
      <c r="C53" s="810"/>
      <c r="D53" s="808"/>
      <c r="E53" s="808"/>
      <c r="F53" s="808"/>
      <c r="G53" s="173" t="s">
        <v>926</v>
      </c>
      <c r="H53" s="173" t="s">
        <v>1158</v>
      </c>
      <c r="I53" s="74"/>
      <c r="J53" s="173" t="s">
        <v>1272</v>
      </c>
      <c r="K53" s="74" t="s">
        <v>1273</v>
      </c>
      <c r="L53" s="76">
        <v>0</v>
      </c>
      <c r="M53" s="76">
        <v>6</v>
      </c>
      <c r="N53" s="76">
        <v>6</v>
      </c>
      <c r="O53" s="76"/>
      <c r="P53" s="76"/>
      <c r="Q53" s="76"/>
      <c r="R53" s="119">
        <v>400</v>
      </c>
      <c r="S53" s="77"/>
      <c r="T53" s="119"/>
      <c r="U53" s="77">
        <v>17759</v>
      </c>
      <c r="V53" s="77"/>
      <c r="W53" s="77"/>
      <c r="X53" s="77"/>
      <c r="Y53" s="44">
        <f t="shared" si="10"/>
        <v>18159</v>
      </c>
      <c r="Z53" s="77"/>
      <c r="AA53" s="77"/>
      <c r="AB53" s="77"/>
      <c r="AC53" s="3"/>
      <c r="AD53" s="77"/>
      <c r="AE53" s="77"/>
      <c r="AF53" s="77"/>
      <c r="AG53" s="44">
        <f t="shared" si="1"/>
        <v>0</v>
      </c>
      <c r="AH53" s="77"/>
      <c r="AI53" s="77"/>
      <c r="AJ53" s="77"/>
      <c r="AK53" s="407"/>
      <c r="AL53" s="77"/>
      <c r="AM53" s="77"/>
      <c r="AN53" s="77"/>
      <c r="AO53" s="44">
        <f t="shared" si="11"/>
        <v>0</v>
      </c>
      <c r="AP53" s="77"/>
      <c r="AQ53" s="77"/>
      <c r="AR53" s="77"/>
      <c r="AS53" s="3"/>
      <c r="AT53" s="77"/>
      <c r="AU53" s="77"/>
      <c r="AV53" s="77"/>
      <c r="AW53" s="44">
        <f t="shared" si="2"/>
        <v>0</v>
      </c>
      <c r="AX53" s="124">
        <f t="shared" si="12"/>
        <v>400</v>
      </c>
      <c r="AY53" s="44">
        <f t="shared" si="3"/>
        <v>0</v>
      </c>
      <c r="AZ53" s="44">
        <f t="shared" si="4"/>
        <v>0</v>
      </c>
      <c r="BA53" s="44">
        <f t="shared" si="5"/>
        <v>17759</v>
      </c>
      <c r="BB53" s="44">
        <f t="shared" si="6"/>
        <v>0</v>
      </c>
      <c r="BC53" s="44">
        <f t="shared" si="7"/>
        <v>0</v>
      </c>
      <c r="BD53" s="44">
        <f t="shared" si="8"/>
        <v>0</v>
      </c>
      <c r="BE53" s="45">
        <f t="shared" si="9"/>
        <v>18159</v>
      </c>
      <c r="BF53" s="174"/>
    </row>
    <row r="54" spans="1:1061" s="172" customFormat="1" ht="81.75" thickBot="1" x14ac:dyDescent="0.3">
      <c r="A54" s="806"/>
      <c r="B54" s="810"/>
      <c r="C54" s="810"/>
      <c r="D54" s="808"/>
      <c r="E54" s="808"/>
      <c r="F54" s="808"/>
      <c r="G54" s="405" t="s">
        <v>927</v>
      </c>
      <c r="H54" s="405" t="s">
        <v>1159</v>
      </c>
      <c r="I54" s="406"/>
      <c r="J54" s="173" t="s">
        <v>1274</v>
      </c>
      <c r="K54" s="74" t="s">
        <v>1275</v>
      </c>
      <c r="L54" s="76"/>
      <c r="M54" s="76">
        <v>15</v>
      </c>
      <c r="N54" s="76"/>
      <c r="O54" s="76">
        <v>5</v>
      </c>
      <c r="P54" s="76">
        <v>10</v>
      </c>
      <c r="Q54" s="76">
        <v>15</v>
      </c>
      <c r="R54" s="119"/>
      <c r="S54" s="77"/>
      <c r="T54" s="119"/>
      <c r="U54" s="77"/>
      <c r="V54" s="77"/>
      <c r="W54" s="77"/>
      <c r="X54" s="77"/>
      <c r="Y54" s="44">
        <f t="shared" si="10"/>
        <v>0</v>
      </c>
      <c r="Z54" s="77"/>
      <c r="AA54" s="77"/>
      <c r="AB54" s="77"/>
      <c r="AC54" s="3"/>
      <c r="AD54" s="77"/>
      <c r="AE54" s="77">
        <v>6000</v>
      </c>
      <c r="AF54" s="77"/>
      <c r="AG54" s="44">
        <f t="shared" si="1"/>
        <v>6000</v>
      </c>
      <c r="AH54" s="77"/>
      <c r="AI54" s="77"/>
      <c r="AJ54" s="77"/>
      <c r="AK54" s="407"/>
      <c r="AL54" s="77"/>
      <c r="AM54" s="77">
        <v>6000</v>
      </c>
      <c r="AN54" s="77"/>
      <c r="AO54" s="44">
        <f t="shared" si="11"/>
        <v>6000</v>
      </c>
      <c r="AP54" s="77"/>
      <c r="AQ54" s="77"/>
      <c r="AR54" s="77"/>
      <c r="AS54" s="3"/>
      <c r="AT54" s="77"/>
      <c r="AU54" s="77">
        <v>6000</v>
      </c>
      <c r="AV54" s="77"/>
      <c r="AW54" s="44">
        <f t="shared" si="2"/>
        <v>6000</v>
      </c>
      <c r="AX54" s="124">
        <f t="shared" ref="AX54:AX56" si="23">+R54+Z54+AH54+AP54</f>
        <v>0</v>
      </c>
      <c r="AY54" s="44">
        <f t="shared" ref="AY54:AY56" si="24">+S54+AA54+AI54+AQ54</f>
        <v>0</v>
      </c>
      <c r="AZ54" s="44">
        <f t="shared" ref="AZ54:AZ56" si="25">+T54+AB54+AJ54+AR54</f>
        <v>0</v>
      </c>
      <c r="BA54" s="44">
        <f t="shared" ref="BA54:BA56" si="26">+U54+AC54+AK54+AS54</f>
        <v>0</v>
      </c>
      <c r="BB54" s="44">
        <f t="shared" ref="BB54:BB56" si="27">+V54+AD54+AL54+AT54</f>
        <v>0</v>
      </c>
      <c r="BC54" s="44">
        <f t="shared" ref="BC54:BC56" si="28">+W54+AE54+AM54+AU54</f>
        <v>18000</v>
      </c>
      <c r="BD54" s="44">
        <f t="shared" ref="BD54:BD56" si="29">+X54+AF54+AN54+AV54</f>
        <v>0</v>
      </c>
      <c r="BE54" s="45">
        <f t="shared" ref="BE54:BE56" si="30">+AX54+AY54+AZ54+BA54+BB54+BC54+BD54</f>
        <v>18000</v>
      </c>
      <c r="BF54" s="174"/>
    </row>
    <row r="55" spans="1:1061" s="172" customFormat="1" ht="81.75" thickBot="1" x14ac:dyDescent="0.3">
      <c r="A55" s="806"/>
      <c r="B55" s="810"/>
      <c r="C55" s="810"/>
      <c r="D55" s="808"/>
      <c r="E55" s="808"/>
      <c r="F55" s="808"/>
      <c r="G55" s="857" t="s">
        <v>1503</v>
      </c>
      <c r="H55" s="857" t="s">
        <v>1555</v>
      </c>
      <c r="I55" s="857"/>
      <c r="J55" s="173" t="s">
        <v>1501</v>
      </c>
      <c r="K55" s="74" t="s">
        <v>1502</v>
      </c>
      <c r="L55" s="76">
        <v>2</v>
      </c>
      <c r="M55" s="76">
        <v>10</v>
      </c>
      <c r="N55" s="76">
        <v>1</v>
      </c>
      <c r="O55" s="76">
        <v>3</v>
      </c>
      <c r="P55" s="76">
        <v>6</v>
      </c>
      <c r="Q55" s="76">
        <v>10</v>
      </c>
      <c r="R55" s="119">
        <v>60</v>
      </c>
      <c r="S55" s="77"/>
      <c r="T55" s="119"/>
      <c r="U55" s="77"/>
      <c r="V55" s="77"/>
      <c r="W55" s="77"/>
      <c r="X55" s="77">
        <v>500</v>
      </c>
      <c r="Y55" s="44">
        <f t="shared" si="10"/>
        <v>560</v>
      </c>
      <c r="Z55" s="77">
        <v>60</v>
      </c>
      <c r="AA55" s="77"/>
      <c r="AB55" s="77"/>
      <c r="AC55" s="3"/>
      <c r="AD55" s="77"/>
      <c r="AE55" s="77"/>
      <c r="AF55" s="77">
        <v>1500</v>
      </c>
      <c r="AG55" s="44">
        <f t="shared" si="1"/>
        <v>1560</v>
      </c>
      <c r="AH55" s="77">
        <v>150</v>
      </c>
      <c r="AI55" s="77"/>
      <c r="AJ55" s="77"/>
      <c r="AK55" s="407"/>
      <c r="AL55" s="77"/>
      <c r="AM55" s="77"/>
      <c r="AN55" s="77">
        <v>2500</v>
      </c>
      <c r="AO55" s="44">
        <f t="shared" si="11"/>
        <v>2650</v>
      </c>
      <c r="AP55" s="77">
        <v>150</v>
      </c>
      <c r="AQ55" s="77"/>
      <c r="AR55" s="77"/>
      <c r="AS55" s="3"/>
      <c r="AT55" s="77"/>
      <c r="AU55" s="77"/>
      <c r="AV55" s="77">
        <v>3500</v>
      </c>
      <c r="AW55" s="44">
        <f t="shared" si="2"/>
        <v>3650</v>
      </c>
      <c r="AX55" s="124">
        <f t="shared" si="23"/>
        <v>420</v>
      </c>
      <c r="AY55" s="44">
        <f t="shared" si="24"/>
        <v>0</v>
      </c>
      <c r="AZ55" s="44">
        <f t="shared" si="25"/>
        <v>0</v>
      </c>
      <c r="BA55" s="44">
        <f t="shared" si="26"/>
        <v>0</v>
      </c>
      <c r="BB55" s="44">
        <f t="shared" si="27"/>
        <v>0</v>
      </c>
      <c r="BC55" s="44">
        <f t="shared" si="28"/>
        <v>0</v>
      </c>
      <c r="BD55" s="44">
        <f t="shared" si="29"/>
        <v>8000</v>
      </c>
      <c r="BE55" s="45">
        <f t="shared" si="30"/>
        <v>8420</v>
      </c>
      <c r="BF55" s="174"/>
    </row>
    <row r="56" spans="1:1061" s="172" customFormat="1" ht="68.25" thickBot="1" x14ac:dyDescent="0.3">
      <c r="A56" s="806"/>
      <c r="B56" s="810"/>
      <c r="C56" s="810"/>
      <c r="D56" s="808"/>
      <c r="E56" s="808"/>
      <c r="F56" s="808"/>
      <c r="G56" s="854"/>
      <c r="H56" s="854"/>
      <c r="I56" s="854"/>
      <c r="J56" s="562" t="s">
        <v>1276</v>
      </c>
      <c r="K56" s="568" t="s">
        <v>1277</v>
      </c>
      <c r="L56" s="76">
        <v>0</v>
      </c>
      <c r="M56" s="76">
        <v>1</v>
      </c>
      <c r="N56" s="76"/>
      <c r="O56" s="76">
        <v>1</v>
      </c>
      <c r="P56" s="76"/>
      <c r="Q56" s="76"/>
      <c r="R56" s="119"/>
      <c r="S56" s="77"/>
      <c r="T56" s="119"/>
      <c r="U56" s="77"/>
      <c r="V56" s="77"/>
      <c r="W56" s="77"/>
      <c r="X56" s="77"/>
      <c r="Y56" s="44">
        <f t="shared" ref="Y56" si="31">SUM(R56:X56)</f>
        <v>0</v>
      </c>
      <c r="Z56" s="77"/>
      <c r="AA56" s="77"/>
      <c r="AB56" s="77"/>
      <c r="AC56" s="3"/>
      <c r="AD56" s="77"/>
      <c r="AE56" s="77"/>
      <c r="AF56" s="77">
        <v>500</v>
      </c>
      <c r="AG56" s="44">
        <f t="shared" ref="AG56" si="32">SUM(Z56:AF56)</f>
        <v>500</v>
      </c>
      <c r="AH56" s="77"/>
      <c r="AI56" s="77"/>
      <c r="AJ56" s="77"/>
      <c r="AK56" s="77"/>
      <c r="AL56" s="77"/>
      <c r="AM56" s="77"/>
      <c r="AN56" s="77"/>
      <c r="AO56" s="44">
        <f t="shared" ref="AO56" si="33">SUM(AH56:AN56)</f>
        <v>0</v>
      </c>
      <c r="AP56" s="77"/>
      <c r="AQ56" s="77"/>
      <c r="AR56" s="77"/>
      <c r="AS56" s="3"/>
      <c r="AT56" s="77"/>
      <c r="AU56" s="77"/>
      <c r="AV56" s="77"/>
      <c r="AW56" s="44">
        <f t="shared" ref="AW56" si="34">SUM(AP56:AV56)</f>
        <v>0</v>
      </c>
      <c r="AX56" s="124">
        <f t="shared" si="23"/>
        <v>0</v>
      </c>
      <c r="AY56" s="44">
        <f t="shared" si="24"/>
        <v>0</v>
      </c>
      <c r="AZ56" s="44">
        <f t="shared" si="25"/>
        <v>0</v>
      </c>
      <c r="BA56" s="44">
        <f t="shared" si="26"/>
        <v>0</v>
      </c>
      <c r="BB56" s="44">
        <f t="shared" si="27"/>
        <v>0</v>
      </c>
      <c r="BC56" s="44">
        <f t="shared" si="28"/>
        <v>0</v>
      </c>
      <c r="BD56" s="44">
        <f t="shared" si="29"/>
        <v>500</v>
      </c>
      <c r="BE56" s="45">
        <f t="shared" si="30"/>
        <v>500</v>
      </c>
      <c r="BF56" s="174"/>
    </row>
    <row r="57" spans="1:1061" ht="162.75" thickBot="1" x14ac:dyDescent="0.3">
      <c r="A57" s="806"/>
      <c r="B57" s="810"/>
      <c r="C57" s="810"/>
      <c r="D57" s="808"/>
      <c r="E57" s="808"/>
      <c r="F57" s="808"/>
      <c r="G57" s="578" t="s">
        <v>1556</v>
      </c>
      <c r="H57" s="578" t="s">
        <v>1557</v>
      </c>
      <c r="I57" s="578"/>
      <c r="J57" s="562" t="s">
        <v>1558</v>
      </c>
      <c r="K57" s="568" t="s">
        <v>1559</v>
      </c>
      <c r="L57" s="76">
        <v>0</v>
      </c>
      <c r="M57" s="76">
        <v>1</v>
      </c>
      <c r="N57" s="76"/>
      <c r="O57" s="76">
        <v>1</v>
      </c>
      <c r="P57" s="76"/>
      <c r="Q57" s="76"/>
      <c r="R57" s="119"/>
      <c r="S57" s="77"/>
      <c r="T57" s="119"/>
      <c r="U57" s="77"/>
      <c r="V57" s="77"/>
      <c r="W57" s="77"/>
      <c r="X57" s="77"/>
      <c r="Y57" s="44">
        <f t="shared" si="10"/>
        <v>0</v>
      </c>
      <c r="Z57" s="77"/>
      <c r="AA57" s="77"/>
      <c r="AB57" s="77"/>
      <c r="AC57" s="3"/>
      <c r="AD57" s="77"/>
      <c r="AE57" s="77"/>
      <c r="AF57" s="77"/>
      <c r="AG57" s="44">
        <f t="shared" si="1"/>
        <v>0</v>
      </c>
      <c r="AH57" s="77"/>
      <c r="AI57" s="77"/>
      <c r="AJ57" s="77"/>
      <c r="AK57" s="77"/>
      <c r="AL57" s="77"/>
      <c r="AM57" s="77"/>
      <c r="AN57" s="77"/>
      <c r="AO57" s="44">
        <f t="shared" si="11"/>
        <v>0</v>
      </c>
      <c r="AP57" s="77"/>
      <c r="AQ57" s="77"/>
      <c r="AR57" s="77"/>
      <c r="AS57" s="3"/>
      <c r="AT57" s="77"/>
      <c r="AU57" s="77"/>
      <c r="AV57" s="77"/>
      <c r="AW57" s="44">
        <f t="shared" si="2"/>
        <v>0</v>
      </c>
      <c r="AX57" s="124">
        <f t="shared" si="12"/>
        <v>0</v>
      </c>
      <c r="AY57" s="44">
        <f t="shared" si="3"/>
        <v>0</v>
      </c>
      <c r="AZ57" s="44">
        <f t="shared" si="4"/>
        <v>0</v>
      </c>
      <c r="BA57" s="44">
        <f t="shared" si="5"/>
        <v>0</v>
      </c>
      <c r="BB57" s="44">
        <f t="shared" si="6"/>
        <v>0</v>
      </c>
      <c r="BC57" s="44">
        <f t="shared" si="7"/>
        <v>0</v>
      </c>
      <c r="BD57" s="44">
        <f t="shared" si="8"/>
        <v>0</v>
      </c>
      <c r="BE57" s="45">
        <f t="shared" si="9"/>
        <v>0</v>
      </c>
      <c r="BF57" s="174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</row>
    <row r="58" spans="1:1061" ht="14.25" thickBot="1" x14ac:dyDescent="0.3">
      <c r="A58" s="702" t="s">
        <v>846</v>
      </c>
      <c r="B58" s="645"/>
      <c r="C58" s="645"/>
      <c r="D58" s="645"/>
      <c r="E58" s="645"/>
      <c r="F58" s="645"/>
      <c r="G58" s="645" t="s">
        <v>1561</v>
      </c>
      <c r="H58" s="645"/>
      <c r="I58" s="645"/>
      <c r="J58" s="645" t="s">
        <v>1562</v>
      </c>
      <c r="K58" s="645"/>
      <c r="L58" s="645"/>
      <c r="M58" s="645"/>
      <c r="N58" s="645"/>
      <c r="O58" s="645"/>
      <c r="P58" s="645"/>
      <c r="Q58" s="804"/>
      <c r="R58" s="151">
        <f t="shared" ref="R58:BE58" si="35">SUM(R4:R57)</f>
        <v>485</v>
      </c>
      <c r="S58" s="152">
        <f t="shared" si="35"/>
        <v>0</v>
      </c>
      <c r="T58" s="152">
        <f t="shared" si="35"/>
        <v>0</v>
      </c>
      <c r="U58" s="152">
        <f t="shared" si="35"/>
        <v>447859</v>
      </c>
      <c r="V58" s="152">
        <f t="shared" si="35"/>
        <v>0</v>
      </c>
      <c r="W58" s="152">
        <f t="shared" si="35"/>
        <v>110362</v>
      </c>
      <c r="X58" s="152">
        <f t="shared" si="35"/>
        <v>16770</v>
      </c>
      <c r="Y58" s="152">
        <f t="shared" si="35"/>
        <v>575476</v>
      </c>
      <c r="Z58" s="152">
        <f t="shared" si="35"/>
        <v>450</v>
      </c>
      <c r="AA58" s="152">
        <f t="shared" si="35"/>
        <v>0</v>
      </c>
      <c r="AB58" s="152">
        <f t="shared" si="35"/>
        <v>0</v>
      </c>
      <c r="AC58" s="289">
        <f t="shared" si="35"/>
        <v>463441</v>
      </c>
      <c r="AD58" s="152">
        <f t="shared" si="35"/>
        <v>0</v>
      </c>
      <c r="AE58" s="152">
        <f t="shared" si="35"/>
        <v>48851</v>
      </c>
      <c r="AF58" s="152">
        <f t="shared" si="35"/>
        <v>87280</v>
      </c>
      <c r="AG58" s="152">
        <f t="shared" si="35"/>
        <v>600022</v>
      </c>
      <c r="AH58" s="152">
        <f t="shared" si="35"/>
        <v>1175</v>
      </c>
      <c r="AI58" s="152">
        <f t="shared" si="35"/>
        <v>0</v>
      </c>
      <c r="AJ58" s="152">
        <f t="shared" si="35"/>
        <v>0</v>
      </c>
      <c r="AK58" s="152">
        <f t="shared" si="35"/>
        <v>58669</v>
      </c>
      <c r="AL58" s="152">
        <f t="shared" si="35"/>
        <v>0</v>
      </c>
      <c r="AM58" s="152">
        <f t="shared" si="35"/>
        <v>73062</v>
      </c>
      <c r="AN58" s="152">
        <f t="shared" si="35"/>
        <v>83240</v>
      </c>
      <c r="AO58" s="152">
        <f t="shared" si="35"/>
        <v>216146</v>
      </c>
      <c r="AP58" s="152">
        <f t="shared" si="35"/>
        <v>1400</v>
      </c>
      <c r="AQ58" s="152">
        <f t="shared" si="35"/>
        <v>0</v>
      </c>
      <c r="AR58" s="152">
        <f t="shared" si="35"/>
        <v>0</v>
      </c>
      <c r="AS58" s="289">
        <f t="shared" si="35"/>
        <v>58420</v>
      </c>
      <c r="AT58" s="152">
        <f t="shared" si="35"/>
        <v>0</v>
      </c>
      <c r="AU58" s="152">
        <f t="shared" si="35"/>
        <v>114729</v>
      </c>
      <c r="AV58" s="152">
        <f t="shared" si="35"/>
        <v>84390</v>
      </c>
      <c r="AW58" s="152">
        <f t="shared" si="35"/>
        <v>258939</v>
      </c>
      <c r="AX58" s="152">
        <f t="shared" si="35"/>
        <v>3510</v>
      </c>
      <c r="AY58" s="152">
        <f t="shared" si="35"/>
        <v>0</v>
      </c>
      <c r="AZ58" s="152">
        <f t="shared" si="35"/>
        <v>0</v>
      </c>
      <c r="BA58" s="152">
        <f t="shared" si="35"/>
        <v>1028389</v>
      </c>
      <c r="BB58" s="152">
        <f t="shared" si="35"/>
        <v>0</v>
      </c>
      <c r="BC58" s="152">
        <f t="shared" si="35"/>
        <v>347004</v>
      </c>
      <c r="BD58" s="152">
        <f t="shared" si="35"/>
        <v>271680</v>
      </c>
      <c r="BE58" s="152">
        <f t="shared" si="35"/>
        <v>1650583</v>
      </c>
    </row>
    <row r="59" spans="1:1061" x14ac:dyDescent="0.25">
      <c r="Y59" s="391"/>
      <c r="AG59" s="391"/>
      <c r="AW59" s="391"/>
      <c r="BE59" s="391"/>
    </row>
    <row r="60" spans="1:1061" ht="14.25" thickBot="1" x14ac:dyDescent="0.3"/>
    <row r="61" spans="1:1061" x14ac:dyDescent="0.25">
      <c r="L61" s="824" t="s">
        <v>939</v>
      </c>
      <c r="M61" s="826"/>
      <c r="N61" s="826"/>
      <c r="O61" s="826"/>
      <c r="P61" s="826"/>
      <c r="Q61" s="827"/>
      <c r="R61" s="839"/>
      <c r="S61" s="840"/>
      <c r="T61" s="840"/>
      <c r="U61" s="840"/>
      <c r="V61" s="840"/>
      <c r="W61" s="840"/>
      <c r="X61" s="840"/>
      <c r="Y61" s="840"/>
      <c r="Z61" s="840"/>
      <c r="AA61" s="840"/>
      <c r="AB61" s="840"/>
      <c r="AC61" s="840"/>
      <c r="AD61" s="840"/>
      <c r="AE61" s="840"/>
      <c r="AF61" s="840"/>
      <c r="AG61" s="840"/>
      <c r="AH61" s="840"/>
      <c r="AI61" s="840"/>
      <c r="AJ61" s="840"/>
      <c r="AK61" s="840"/>
      <c r="AL61" s="840"/>
      <c r="AM61" s="840"/>
      <c r="AN61" s="840"/>
      <c r="AO61" s="840"/>
      <c r="AP61" s="840"/>
      <c r="AQ61" s="840"/>
      <c r="AR61" s="840"/>
      <c r="AS61" s="840"/>
      <c r="AT61" s="840"/>
      <c r="AU61" s="840"/>
      <c r="AV61" s="840"/>
      <c r="AW61" s="840"/>
      <c r="AX61" s="840"/>
      <c r="AY61" s="840"/>
      <c r="AZ61" s="840"/>
      <c r="BA61" s="840"/>
      <c r="BB61" s="840"/>
      <c r="BC61" s="840"/>
      <c r="BD61" s="841"/>
      <c r="BE61" s="842"/>
    </row>
    <row r="62" spans="1:1061" x14ac:dyDescent="0.25">
      <c r="L62" s="828"/>
      <c r="M62" s="815"/>
      <c r="N62" s="815"/>
      <c r="O62" s="815"/>
      <c r="P62" s="815"/>
      <c r="Q62" s="830"/>
      <c r="R62" s="831">
        <v>2012</v>
      </c>
      <c r="S62" s="821"/>
      <c r="T62" s="821"/>
      <c r="U62" s="821"/>
      <c r="V62" s="821"/>
      <c r="W62" s="821"/>
      <c r="X62" s="821"/>
      <c r="Y62" s="821"/>
      <c r="Z62" s="821">
        <v>2013</v>
      </c>
      <c r="AA62" s="821"/>
      <c r="AB62" s="821"/>
      <c r="AC62" s="821"/>
      <c r="AD62" s="821"/>
      <c r="AE62" s="821"/>
      <c r="AF62" s="821"/>
      <c r="AG62" s="821"/>
      <c r="AH62" s="821">
        <v>2014</v>
      </c>
      <c r="AI62" s="821"/>
      <c r="AJ62" s="821"/>
      <c r="AK62" s="821"/>
      <c r="AL62" s="821"/>
      <c r="AM62" s="821"/>
      <c r="AN62" s="821"/>
      <c r="AO62" s="821"/>
      <c r="AP62" s="821">
        <v>2015</v>
      </c>
      <c r="AQ62" s="821"/>
      <c r="AR62" s="821"/>
      <c r="AS62" s="821"/>
      <c r="AT62" s="821"/>
      <c r="AU62" s="821"/>
      <c r="AV62" s="821"/>
      <c r="AW62" s="821"/>
      <c r="AX62" s="821" t="s">
        <v>734</v>
      </c>
      <c r="AY62" s="821"/>
      <c r="AZ62" s="821"/>
      <c r="BA62" s="821"/>
      <c r="BB62" s="821"/>
      <c r="BC62" s="821"/>
      <c r="BD62" s="822"/>
      <c r="BE62" s="823"/>
    </row>
    <row r="63" spans="1:1061" ht="27.75" thickBot="1" x14ac:dyDescent="0.3">
      <c r="L63" s="843" t="s">
        <v>826</v>
      </c>
      <c r="M63" s="844"/>
      <c r="N63" s="844"/>
      <c r="O63" s="844"/>
      <c r="P63" s="844"/>
      <c r="Q63" s="845"/>
      <c r="R63" s="209" t="s">
        <v>1400</v>
      </c>
      <c r="S63" s="71" t="s">
        <v>728</v>
      </c>
      <c r="T63" s="71" t="s">
        <v>729</v>
      </c>
      <c r="U63" s="95" t="s">
        <v>937</v>
      </c>
      <c r="V63" s="117" t="s">
        <v>730</v>
      </c>
      <c r="W63" s="71" t="s">
        <v>731</v>
      </c>
      <c r="X63" s="71" t="s">
        <v>732</v>
      </c>
      <c r="Y63" s="71" t="s">
        <v>733</v>
      </c>
      <c r="Z63" s="71" t="s">
        <v>1400</v>
      </c>
      <c r="AA63" s="71" t="s">
        <v>728</v>
      </c>
      <c r="AB63" s="71" t="s">
        <v>729</v>
      </c>
      <c r="AC63" s="296" t="s">
        <v>937</v>
      </c>
      <c r="AD63" s="117" t="s">
        <v>730</v>
      </c>
      <c r="AE63" s="71" t="s">
        <v>731</v>
      </c>
      <c r="AF63" s="71" t="s">
        <v>732</v>
      </c>
      <c r="AG63" s="71" t="s">
        <v>733</v>
      </c>
      <c r="AH63" s="71" t="s">
        <v>1400</v>
      </c>
      <c r="AI63" s="71" t="s">
        <v>728</v>
      </c>
      <c r="AJ63" s="71" t="s">
        <v>729</v>
      </c>
      <c r="AK63" s="95" t="s">
        <v>937</v>
      </c>
      <c r="AL63" s="117" t="s">
        <v>730</v>
      </c>
      <c r="AM63" s="71" t="s">
        <v>731</v>
      </c>
      <c r="AN63" s="71" t="s">
        <v>732</v>
      </c>
      <c r="AO63" s="71" t="s">
        <v>733</v>
      </c>
      <c r="AP63" s="71" t="s">
        <v>1400</v>
      </c>
      <c r="AQ63" s="71" t="s">
        <v>728</v>
      </c>
      <c r="AR63" s="71" t="s">
        <v>729</v>
      </c>
      <c r="AS63" s="290" t="s">
        <v>937</v>
      </c>
      <c r="AT63" s="117" t="s">
        <v>730</v>
      </c>
      <c r="AU63" s="71" t="s">
        <v>731</v>
      </c>
      <c r="AV63" s="71" t="s">
        <v>732</v>
      </c>
      <c r="AW63" s="71" t="s">
        <v>733</v>
      </c>
      <c r="AX63" s="71" t="s">
        <v>1400</v>
      </c>
      <c r="AY63" s="71" t="s">
        <v>728</v>
      </c>
      <c r="AZ63" s="71" t="s">
        <v>729</v>
      </c>
      <c r="BA63" s="95" t="s">
        <v>937</v>
      </c>
      <c r="BB63" s="117" t="s">
        <v>730</v>
      </c>
      <c r="BC63" s="71" t="s">
        <v>731</v>
      </c>
      <c r="BD63" s="72" t="s">
        <v>732</v>
      </c>
      <c r="BE63" s="73" t="s">
        <v>825</v>
      </c>
    </row>
    <row r="64" spans="1:1061" x14ac:dyDescent="0.25">
      <c r="K64" s="394" t="s">
        <v>386</v>
      </c>
      <c r="L64" s="846" t="s">
        <v>387</v>
      </c>
      <c r="M64" s="847"/>
      <c r="N64" s="847"/>
      <c r="O64" s="847"/>
      <c r="P64" s="847"/>
      <c r="Q64" s="848"/>
      <c r="R64" s="112">
        <f>SUM(R4:R25)</f>
        <v>0</v>
      </c>
      <c r="S64" s="395">
        <f t="shared" ref="S64:X64" si="36">SUM(S4:S25)</f>
        <v>0</v>
      </c>
      <c r="T64" s="395">
        <f t="shared" si="36"/>
        <v>0</v>
      </c>
      <c r="U64" s="395">
        <f t="shared" si="36"/>
        <v>50</v>
      </c>
      <c r="V64" s="395">
        <f t="shared" si="36"/>
        <v>0</v>
      </c>
      <c r="W64" s="395">
        <f t="shared" si="36"/>
        <v>0</v>
      </c>
      <c r="X64" s="395">
        <f t="shared" si="36"/>
        <v>0</v>
      </c>
      <c r="Y64" s="395">
        <f>SUM(R64:X64)</f>
        <v>50</v>
      </c>
      <c r="Z64" s="395">
        <f>SUM(Z4:Z25)</f>
        <v>265</v>
      </c>
      <c r="AA64" s="395">
        <f t="shared" ref="AA64:AF64" si="37">SUM(AA4:AA25)</f>
        <v>0</v>
      </c>
      <c r="AB64" s="395">
        <f t="shared" si="37"/>
        <v>0</v>
      </c>
      <c r="AC64" s="297">
        <f t="shared" si="37"/>
        <v>6014</v>
      </c>
      <c r="AD64" s="395">
        <f t="shared" si="37"/>
        <v>0</v>
      </c>
      <c r="AE64" s="395">
        <f t="shared" si="37"/>
        <v>0</v>
      </c>
      <c r="AF64" s="395">
        <f t="shared" si="37"/>
        <v>170</v>
      </c>
      <c r="AG64" s="395">
        <f>SUM(Z64:AF64)</f>
        <v>6449</v>
      </c>
      <c r="AH64" s="395">
        <f>SUM(AH4:AH25)</f>
        <v>350</v>
      </c>
      <c r="AI64" s="395">
        <f t="shared" ref="AI64:AV64" si="38">SUM(AI4:AI25)</f>
        <v>0</v>
      </c>
      <c r="AJ64" s="395">
        <f t="shared" si="38"/>
        <v>0</v>
      </c>
      <c r="AK64" s="395">
        <f t="shared" si="38"/>
        <v>6462</v>
      </c>
      <c r="AL64" s="395">
        <f t="shared" si="38"/>
        <v>0</v>
      </c>
      <c r="AM64" s="395">
        <f t="shared" si="38"/>
        <v>150</v>
      </c>
      <c r="AN64" s="395">
        <f t="shared" si="38"/>
        <v>90</v>
      </c>
      <c r="AO64" s="395">
        <f>SUM(AH64:AN64)</f>
        <v>7052</v>
      </c>
      <c r="AP64" s="395">
        <f t="shared" si="38"/>
        <v>550</v>
      </c>
      <c r="AQ64" s="395">
        <f t="shared" si="38"/>
        <v>0</v>
      </c>
      <c r="AR64" s="395">
        <f t="shared" si="38"/>
        <v>0</v>
      </c>
      <c r="AS64" s="291">
        <f t="shared" si="38"/>
        <v>6713</v>
      </c>
      <c r="AT64" s="395">
        <f t="shared" si="38"/>
        <v>0</v>
      </c>
      <c r="AU64" s="395">
        <f t="shared" si="38"/>
        <v>150</v>
      </c>
      <c r="AV64" s="395">
        <f t="shared" si="38"/>
        <v>140</v>
      </c>
      <c r="AW64" s="395">
        <f>SUM(AP64:AV64)</f>
        <v>7553</v>
      </c>
      <c r="AX64" s="395">
        <f>SUM(AX4:AX25)</f>
        <v>1165</v>
      </c>
      <c r="AY64" s="395">
        <f t="shared" ref="AY64:BD64" si="39">SUM(AY4:AY25)</f>
        <v>0</v>
      </c>
      <c r="AZ64" s="395">
        <f t="shared" si="39"/>
        <v>0</v>
      </c>
      <c r="BA64" s="395">
        <f t="shared" si="39"/>
        <v>19239</v>
      </c>
      <c r="BB64" s="395">
        <f t="shared" si="39"/>
        <v>0</v>
      </c>
      <c r="BC64" s="395">
        <f t="shared" si="39"/>
        <v>300</v>
      </c>
      <c r="BD64" s="395">
        <f t="shared" si="39"/>
        <v>400</v>
      </c>
      <c r="BE64" s="396">
        <f>SUM(AX64:BD64)</f>
        <v>21104</v>
      </c>
    </row>
    <row r="65" spans="11:57" x14ac:dyDescent="0.25">
      <c r="K65" s="394" t="s">
        <v>915</v>
      </c>
      <c r="L65" s="694" t="s">
        <v>916</v>
      </c>
      <c r="M65" s="849"/>
      <c r="N65" s="849"/>
      <c r="O65" s="849"/>
      <c r="P65" s="849"/>
      <c r="Q65" s="850"/>
      <c r="R65" s="157">
        <f>SUM(R28:R34)</f>
        <v>0</v>
      </c>
      <c r="S65" s="397">
        <f t="shared" ref="S65:X65" si="40">SUM(S28:S34)</f>
        <v>0</v>
      </c>
      <c r="T65" s="397">
        <f t="shared" si="40"/>
        <v>0</v>
      </c>
      <c r="U65" s="397">
        <f t="shared" si="40"/>
        <v>50</v>
      </c>
      <c r="V65" s="397">
        <f t="shared" si="40"/>
        <v>0</v>
      </c>
      <c r="W65" s="397">
        <f t="shared" si="40"/>
        <v>38162</v>
      </c>
      <c r="X65" s="397">
        <f t="shared" si="40"/>
        <v>520</v>
      </c>
      <c r="Y65" s="397">
        <f>SUM(R65:X65)</f>
        <v>38732</v>
      </c>
      <c r="Z65" s="397">
        <f>SUM(Z28:Z34)</f>
        <v>50</v>
      </c>
      <c r="AA65" s="397">
        <f t="shared" ref="AA65:AF65" si="41">SUM(AA28:AA34)</f>
        <v>0</v>
      </c>
      <c r="AB65" s="397">
        <f t="shared" si="41"/>
        <v>0</v>
      </c>
      <c r="AC65" s="298">
        <f t="shared" si="41"/>
        <v>40</v>
      </c>
      <c r="AD65" s="397">
        <f t="shared" si="41"/>
        <v>0</v>
      </c>
      <c r="AE65" s="397">
        <f t="shared" si="41"/>
        <v>30212</v>
      </c>
      <c r="AF65" s="397">
        <f t="shared" si="41"/>
        <v>610</v>
      </c>
      <c r="AG65" s="397">
        <f>SUM(Z65:AF65)</f>
        <v>30912</v>
      </c>
      <c r="AH65" s="397">
        <f>SUM(AH28:AH34)</f>
        <v>50</v>
      </c>
      <c r="AI65" s="397">
        <f t="shared" ref="AI65:AV65" si="42">SUM(AI28:AI34)</f>
        <v>0</v>
      </c>
      <c r="AJ65" s="397">
        <f t="shared" si="42"/>
        <v>0</v>
      </c>
      <c r="AK65" s="397">
        <f t="shared" si="42"/>
        <v>40</v>
      </c>
      <c r="AL65" s="397">
        <f t="shared" si="42"/>
        <v>0</v>
      </c>
      <c r="AM65" s="397">
        <f t="shared" si="42"/>
        <v>31712</v>
      </c>
      <c r="AN65" s="397">
        <f t="shared" si="42"/>
        <v>650</v>
      </c>
      <c r="AO65" s="397">
        <f>SUM(AH65:AN65)</f>
        <v>32452</v>
      </c>
      <c r="AP65" s="397">
        <f t="shared" si="42"/>
        <v>50</v>
      </c>
      <c r="AQ65" s="397">
        <f t="shared" si="42"/>
        <v>0</v>
      </c>
      <c r="AR65" s="397">
        <f t="shared" si="42"/>
        <v>0</v>
      </c>
      <c r="AS65" s="292">
        <f t="shared" si="42"/>
        <v>40</v>
      </c>
      <c r="AT65" s="397">
        <f t="shared" si="42"/>
        <v>0</v>
      </c>
      <c r="AU65" s="397">
        <f t="shared" si="42"/>
        <v>31712</v>
      </c>
      <c r="AV65" s="397">
        <f t="shared" si="42"/>
        <v>750</v>
      </c>
      <c r="AW65" s="397">
        <f>SUM(AP65:AV65)</f>
        <v>32552</v>
      </c>
      <c r="AX65" s="397">
        <f>SUM(AX28:AX34)</f>
        <v>150</v>
      </c>
      <c r="AY65" s="397">
        <f t="shared" ref="AY65:BD65" si="43">SUM(AY28:AY34)</f>
        <v>0</v>
      </c>
      <c r="AZ65" s="397">
        <f t="shared" si="43"/>
        <v>0</v>
      </c>
      <c r="BA65" s="397">
        <f t="shared" si="43"/>
        <v>170</v>
      </c>
      <c r="BB65" s="397">
        <f t="shared" si="43"/>
        <v>0</v>
      </c>
      <c r="BC65" s="397">
        <f t="shared" si="43"/>
        <v>131798</v>
      </c>
      <c r="BD65" s="397">
        <f t="shared" si="43"/>
        <v>2530</v>
      </c>
      <c r="BE65" s="398">
        <f>SUM(AX65:BD65)</f>
        <v>134648</v>
      </c>
    </row>
    <row r="66" spans="11:57" x14ac:dyDescent="0.25">
      <c r="K66" s="394" t="s">
        <v>917</v>
      </c>
      <c r="L66" s="694" t="s">
        <v>918</v>
      </c>
      <c r="M66" s="849"/>
      <c r="N66" s="849"/>
      <c r="O66" s="849"/>
      <c r="P66" s="849"/>
      <c r="Q66" s="850"/>
      <c r="R66" s="157">
        <f>SUM(R35:R43)</f>
        <v>25</v>
      </c>
      <c r="S66" s="397">
        <f t="shared" ref="S66:X66" si="44">SUM(S35:S43)</f>
        <v>0</v>
      </c>
      <c r="T66" s="397">
        <f t="shared" si="44"/>
        <v>0</v>
      </c>
      <c r="U66" s="397">
        <f t="shared" si="44"/>
        <v>0</v>
      </c>
      <c r="V66" s="397">
        <f t="shared" si="44"/>
        <v>0</v>
      </c>
      <c r="W66" s="397">
        <f t="shared" si="44"/>
        <v>0</v>
      </c>
      <c r="X66" s="397">
        <f t="shared" si="44"/>
        <v>0</v>
      </c>
      <c r="Y66" s="397">
        <f>SUM(R66:X66)</f>
        <v>25</v>
      </c>
      <c r="Z66" s="397">
        <f>SUM(Z35:Z43)</f>
        <v>75</v>
      </c>
      <c r="AA66" s="397">
        <f t="shared" ref="AA66:AF66" si="45">SUM(AA35:AA43)</f>
        <v>0</v>
      </c>
      <c r="AB66" s="397">
        <f t="shared" si="45"/>
        <v>0</v>
      </c>
      <c r="AC66" s="298">
        <f t="shared" si="45"/>
        <v>220</v>
      </c>
      <c r="AD66" s="397">
        <f t="shared" si="45"/>
        <v>0</v>
      </c>
      <c r="AE66" s="397">
        <f t="shared" si="45"/>
        <v>150</v>
      </c>
      <c r="AF66" s="397">
        <f t="shared" si="45"/>
        <v>0</v>
      </c>
      <c r="AG66" s="397">
        <f>SUM(Z66:AF66)</f>
        <v>445</v>
      </c>
      <c r="AH66" s="397">
        <f>SUM(AH35:AH43)</f>
        <v>125</v>
      </c>
      <c r="AI66" s="397">
        <f t="shared" ref="AI66:AV66" si="46">SUM(AI35:AI43)</f>
        <v>0</v>
      </c>
      <c r="AJ66" s="397">
        <f t="shared" si="46"/>
        <v>0</v>
      </c>
      <c r="AK66" s="397">
        <f t="shared" si="46"/>
        <v>0</v>
      </c>
      <c r="AL66" s="397">
        <f t="shared" si="46"/>
        <v>0</v>
      </c>
      <c r="AM66" s="397">
        <f t="shared" si="46"/>
        <v>0</v>
      </c>
      <c r="AN66" s="397">
        <f t="shared" si="46"/>
        <v>0</v>
      </c>
      <c r="AO66" s="397">
        <f>SUM(AH66:AN66)</f>
        <v>125</v>
      </c>
      <c r="AP66" s="397">
        <f t="shared" si="46"/>
        <v>150</v>
      </c>
      <c r="AQ66" s="397">
        <f t="shared" si="46"/>
        <v>0</v>
      </c>
      <c r="AR66" s="397">
        <f t="shared" si="46"/>
        <v>0</v>
      </c>
      <c r="AS66" s="292">
        <f t="shared" si="46"/>
        <v>0</v>
      </c>
      <c r="AT66" s="397">
        <f t="shared" si="46"/>
        <v>0</v>
      </c>
      <c r="AU66" s="397">
        <f t="shared" si="46"/>
        <v>0</v>
      </c>
      <c r="AV66" s="397">
        <f t="shared" si="46"/>
        <v>0</v>
      </c>
      <c r="AW66" s="397">
        <f>SUM(AP66:AV66)</f>
        <v>150</v>
      </c>
      <c r="AX66" s="397">
        <f>SUM(AX35:AX43)</f>
        <v>375</v>
      </c>
      <c r="AY66" s="397">
        <f t="shared" ref="AY66:BD66" si="47">SUM(AY35:AY43)</f>
        <v>0</v>
      </c>
      <c r="AZ66" s="397">
        <f t="shared" si="47"/>
        <v>0</v>
      </c>
      <c r="BA66" s="397">
        <f t="shared" si="47"/>
        <v>220</v>
      </c>
      <c r="BB66" s="397">
        <f t="shared" si="47"/>
        <v>0</v>
      </c>
      <c r="BC66" s="397">
        <f t="shared" si="47"/>
        <v>150</v>
      </c>
      <c r="BD66" s="397">
        <f t="shared" si="47"/>
        <v>0</v>
      </c>
      <c r="BE66" s="398">
        <f>SUM(AX66:BD66)</f>
        <v>745</v>
      </c>
    </row>
    <row r="67" spans="11:57" ht="27" customHeight="1" x14ac:dyDescent="0.25">
      <c r="K67" s="394" t="s">
        <v>919</v>
      </c>
      <c r="L67" s="694" t="s">
        <v>920</v>
      </c>
      <c r="M67" s="849"/>
      <c r="N67" s="849"/>
      <c r="O67" s="849"/>
      <c r="P67" s="849"/>
      <c r="Q67" s="850"/>
      <c r="R67" s="157">
        <f>SUM(R44:R45)</f>
        <v>0</v>
      </c>
      <c r="S67" s="397">
        <f t="shared" ref="S67:X67" si="48">SUM(S44:S45)</f>
        <v>0</v>
      </c>
      <c r="T67" s="397">
        <f t="shared" si="48"/>
        <v>0</v>
      </c>
      <c r="U67" s="397">
        <f t="shared" si="48"/>
        <v>0</v>
      </c>
      <c r="V67" s="397">
        <f t="shared" si="48"/>
        <v>0</v>
      </c>
      <c r="W67" s="397">
        <f t="shared" si="48"/>
        <v>200</v>
      </c>
      <c r="X67" s="397">
        <f t="shared" si="48"/>
        <v>0</v>
      </c>
      <c r="Y67" s="397">
        <f>SUM(R67:X67)</f>
        <v>200</v>
      </c>
      <c r="Z67" s="397">
        <f>SUM(Z44:Z45)</f>
        <v>0</v>
      </c>
      <c r="AA67" s="397">
        <f t="shared" ref="AA67:AF67" si="49">SUM(AA44:AA45)</f>
        <v>0</v>
      </c>
      <c r="AB67" s="397">
        <f t="shared" si="49"/>
        <v>0</v>
      </c>
      <c r="AC67" s="298">
        <f t="shared" si="49"/>
        <v>500</v>
      </c>
      <c r="AD67" s="397">
        <f t="shared" si="49"/>
        <v>0</v>
      </c>
      <c r="AE67" s="397">
        <f t="shared" si="49"/>
        <v>700</v>
      </c>
      <c r="AF67" s="397">
        <f t="shared" si="49"/>
        <v>0</v>
      </c>
      <c r="AG67" s="397">
        <f>SUM(Z67:AF67)</f>
        <v>1200</v>
      </c>
      <c r="AH67" s="397">
        <f>SUM(AH44:AH45)</f>
        <v>500</v>
      </c>
      <c r="AI67" s="397">
        <f t="shared" ref="AI67:AV67" si="50">SUM(AI44:AI45)</f>
        <v>0</v>
      </c>
      <c r="AJ67" s="397">
        <f t="shared" si="50"/>
        <v>0</v>
      </c>
      <c r="AK67" s="397">
        <f t="shared" si="50"/>
        <v>500</v>
      </c>
      <c r="AL67" s="397">
        <f t="shared" si="50"/>
        <v>0</v>
      </c>
      <c r="AM67" s="397">
        <f t="shared" si="50"/>
        <v>700</v>
      </c>
      <c r="AN67" s="397">
        <f t="shared" si="50"/>
        <v>0</v>
      </c>
      <c r="AO67" s="397">
        <f>SUM(AH67:AN67)</f>
        <v>1700</v>
      </c>
      <c r="AP67" s="397">
        <f t="shared" si="50"/>
        <v>500</v>
      </c>
      <c r="AQ67" s="397">
        <f t="shared" si="50"/>
        <v>0</v>
      </c>
      <c r="AR67" s="397">
        <f t="shared" si="50"/>
        <v>0</v>
      </c>
      <c r="AS67" s="292">
        <f t="shared" si="50"/>
        <v>0</v>
      </c>
      <c r="AT67" s="397">
        <f t="shared" si="50"/>
        <v>0</v>
      </c>
      <c r="AU67" s="397">
        <f t="shared" si="50"/>
        <v>0</v>
      </c>
      <c r="AV67" s="397">
        <f t="shared" si="50"/>
        <v>0</v>
      </c>
      <c r="AW67" s="397">
        <f>SUM(AP67:AV67)</f>
        <v>500</v>
      </c>
      <c r="AX67" s="397">
        <f>SUM(AX44:AX45)</f>
        <v>1000</v>
      </c>
      <c r="AY67" s="397">
        <f t="shared" ref="AY67:BD67" si="51">SUM(AY44:AY45)</f>
        <v>0</v>
      </c>
      <c r="AZ67" s="397">
        <f t="shared" si="51"/>
        <v>0</v>
      </c>
      <c r="BA67" s="397">
        <f t="shared" si="51"/>
        <v>1000</v>
      </c>
      <c r="BB67" s="397">
        <f t="shared" si="51"/>
        <v>0</v>
      </c>
      <c r="BC67" s="397">
        <f t="shared" si="51"/>
        <v>1600</v>
      </c>
      <c r="BD67" s="397">
        <f t="shared" si="51"/>
        <v>0</v>
      </c>
      <c r="BE67" s="398">
        <f>SUM(AX67:BD67)</f>
        <v>3600</v>
      </c>
    </row>
    <row r="68" spans="11:57" ht="14.25" thickBot="1" x14ac:dyDescent="0.3">
      <c r="K68" s="394" t="s">
        <v>921</v>
      </c>
      <c r="L68" s="694" t="s">
        <v>922</v>
      </c>
      <c r="M68" s="849"/>
      <c r="N68" s="849"/>
      <c r="O68" s="849"/>
      <c r="P68" s="849"/>
      <c r="Q68" s="850"/>
      <c r="R68" s="399">
        <f t="shared" ref="R68:X68" si="52">SUM(R46:R57)</f>
        <v>460</v>
      </c>
      <c r="S68" s="400">
        <f t="shared" si="52"/>
        <v>0</v>
      </c>
      <c r="T68" s="400">
        <f t="shared" si="52"/>
        <v>0</v>
      </c>
      <c r="U68" s="400">
        <f t="shared" si="52"/>
        <v>447759</v>
      </c>
      <c r="V68" s="400">
        <f t="shared" si="52"/>
        <v>0</v>
      </c>
      <c r="W68" s="400">
        <f t="shared" si="52"/>
        <v>72000</v>
      </c>
      <c r="X68" s="400">
        <f t="shared" si="52"/>
        <v>16250</v>
      </c>
      <c r="Y68" s="400">
        <f>SUM(R68:X68)</f>
        <v>536469</v>
      </c>
      <c r="Z68" s="400">
        <f t="shared" ref="Z68:AF68" si="53">SUM(Z46:Z57)</f>
        <v>60</v>
      </c>
      <c r="AA68" s="400">
        <f t="shared" si="53"/>
        <v>0</v>
      </c>
      <c r="AB68" s="400">
        <f t="shared" si="53"/>
        <v>0</v>
      </c>
      <c r="AC68" s="299">
        <f t="shared" si="53"/>
        <v>456667</v>
      </c>
      <c r="AD68" s="400">
        <f t="shared" si="53"/>
        <v>0</v>
      </c>
      <c r="AE68" s="400">
        <f t="shared" si="53"/>
        <v>17789</v>
      </c>
      <c r="AF68" s="400">
        <f t="shared" si="53"/>
        <v>86500</v>
      </c>
      <c r="AG68" s="400">
        <f>SUM(Z68:AF68)</f>
        <v>561016</v>
      </c>
      <c r="AH68" s="400">
        <f t="shared" ref="AH68:AN68" si="54">SUM(AH46:AH57)</f>
        <v>150</v>
      </c>
      <c r="AI68" s="400">
        <f t="shared" si="54"/>
        <v>0</v>
      </c>
      <c r="AJ68" s="400">
        <f t="shared" si="54"/>
        <v>0</v>
      </c>
      <c r="AK68" s="400">
        <f t="shared" si="54"/>
        <v>51667</v>
      </c>
      <c r="AL68" s="400">
        <f t="shared" si="54"/>
        <v>0</v>
      </c>
      <c r="AM68" s="400">
        <f t="shared" si="54"/>
        <v>40500</v>
      </c>
      <c r="AN68" s="400">
        <f t="shared" si="54"/>
        <v>82500</v>
      </c>
      <c r="AO68" s="400">
        <f>SUM(AH68:AN68)</f>
        <v>174817</v>
      </c>
      <c r="AP68" s="400">
        <f t="shared" ref="AP68:AV68" si="55">SUM(AP46:AP57)</f>
        <v>150</v>
      </c>
      <c r="AQ68" s="400">
        <f t="shared" si="55"/>
        <v>0</v>
      </c>
      <c r="AR68" s="400">
        <f t="shared" si="55"/>
        <v>0</v>
      </c>
      <c r="AS68" s="293">
        <f t="shared" si="55"/>
        <v>51667</v>
      </c>
      <c r="AT68" s="400">
        <f t="shared" si="55"/>
        <v>0</v>
      </c>
      <c r="AU68" s="400">
        <f t="shared" si="55"/>
        <v>82867</v>
      </c>
      <c r="AV68" s="400">
        <f t="shared" si="55"/>
        <v>83500</v>
      </c>
      <c r="AW68" s="400">
        <f>SUM(AP68:AV68)</f>
        <v>218184</v>
      </c>
      <c r="AX68" s="400">
        <f t="shared" ref="AX68:BD68" si="56">SUM(AX46:AX57)</f>
        <v>820</v>
      </c>
      <c r="AY68" s="400">
        <f t="shared" si="56"/>
        <v>0</v>
      </c>
      <c r="AZ68" s="400">
        <f t="shared" si="56"/>
        <v>0</v>
      </c>
      <c r="BA68" s="400">
        <f t="shared" si="56"/>
        <v>1007760</v>
      </c>
      <c r="BB68" s="400">
        <f t="shared" si="56"/>
        <v>0</v>
      </c>
      <c r="BC68" s="400">
        <f t="shared" si="56"/>
        <v>213156</v>
      </c>
      <c r="BD68" s="400">
        <f t="shared" si="56"/>
        <v>268750</v>
      </c>
      <c r="BE68" s="401">
        <f>SUM(AX68:BD68)</f>
        <v>1490486</v>
      </c>
    </row>
    <row r="69" spans="11:57" ht="14.25" thickBot="1" x14ac:dyDescent="0.3">
      <c r="L69" s="836" t="s">
        <v>823</v>
      </c>
      <c r="M69" s="837"/>
      <c r="N69" s="837"/>
      <c r="O69" s="837"/>
      <c r="P69" s="837"/>
      <c r="Q69" s="838"/>
      <c r="R69" s="113">
        <f>SUM(R64:R68)</f>
        <v>485</v>
      </c>
      <c r="S69" s="113">
        <f t="shared" ref="S69:BE69" si="57">SUM(S64:S68)</f>
        <v>0</v>
      </c>
      <c r="T69" s="113">
        <f t="shared" si="57"/>
        <v>0</v>
      </c>
      <c r="U69" s="113">
        <f t="shared" si="57"/>
        <v>447859</v>
      </c>
      <c r="V69" s="113">
        <f t="shared" si="57"/>
        <v>0</v>
      </c>
      <c r="W69" s="113">
        <f t="shared" si="57"/>
        <v>110362</v>
      </c>
      <c r="X69" s="113">
        <f t="shared" si="57"/>
        <v>16770</v>
      </c>
      <c r="Y69" s="113">
        <f t="shared" si="57"/>
        <v>575476</v>
      </c>
      <c r="Z69" s="113">
        <f t="shared" si="57"/>
        <v>450</v>
      </c>
      <c r="AA69" s="114">
        <f t="shared" si="57"/>
        <v>0</v>
      </c>
      <c r="AB69" s="114">
        <f t="shared" si="57"/>
        <v>0</v>
      </c>
      <c r="AC69" s="300">
        <f t="shared" si="57"/>
        <v>463441</v>
      </c>
      <c r="AD69" s="114">
        <f t="shared" si="57"/>
        <v>0</v>
      </c>
      <c r="AE69" s="114">
        <f t="shared" si="57"/>
        <v>48851</v>
      </c>
      <c r="AF69" s="114">
        <f t="shared" si="57"/>
        <v>87280</v>
      </c>
      <c r="AG69" s="114">
        <f t="shared" si="57"/>
        <v>600022</v>
      </c>
      <c r="AH69" s="114">
        <f t="shared" si="57"/>
        <v>1175</v>
      </c>
      <c r="AI69" s="114">
        <f t="shared" si="57"/>
        <v>0</v>
      </c>
      <c r="AJ69" s="114">
        <f t="shared" si="57"/>
        <v>0</v>
      </c>
      <c r="AK69" s="114">
        <f t="shared" si="57"/>
        <v>58669</v>
      </c>
      <c r="AL69" s="114">
        <f t="shared" si="57"/>
        <v>0</v>
      </c>
      <c r="AM69" s="114">
        <f t="shared" si="57"/>
        <v>73062</v>
      </c>
      <c r="AN69" s="114">
        <f t="shared" si="57"/>
        <v>83240</v>
      </c>
      <c r="AO69" s="114">
        <f t="shared" si="57"/>
        <v>216146</v>
      </c>
      <c r="AP69" s="114">
        <f t="shared" si="57"/>
        <v>1400</v>
      </c>
      <c r="AQ69" s="114">
        <f t="shared" si="57"/>
        <v>0</v>
      </c>
      <c r="AR69" s="114">
        <f t="shared" si="57"/>
        <v>0</v>
      </c>
      <c r="AS69" s="294">
        <f t="shared" si="57"/>
        <v>58420</v>
      </c>
      <c r="AT69" s="114">
        <f t="shared" si="57"/>
        <v>0</v>
      </c>
      <c r="AU69" s="114">
        <f t="shared" si="57"/>
        <v>114729</v>
      </c>
      <c r="AV69" s="114">
        <f t="shared" si="57"/>
        <v>84390</v>
      </c>
      <c r="AW69" s="114">
        <f t="shared" si="57"/>
        <v>258939</v>
      </c>
      <c r="AX69" s="114">
        <f t="shared" si="57"/>
        <v>3510</v>
      </c>
      <c r="AY69" s="114">
        <f t="shared" si="57"/>
        <v>0</v>
      </c>
      <c r="AZ69" s="114">
        <f t="shared" si="57"/>
        <v>0</v>
      </c>
      <c r="BA69" s="114">
        <f t="shared" si="57"/>
        <v>1028389</v>
      </c>
      <c r="BB69" s="114">
        <f t="shared" si="57"/>
        <v>0</v>
      </c>
      <c r="BC69" s="114">
        <f t="shared" si="57"/>
        <v>347004</v>
      </c>
      <c r="BD69" s="114">
        <f t="shared" si="57"/>
        <v>271680</v>
      </c>
      <c r="BE69" s="115">
        <f t="shared" si="57"/>
        <v>1650583</v>
      </c>
    </row>
    <row r="70" spans="11:57" x14ac:dyDescent="0.25">
      <c r="R70" s="391">
        <f>+R58-R69</f>
        <v>0</v>
      </c>
      <c r="S70" s="391">
        <f t="shared" ref="S70:BE70" si="58">+S58-S69</f>
        <v>0</v>
      </c>
      <c r="T70" s="391">
        <f t="shared" si="58"/>
        <v>0</v>
      </c>
      <c r="U70" s="391">
        <f t="shared" si="58"/>
        <v>0</v>
      </c>
      <c r="V70" s="391">
        <f t="shared" si="58"/>
        <v>0</v>
      </c>
      <c r="W70" s="391">
        <f t="shared" si="58"/>
        <v>0</v>
      </c>
      <c r="X70" s="391">
        <f t="shared" si="58"/>
        <v>0</v>
      </c>
      <c r="Y70" s="391">
        <f t="shared" si="58"/>
        <v>0</v>
      </c>
      <c r="Z70" s="391">
        <f t="shared" si="58"/>
        <v>0</v>
      </c>
      <c r="AA70" s="391">
        <f t="shared" si="58"/>
        <v>0</v>
      </c>
      <c r="AB70" s="391">
        <f t="shared" si="58"/>
        <v>0</v>
      </c>
      <c r="AC70" s="392">
        <f t="shared" si="58"/>
        <v>0</v>
      </c>
      <c r="AD70" s="391">
        <f t="shared" si="58"/>
        <v>0</v>
      </c>
      <c r="AE70" s="391">
        <f t="shared" si="58"/>
        <v>0</v>
      </c>
      <c r="AF70" s="391">
        <f t="shared" si="58"/>
        <v>0</v>
      </c>
      <c r="AG70" s="391">
        <f t="shared" si="58"/>
        <v>0</v>
      </c>
      <c r="AH70" s="391">
        <f t="shared" si="58"/>
        <v>0</v>
      </c>
      <c r="AI70" s="391">
        <f t="shared" si="58"/>
        <v>0</v>
      </c>
      <c r="AJ70" s="391">
        <f t="shared" si="58"/>
        <v>0</v>
      </c>
      <c r="AK70" s="391">
        <f t="shared" si="58"/>
        <v>0</v>
      </c>
      <c r="AL70" s="391">
        <f t="shared" si="58"/>
        <v>0</v>
      </c>
      <c r="AM70" s="391">
        <f t="shared" si="58"/>
        <v>0</v>
      </c>
      <c r="AN70" s="391">
        <f t="shared" si="58"/>
        <v>0</v>
      </c>
      <c r="AO70" s="391">
        <f t="shared" si="58"/>
        <v>0</v>
      </c>
      <c r="AP70" s="391">
        <f t="shared" si="58"/>
        <v>0</v>
      </c>
      <c r="AQ70" s="391">
        <f t="shared" si="58"/>
        <v>0</v>
      </c>
      <c r="AR70" s="391">
        <f t="shared" si="58"/>
        <v>0</v>
      </c>
      <c r="AS70" s="402">
        <f t="shared" si="58"/>
        <v>0</v>
      </c>
      <c r="AT70" s="391">
        <f t="shared" si="58"/>
        <v>0</v>
      </c>
      <c r="AU70" s="391">
        <f t="shared" si="58"/>
        <v>0</v>
      </c>
      <c r="AV70" s="391">
        <f t="shared" si="58"/>
        <v>0</v>
      </c>
      <c r="AW70" s="391">
        <f t="shared" si="58"/>
        <v>0</v>
      </c>
      <c r="AX70" s="391">
        <f t="shared" si="58"/>
        <v>0</v>
      </c>
      <c r="AY70" s="391">
        <f t="shared" si="58"/>
        <v>0</v>
      </c>
      <c r="AZ70" s="391">
        <f t="shared" si="58"/>
        <v>0</v>
      </c>
      <c r="BA70" s="391">
        <f t="shared" si="58"/>
        <v>0</v>
      </c>
      <c r="BB70" s="391">
        <f t="shared" si="58"/>
        <v>0</v>
      </c>
      <c r="BC70" s="391">
        <f t="shared" si="58"/>
        <v>0</v>
      </c>
      <c r="BD70" s="391">
        <f t="shared" si="58"/>
        <v>0</v>
      </c>
      <c r="BE70" s="391">
        <f t="shared" si="58"/>
        <v>0</v>
      </c>
    </row>
  </sheetData>
  <mergeCells count="98">
    <mergeCell ref="G55:G56"/>
    <mergeCell ref="H55:H56"/>
    <mergeCell ref="I55:I56"/>
    <mergeCell ref="B4:B27"/>
    <mergeCell ref="C4:C27"/>
    <mergeCell ref="D4:D27"/>
    <mergeCell ref="E4:E27"/>
    <mergeCell ref="F4:F27"/>
    <mergeCell ref="B28:B34"/>
    <mergeCell ref="B35:B43"/>
    <mergeCell ref="I4:I5"/>
    <mergeCell ref="C35:C43"/>
    <mergeCell ref="D28:D34"/>
    <mergeCell ref="C28:C34"/>
    <mergeCell ref="H42:H43"/>
    <mergeCell ref="I21:I23"/>
    <mergeCell ref="I24:I25"/>
    <mergeCell ref="H4:H5"/>
    <mergeCell ref="D35:D43"/>
    <mergeCell ref="I40:I41"/>
    <mergeCell ref="J46:J47"/>
    <mergeCell ref="E35:E43"/>
    <mergeCell ref="I10:I13"/>
    <mergeCell ref="I14:I17"/>
    <mergeCell ref="I18:I19"/>
    <mergeCell ref="J40:J41"/>
    <mergeCell ref="F35:F43"/>
    <mergeCell ref="G36:G38"/>
    <mergeCell ref="H36:H38"/>
    <mergeCell ref="I36:I38"/>
    <mergeCell ref="G40:G41"/>
    <mergeCell ref="H40:H41"/>
    <mergeCell ref="N46:Q46"/>
    <mergeCell ref="J48:J50"/>
    <mergeCell ref="G46:G47"/>
    <mergeCell ref="H46:H47"/>
    <mergeCell ref="I46:I47"/>
    <mergeCell ref="G48:G51"/>
    <mergeCell ref="H48:H51"/>
    <mergeCell ref="I48:I51"/>
    <mergeCell ref="N28:Q28"/>
    <mergeCell ref="I28:I31"/>
    <mergeCell ref="H28:H31"/>
    <mergeCell ref="G28:G31"/>
    <mergeCell ref="F28:F34"/>
    <mergeCell ref="G33:G34"/>
    <mergeCell ref="H33:H34"/>
    <mergeCell ref="I33:I34"/>
    <mergeCell ref="L69:Q69"/>
    <mergeCell ref="L61:Q62"/>
    <mergeCell ref="R61:BE61"/>
    <mergeCell ref="R62:Y62"/>
    <mergeCell ref="Z62:AG62"/>
    <mergeCell ref="AH62:AO62"/>
    <mergeCell ref="AP62:AW62"/>
    <mergeCell ref="AX62:BE62"/>
    <mergeCell ref="L63:Q63"/>
    <mergeCell ref="L64:Q64"/>
    <mergeCell ref="L65:Q65"/>
    <mergeCell ref="L66:Q66"/>
    <mergeCell ref="L67:Q67"/>
    <mergeCell ref="L68:Q68"/>
    <mergeCell ref="B44:B45"/>
    <mergeCell ref="C44:C45"/>
    <mergeCell ref="D44:D45"/>
    <mergeCell ref="E44:E45"/>
    <mergeCell ref="F44:F45"/>
    <mergeCell ref="G4:G5"/>
    <mergeCell ref="R1:BE1"/>
    <mergeCell ref="D2:F2"/>
    <mergeCell ref="G2:H3"/>
    <mergeCell ref="I2:I3"/>
    <mergeCell ref="Z2:AG2"/>
    <mergeCell ref="AH2:AO2"/>
    <mergeCell ref="AX2:BE2"/>
    <mergeCell ref="A1:Q1"/>
    <mergeCell ref="B2:C3"/>
    <mergeCell ref="A2:A3"/>
    <mergeCell ref="N2:Q2"/>
    <mergeCell ref="AP2:AW2"/>
    <mergeCell ref="R2:Y2"/>
    <mergeCell ref="J2:M2"/>
    <mergeCell ref="G42:G43"/>
    <mergeCell ref="A58:C58"/>
    <mergeCell ref="D58:F58"/>
    <mergeCell ref="G58:I58"/>
    <mergeCell ref="J58:Q58"/>
    <mergeCell ref="A4:A57"/>
    <mergeCell ref="D46:D57"/>
    <mergeCell ref="E46:E57"/>
    <mergeCell ref="F46:F57"/>
    <mergeCell ref="B46:B57"/>
    <mergeCell ref="C46:C57"/>
    <mergeCell ref="E28:E34"/>
    <mergeCell ref="G6:G25"/>
    <mergeCell ref="H6:H25"/>
    <mergeCell ref="I6:I9"/>
    <mergeCell ref="J4:J5"/>
  </mergeCells>
  <phoneticPr fontId="3" type="noConversion"/>
  <printOptions horizontalCentered="1"/>
  <pageMargins left="0.70866141732283472" right="0.70866141732283472" top="0.94488188976377963" bottom="0.74803149606299213" header="0.31496062992125984" footer="0.31496062992125984"/>
  <pageSetup paperSize="5" orientation="landscape" r:id="rId1"/>
  <headerFooter>
    <oddHeader>&amp;L&amp;"Arial Narrow,Normal"&amp;10DEPARTAMENTO DEL MAGDALENA&amp;C&amp;"Arial Narrow,Normal"&amp;10PLAN DE DESARROLLLO 2012 - 2015&amp;R&amp;"Arial Narrow,Normal"&amp;10PLAN PLURIANUAL DE INVERSIONES (en millones $)</oddHeader>
    <oddFooter>&amp;C&amp;P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6"/>
  <sheetViews>
    <sheetView zoomScale="90" zoomScaleNormal="90" workbookViewId="0">
      <selection activeCell="BF84" sqref="BF84"/>
    </sheetView>
  </sheetViews>
  <sheetFormatPr baseColWidth="10" defaultColWidth="11.42578125" defaultRowHeight="13.5" x14ac:dyDescent="0.25"/>
  <cols>
    <col min="1" max="1" width="16.42578125" style="66" customWidth="1"/>
    <col min="2" max="2" width="3.85546875" style="66" customWidth="1"/>
    <col min="3" max="4" width="15.5703125" style="66" customWidth="1"/>
    <col min="5" max="5" width="17.5703125" style="66" customWidth="1"/>
    <col min="6" max="6" width="8.140625" style="66" customWidth="1"/>
    <col min="7" max="7" width="8.7109375" style="66" customWidth="1"/>
    <col min="8" max="8" width="5.28515625" style="66" bestFit="1" customWidth="1"/>
    <col min="9" max="9" width="21.28515625" style="66" customWidth="1"/>
    <col min="10" max="10" width="14.28515625" style="66" customWidth="1"/>
    <col min="11" max="11" width="24.7109375" style="66" customWidth="1"/>
    <col min="12" max="13" width="11.42578125" style="66"/>
    <col min="14" max="14" width="11.140625" style="66" customWidth="1"/>
    <col min="15" max="15" width="7.140625" style="66" customWidth="1"/>
    <col min="16" max="16" width="7.28515625" style="66" customWidth="1"/>
    <col min="17" max="18" width="6.5703125" style="66" customWidth="1"/>
    <col min="19" max="16384" width="11.42578125" style="66"/>
  </cols>
  <sheetData>
    <row r="1" spans="1:60" ht="15" customHeight="1" x14ac:dyDescent="0.25">
      <c r="A1" s="863" t="s">
        <v>735</v>
      </c>
      <c r="B1" s="864"/>
      <c r="C1" s="864"/>
      <c r="D1" s="864"/>
      <c r="E1" s="864"/>
      <c r="F1" s="864"/>
      <c r="G1" s="864"/>
      <c r="H1" s="864"/>
      <c r="I1" s="864"/>
      <c r="J1" s="864"/>
      <c r="K1" s="864"/>
      <c r="L1" s="864"/>
      <c r="M1" s="864"/>
      <c r="N1" s="864"/>
      <c r="O1" s="864"/>
      <c r="P1" s="864"/>
      <c r="Q1" s="864"/>
      <c r="R1" s="865"/>
      <c r="S1" s="862" t="s">
        <v>1117</v>
      </c>
      <c r="T1" s="813"/>
      <c r="U1" s="813"/>
      <c r="V1" s="813"/>
      <c r="W1" s="813"/>
      <c r="X1" s="813"/>
      <c r="Y1" s="813"/>
      <c r="Z1" s="813"/>
      <c r="AA1" s="813"/>
      <c r="AB1" s="813"/>
      <c r="AC1" s="813"/>
      <c r="AD1" s="813"/>
      <c r="AE1" s="813"/>
      <c r="AF1" s="813"/>
      <c r="AG1" s="813"/>
      <c r="AH1" s="813"/>
      <c r="AI1" s="813"/>
      <c r="AJ1" s="813"/>
      <c r="AK1" s="813"/>
      <c r="AL1" s="813"/>
      <c r="AM1" s="813"/>
      <c r="AN1" s="813"/>
      <c r="AO1" s="813"/>
      <c r="AP1" s="813"/>
      <c r="AQ1" s="813"/>
      <c r="AR1" s="813"/>
      <c r="AS1" s="813"/>
      <c r="AT1" s="813"/>
      <c r="AU1" s="813"/>
      <c r="AV1" s="813"/>
      <c r="AW1" s="813"/>
      <c r="AX1" s="813"/>
      <c r="AY1" s="813"/>
      <c r="AZ1" s="813"/>
      <c r="BA1" s="813"/>
      <c r="BB1" s="813"/>
      <c r="BC1" s="813"/>
      <c r="BD1" s="813"/>
      <c r="BE1" s="813"/>
      <c r="BF1" s="814"/>
    </row>
    <row r="2" spans="1:60" ht="15" customHeight="1" x14ac:dyDescent="0.25">
      <c r="A2" s="828" t="s">
        <v>717</v>
      </c>
      <c r="B2" s="816" t="s">
        <v>718</v>
      </c>
      <c r="C2" s="817"/>
      <c r="D2" s="815" t="s">
        <v>725</v>
      </c>
      <c r="E2" s="815"/>
      <c r="F2" s="815"/>
      <c r="G2" s="815"/>
      <c r="H2" s="816" t="s">
        <v>719</v>
      </c>
      <c r="I2" s="817"/>
      <c r="J2" s="815" t="s">
        <v>720</v>
      </c>
      <c r="K2" s="815" t="s">
        <v>726</v>
      </c>
      <c r="L2" s="815"/>
      <c r="M2" s="815"/>
      <c r="N2" s="815"/>
      <c r="O2" s="815" t="s">
        <v>727</v>
      </c>
      <c r="P2" s="815"/>
      <c r="Q2" s="815"/>
      <c r="R2" s="830"/>
      <c r="S2" s="821">
        <v>2012</v>
      </c>
      <c r="T2" s="821"/>
      <c r="U2" s="821"/>
      <c r="V2" s="821"/>
      <c r="W2" s="821"/>
      <c r="X2" s="821"/>
      <c r="Y2" s="821"/>
      <c r="Z2" s="821"/>
      <c r="AA2" s="821">
        <v>2013</v>
      </c>
      <c r="AB2" s="821"/>
      <c r="AC2" s="821"/>
      <c r="AD2" s="821"/>
      <c r="AE2" s="821"/>
      <c r="AF2" s="821"/>
      <c r="AG2" s="821"/>
      <c r="AH2" s="821"/>
      <c r="AI2" s="821">
        <v>2014</v>
      </c>
      <c r="AJ2" s="821"/>
      <c r="AK2" s="821"/>
      <c r="AL2" s="821"/>
      <c r="AM2" s="821"/>
      <c r="AN2" s="821"/>
      <c r="AO2" s="821"/>
      <c r="AP2" s="821"/>
      <c r="AQ2" s="821">
        <v>2015</v>
      </c>
      <c r="AR2" s="821"/>
      <c r="AS2" s="821"/>
      <c r="AT2" s="821"/>
      <c r="AU2" s="821"/>
      <c r="AV2" s="821"/>
      <c r="AW2" s="821"/>
      <c r="AX2" s="821"/>
      <c r="AY2" s="821" t="s">
        <v>734</v>
      </c>
      <c r="AZ2" s="821"/>
      <c r="BA2" s="821"/>
      <c r="BB2" s="821"/>
      <c r="BC2" s="821"/>
      <c r="BD2" s="821"/>
      <c r="BE2" s="822"/>
      <c r="BF2" s="823"/>
    </row>
    <row r="3" spans="1:60" ht="27.75" thickBot="1" x14ac:dyDescent="0.3">
      <c r="A3" s="843"/>
      <c r="B3" s="868"/>
      <c r="C3" s="869"/>
      <c r="D3" s="67" t="s">
        <v>89</v>
      </c>
      <c r="E3" s="68" t="s">
        <v>736</v>
      </c>
      <c r="F3" s="68" t="s">
        <v>723</v>
      </c>
      <c r="G3" s="68" t="s">
        <v>818</v>
      </c>
      <c r="H3" s="868"/>
      <c r="I3" s="869"/>
      <c r="J3" s="844"/>
      <c r="K3" s="69" t="s">
        <v>721</v>
      </c>
      <c r="L3" s="69" t="s">
        <v>722</v>
      </c>
      <c r="M3" s="69" t="s">
        <v>723</v>
      </c>
      <c r="N3" s="69" t="s">
        <v>724</v>
      </c>
      <c r="O3" s="69">
        <v>2012</v>
      </c>
      <c r="P3" s="69">
        <v>2013</v>
      </c>
      <c r="Q3" s="69">
        <v>2014</v>
      </c>
      <c r="R3" s="70">
        <v>2015</v>
      </c>
      <c r="S3" s="71" t="s">
        <v>1400</v>
      </c>
      <c r="T3" s="71" t="s">
        <v>728</v>
      </c>
      <c r="U3" s="71" t="s">
        <v>729</v>
      </c>
      <c r="V3" s="71" t="s">
        <v>211</v>
      </c>
      <c r="W3" s="71" t="s">
        <v>730</v>
      </c>
      <c r="X3" s="71" t="s">
        <v>731</v>
      </c>
      <c r="Y3" s="71" t="s">
        <v>732</v>
      </c>
      <c r="Z3" s="71" t="s">
        <v>733</v>
      </c>
      <c r="AA3" s="71" t="s">
        <v>1400</v>
      </c>
      <c r="AB3" s="71" t="s">
        <v>728</v>
      </c>
      <c r="AC3" s="71" t="s">
        <v>729</v>
      </c>
      <c r="AD3" s="71" t="s">
        <v>211</v>
      </c>
      <c r="AE3" s="71" t="s">
        <v>730</v>
      </c>
      <c r="AF3" s="71" t="s">
        <v>731</v>
      </c>
      <c r="AG3" s="71" t="s">
        <v>732</v>
      </c>
      <c r="AH3" s="71" t="s">
        <v>733</v>
      </c>
      <c r="AI3" s="71" t="s">
        <v>1400</v>
      </c>
      <c r="AJ3" s="71" t="s">
        <v>728</v>
      </c>
      <c r="AK3" s="71" t="s">
        <v>729</v>
      </c>
      <c r="AL3" s="71" t="s">
        <v>211</v>
      </c>
      <c r="AM3" s="71" t="s">
        <v>730</v>
      </c>
      <c r="AN3" s="71" t="s">
        <v>731</v>
      </c>
      <c r="AO3" s="71" t="s">
        <v>732</v>
      </c>
      <c r="AP3" s="71" t="s">
        <v>733</v>
      </c>
      <c r="AQ3" s="71" t="s">
        <v>1400</v>
      </c>
      <c r="AR3" s="71" t="s">
        <v>728</v>
      </c>
      <c r="AS3" s="71" t="s">
        <v>729</v>
      </c>
      <c r="AT3" s="71" t="s">
        <v>211</v>
      </c>
      <c r="AU3" s="71" t="s">
        <v>730</v>
      </c>
      <c r="AV3" s="71" t="s">
        <v>731</v>
      </c>
      <c r="AW3" s="71" t="s">
        <v>732</v>
      </c>
      <c r="AX3" s="71" t="s">
        <v>733</v>
      </c>
      <c r="AY3" s="71" t="s">
        <v>1400</v>
      </c>
      <c r="AZ3" s="71" t="s">
        <v>728</v>
      </c>
      <c r="BA3" s="71" t="s">
        <v>729</v>
      </c>
      <c r="BB3" s="71" t="s">
        <v>211</v>
      </c>
      <c r="BC3" s="71" t="s">
        <v>730</v>
      </c>
      <c r="BD3" s="71" t="s">
        <v>731</v>
      </c>
      <c r="BE3" s="72" t="s">
        <v>732</v>
      </c>
      <c r="BF3" s="73" t="s">
        <v>824</v>
      </c>
    </row>
    <row r="4" spans="1:60" s="106" customFormat="1" ht="63.75" customHeight="1" x14ac:dyDescent="0.25">
      <c r="A4" s="878" t="s">
        <v>1163</v>
      </c>
      <c r="B4" s="606" t="s">
        <v>270</v>
      </c>
      <c r="C4" s="606" t="s">
        <v>271</v>
      </c>
      <c r="D4" s="715" t="s">
        <v>90</v>
      </c>
      <c r="E4" s="715" t="s">
        <v>91</v>
      </c>
      <c r="F4" s="866">
        <v>0</v>
      </c>
      <c r="G4" s="866">
        <v>0.6</v>
      </c>
      <c r="H4" s="606" t="s">
        <v>274</v>
      </c>
      <c r="I4" s="606" t="s">
        <v>1183</v>
      </c>
      <c r="J4" s="715"/>
      <c r="K4" s="360" t="s">
        <v>92</v>
      </c>
      <c r="L4" s="378" t="s">
        <v>93</v>
      </c>
      <c r="M4" s="124">
        <v>2</v>
      </c>
      <c r="N4" s="124">
        <v>8</v>
      </c>
      <c r="O4" s="124">
        <v>4</v>
      </c>
      <c r="P4" s="124">
        <v>6</v>
      </c>
      <c r="Q4" s="124">
        <v>7</v>
      </c>
      <c r="R4" s="124">
        <v>8</v>
      </c>
      <c r="S4" s="124"/>
      <c r="T4" s="124"/>
      <c r="U4" s="124"/>
      <c r="V4" s="124"/>
      <c r="W4" s="124"/>
      <c r="X4" s="124"/>
      <c r="Y4" s="124"/>
      <c r="Z4" s="124">
        <f>SUM(S4:Y4)</f>
        <v>0</v>
      </c>
      <c r="AA4" s="124"/>
      <c r="AB4" s="124"/>
      <c r="AC4" s="124"/>
      <c r="AD4" s="124"/>
      <c r="AE4" s="124"/>
      <c r="AF4" s="124"/>
      <c r="AG4" s="124"/>
      <c r="AH4" s="124">
        <f>SUM(AA4:AG4)</f>
        <v>0</v>
      </c>
      <c r="AI4" s="124"/>
      <c r="AJ4" s="124"/>
      <c r="AK4" s="124"/>
      <c r="AL4" s="124"/>
      <c r="AM4" s="124"/>
      <c r="AN4" s="124"/>
      <c r="AO4" s="124"/>
      <c r="AP4" s="488">
        <f>SUM(AI4:AO4)</f>
        <v>0</v>
      </c>
      <c r="AQ4" s="488"/>
      <c r="AR4" s="488"/>
      <c r="AS4" s="488"/>
      <c r="AT4" s="488"/>
      <c r="AU4" s="488"/>
      <c r="AV4" s="488"/>
      <c r="AW4" s="488"/>
      <c r="AX4" s="488">
        <f>SUM(AQ4:AW4)</f>
        <v>0</v>
      </c>
      <c r="AY4" s="488">
        <f>+S4+AA4+AI4+AQ4</f>
        <v>0</v>
      </c>
      <c r="AZ4" s="488">
        <f>+T4+AB4+AJ4+AR4</f>
        <v>0</v>
      </c>
      <c r="BA4" s="488">
        <f>+U4+AC4+AK4+AS4</f>
        <v>0</v>
      </c>
      <c r="BB4" s="488">
        <f>+V4+AD4+AL4+AT4</f>
        <v>0</v>
      </c>
      <c r="BC4" s="488">
        <f t="shared" ref="AZ4:BF24" si="0">+W4+AE4+AM4+AU4</f>
        <v>0</v>
      </c>
      <c r="BD4" s="488">
        <f t="shared" si="0"/>
        <v>0</v>
      </c>
      <c r="BE4" s="488">
        <f t="shared" si="0"/>
        <v>0</v>
      </c>
      <c r="BF4" s="277">
        <f>SUM(AY4:BE4)</f>
        <v>0</v>
      </c>
      <c r="BG4" s="90"/>
    </row>
    <row r="5" spans="1:60" s="106" customFormat="1" ht="67.5" x14ac:dyDescent="0.25">
      <c r="A5" s="879"/>
      <c r="B5" s="603"/>
      <c r="C5" s="603"/>
      <c r="D5" s="611"/>
      <c r="E5" s="611"/>
      <c r="F5" s="614"/>
      <c r="G5" s="614"/>
      <c r="H5" s="603"/>
      <c r="I5" s="603"/>
      <c r="J5" s="611"/>
      <c r="K5" s="355" t="s">
        <v>94</v>
      </c>
      <c r="L5" s="379" t="s">
        <v>970</v>
      </c>
      <c r="M5" s="44">
        <v>0</v>
      </c>
      <c r="N5" s="44">
        <v>1</v>
      </c>
      <c r="O5" s="44">
        <v>1</v>
      </c>
      <c r="P5" s="44"/>
      <c r="Q5" s="44"/>
      <c r="R5" s="44"/>
      <c r="S5" s="44"/>
      <c r="T5" s="44"/>
      <c r="U5" s="44"/>
      <c r="V5" s="44"/>
      <c r="W5" s="44"/>
      <c r="X5" s="44"/>
      <c r="Y5" s="44"/>
      <c r="Z5" s="44">
        <f>SUM(S5:Y5)</f>
        <v>0</v>
      </c>
      <c r="AA5" s="44"/>
      <c r="AB5" s="44"/>
      <c r="AC5" s="44"/>
      <c r="AD5" s="44"/>
      <c r="AE5" s="44"/>
      <c r="AF5" s="44"/>
      <c r="AG5" s="44"/>
      <c r="AH5" s="44">
        <f>SUM(AA5:AG5)</f>
        <v>0</v>
      </c>
      <c r="AI5" s="44"/>
      <c r="AJ5" s="44"/>
      <c r="AK5" s="44"/>
      <c r="AL5" s="44"/>
      <c r="AM5" s="44"/>
      <c r="AN5" s="44"/>
      <c r="AO5" s="44"/>
      <c r="AP5" s="44">
        <f t="shared" ref="AP5:AP69" si="1">SUM(AI5:AO5)</f>
        <v>0</v>
      </c>
      <c r="AQ5" s="44"/>
      <c r="AR5" s="44"/>
      <c r="AS5" s="44"/>
      <c r="AT5" s="44"/>
      <c r="AU5" s="44"/>
      <c r="AV5" s="44"/>
      <c r="AW5" s="44"/>
      <c r="AX5" s="44">
        <f>SUM(AQ5:AW5)</f>
        <v>0</v>
      </c>
      <c r="AY5" s="44">
        <f t="shared" ref="AY5:AY69" si="2">+S5+AA5+AI5+AQ5</f>
        <v>0</v>
      </c>
      <c r="AZ5" s="44">
        <f t="shared" si="0"/>
        <v>0</v>
      </c>
      <c r="BA5" s="44">
        <f t="shared" si="0"/>
        <v>0</v>
      </c>
      <c r="BB5" s="44">
        <f t="shared" si="0"/>
        <v>0</v>
      </c>
      <c r="BC5" s="44">
        <f t="shared" si="0"/>
        <v>0</v>
      </c>
      <c r="BD5" s="44">
        <f t="shared" si="0"/>
        <v>0</v>
      </c>
      <c r="BE5" s="44">
        <f t="shared" si="0"/>
        <v>0</v>
      </c>
      <c r="BF5" s="45">
        <f t="shared" si="0"/>
        <v>0</v>
      </c>
      <c r="BG5" s="90"/>
    </row>
    <row r="6" spans="1:60" s="106" customFormat="1" ht="67.5" x14ac:dyDescent="0.25">
      <c r="A6" s="879"/>
      <c r="B6" s="603"/>
      <c r="C6" s="603"/>
      <c r="D6" s="611"/>
      <c r="E6" s="611"/>
      <c r="F6" s="614"/>
      <c r="G6" s="614"/>
      <c r="H6" s="603"/>
      <c r="I6" s="603"/>
      <c r="J6" s="611"/>
      <c r="K6" s="355" t="s">
        <v>95</v>
      </c>
      <c r="L6" s="379" t="s">
        <v>96</v>
      </c>
      <c r="M6" s="44">
        <v>0</v>
      </c>
      <c r="N6" s="44">
        <v>1</v>
      </c>
      <c r="O6" s="44">
        <v>1</v>
      </c>
      <c r="P6" s="44"/>
      <c r="Q6" s="44"/>
      <c r="R6" s="44"/>
      <c r="S6" s="44"/>
      <c r="T6" s="44"/>
      <c r="U6" s="44"/>
      <c r="V6" s="44"/>
      <c r="W6" s="44"/>
      <c r="X6" s="44"/>
      <c r="Y6" s="44">
        <v>1000</v>
      </c>
      <c r="Z6" s="44">
        <f t="shared" ref="Z6:Z81" si="3">SUM(S6:Y6)</f>
        <v>1000</v>
      </c>
      <c r="AA6" s="44"/>
      <c r="AB6" s="44"/>
      <c r="AC6" s="44"/>
      <c r="AD6" s="44"/>
      <c r="AE6" s="44"/>
      <c r="AF6" s="44"/>
      <c r="AG6" s="44"/>
      <c r="AH6" s="44">
        <f t="shared" ref="AH6:AH81" si="4">SUM(AA6:AG6)</f>
        <v>0</v>
      </c>
      <c r="AI6" s="44"/>
      <c r="AJ6" s="44"/>
      <c r="AK6" s="44"/>
      <c r="AL6" s="44"/>
      <c r="AM6" s="44"/>
      <c r="AN6" s="44"/>
      <c r="AO6" s="44"/>
      <c r="AP6" s="44">
        <f t="shared" si="1"/>
        <v>0</v>
      </c>
      <c r="AQ6" s="44"/>
      <c r="AR6" s="44"/>
      <c r="AS6" s="44"/>
      <c r="AT6" s="44"/>
      <c r="AU6" s="44"/>
      <c r="AV6" s="44"/>
      <c r="AW6" s="44"/>
      <c r="AX6" s="44">
        <f t="shared" ref="AX6:AX81" si="5">SUM(AQ6:AW6)</f>
        <v>0</v>
      </c>
      <c r="AY6" s="44">
        <f t="shared" si="2"/>
        <v>0</v>
      </c>
      <c r="AZ6" s="44">
        <f t="shared" si="0"/>
        <v>0</v>
      </c>
      <c r="BA6" s="44">
        <f t="shared" si="0"/>
        <v>0</v>
      </c>
      <c r="BB6" s="44">
        <f t="shared" si="0"/>
        <v>0</v>
      </c>
      <c r="BC6" s="44">
        <f t="shared" si="0"/>
        <v>0</v>
      </c>
      <c r="BD6" s="44">
        <f t="shared" si="0"/>
        <v>0</v>
      </c>
      <c r="BE6" s="44">
        <f t="shared" si="0"/>
        <v>1000</v>
      </c>
      <c r="BF6" s="45">
        <f t="shared" si="0"/>
        <v>1000</v>
      </c>
      <c r="BG6" s="90"/>
    </row>
    <row r="7" spans="1:60" s="106" customFormat="1" ht="40.5" x14ac:dyDescent="0.25">
      <c r="A7" s="879"/>
      <c r="B7" s="603"/>
      <c r="C7" s="603"/>
      <c r="D7" s="611"/>
      <c r="E7" s="611"/>
      <c r="F7" s="614"/>
      <c r="G7" s="614"/>
      <c r="H7" s="603"/>
      <c r="I7" s="603"/>
      <c r="J7" s="611"/>
      <c r="K7" s="355" t="s">
        <v>97</v>
      </c>
      <c r="L7" s="379" t="s">
        <v>98</v>
      </c>
      <c r="M7" s="44">
        <v>6</v>
      </c>
      <c r="N7" s="44">
        <v>35</v>
      </c>
      <c r="O7" s="44">
        <v>12</v>
      </c>
      <c r="P7" s="44">
        <v>20</v>
      </c>
      <c r="Q7" s="44">
        <v>25</v>
      </c>
      <c r="R7" s="44">
        <v>30</v>
      </c>
      <c r="S7" s="44"/>
      <c r="T7" s="44">
        <v>10</v>
      </c>
      <c r="U7" s="44"/>
      <c r="V7" s="44"/>
      <c r="W7" s="44"/>
      <c r="X7" s="44"/>
      <c r="Y7" s="44"/>
      <c r="Z7" s="44">
        <f t="shared" si="3"/>
        <v>10</v>
      </c>
      <c r="AA7" s="44"/>
      <c r="AB7" s="44">
        <v>10</v>
      </c>
      <c r="AC7" s="44"/>
      <c r="AD7" s="44"/>
      <c r="AE7" s="44"/>
      <c r="AF7" s="44"/>
      <c r="AG7" s="44"/>
      <c r="AH7" s="44">
        <f t="shared" si="4"/>
        <v>10</v>
      </c>
      <c r="AI7" s="44"/>
      <c r="AJ7" s="44">
        <v>10</v>
      </c>
      <c r="AK7" s="44"/>
      <c r="AL7" s="44"/>
      <c r="AM7" s="44"/>
      <c r="AN7" s="44"/>
      <c r="AO7" s="44"/>
      <c r="AP7" s="44">
        <f t="shared" si="1"/>
        <v>10</v>
      </c>
      <c r="AQ7" s="44"/>
      <c r="AR7" s="44">
        <v>10</v>
      </c>
      <c r="AS7" s="44"/>
      <c r="AT7" s="44"/>
      <c r="AU7" s="44"/>
      <c r="AV7" s="44"/>
      <c r="AW7" s="44"/>
      <c r="AX7" s="44">
        <f t="shared" si="5"/>
        <v>10</v>
      </c>
      <c r="AY7" s="44">
        <f t="shared" si="2"/>
        <v>0</v>
      </c>
      <c r="AZ7" s="44">
        <f t="shared" si="0"/>
        <v>40</v>
      </c>
      <c r="BA7" s="44">
        <f t="shared" si="0"/>
        <v>0</v>
      </c>
      <c r="BB7" s="44">
        <f t="shared" si="0"/>
        <v>0</v>
      </c>
      <c r="BC7" s="44">
        <f t="shared" si="0"/>
        <v>0</v>
      </c>
      <c r="BD7" s="44">
        <f t="shared" si="0"/>
        <v>0</v>
      </c>
      <c r="BE7" s="44">
        <f t="shared" si="0"/>
        <v>0</v>
      </c>
      <c r="BF7" s="45">
        <f t="shared" si="0"/>
        <v>40</v>
      </c>
      <c r="BG7" s="90"/>
    </row>
    <row r="8" spans="1:60" s="106" customFormat="1" ht="54" x14ac:dyDescent="0.25">
      <c r="A8" s="879"/>
      <c r="B8" s="603"/>
      <c r="C8" s="603"/>
      <c r="D8" s="611"/>
      <c r="E8" s="611"/>
      <c r="F8" s="614"/>
      <c r="G8" s="614"/>
      <c r="H8" s="603"/>
      <c r="I8" s="603"/>
      <c r="J8" s="611"/>
      <c r="K8" s="355" t="s">
        <v>99</v>
      </c>
      <c r="L8" s="379" t="s">
        <v>100</v>
      </c>
      <c r="M8" s="44"/>
      <c r="N8" s="44">
        <v>36</v>
      </c>
      <c r="O8" s="44">
        <f>+N8/4</f>
        <v>9</v>
      </c>
      <c r="P8" s="44">
        <v>36</v>
      </c>
      <c r="Q8" s="44"/>
      <c r="R8" s="44"/>
      <c r="S8" s="44"/>
      <c r="T8" s="44">
        <f>9*5</f>
        <v>45</v>
      </c>
      <c r="U8" s="44"/>
      <c r="V8" s="44"/>
      <c r="W8" s="44"/>
      <c r="X8" s="44"/>
      <c r="Y8" s="44"/>
      <c r="Z8" s="44">
        <f t="shared" si="3"/>
        <v>45</v>
      </c>
      <c r="AA8" s="44"/>
      <c r="AB8" s="44">
        <f>25*5</f>
        <v>125</v>
      </c>
      <c r="AC8" s="44"/>
      <c r="AD8" s="44"/>
      <c r="AE8" s="44"/>
      <c r="AF8" s="44"/>
      <c r="AG8" s="44"/>
      <c r="AH8" s="44">
        <f t="shared" si="4"/>
        <v>125</v>
      </c>
      <c r="AI8" s="44"/>
      <c r="AJ8" s="44"/>
      <c r="AK8" s="44"/>
      <c r="AL8" s="44"/>
      <c r="AM8" s="44"/>
      <c r="AN8" s="44"/>
      <c r="AO8" s="44"/>
      <c r="AP8" s="44">
        <f t="shared" si="1"/>
        <v>0</v>
      </c>
      <c r="AQ8" s="44"/>
      <c r="AR8" s="44"/>
      <c r="AS8" s="44"/>
      <c r="AT8" s="44"/>
      <c r="AU8" s="44"/>
      <c r="AV8" s="44"/>
      <c r="AW8" s="44"/>
      <c r="AX8" s="44">
        <f t="shared" si="5"/>
        <v>0</v>
      </c>
      <c r="AY8" s="44">
        <f t="shared" si="2"/>
        <v>0</v>
      </c>
      <c r="AZ8" s="44">
        <f t="shared" si="0"/>
        <v>170</v>
      </c>
      <c r="BA8" s="44">
        <f t="shared" si="0"/>
        <v>0</v>
      </c>
      <c r="BB8" s="44">
        <f t="shared" si="0"/>
        <v>0</v>
      </c>
      <c r="BC8" s="44">
        <f t="shared" si="0"/>
        <v>0</v>
      </c>
      <c r="BD8" s="44">
        <f t="shared" si="0"/>
        <v>0</v>
      </c>
      <c r="BE8" s="44">
        <f t="shared" si="0"/>
        <v>0</v>
      </c>
      <c r="BF8" s="45">
        <f t="shared" si="0"/>
        <v>170</v>
      </c>
      <c r="BG8" s="90"/>
    </row>
    <row r="9" spans="1:60" s="106" customFormat="1" ht="67.5" x14ac:dyDescent="0.25">
      <c r="A9" s="879"/>
      <c r="B9" s="603"/>
      <c r="C9" s="603"/>
      <c r="D9" s="611" t="s">
        <v>272</v>
      </c>
      <c r="E9" s="611" t="s">
        <v>414</v>
      </c>
      <c r="F9" s="867">
        <v>0</v>
      </c>
      <c r="G9" s="619">
        <v>1</v>
      </c>
      <c r="H9" s="607" t="s">
        <v>275</v>
      </c>
      <c r="I9" s="603" t="s">
        <v>1184</v>
      </c>
      <c r="J9" s="611"/>
      <c r="K9" s="355" t="s">
        <v>415</v>
      </c>
      <c r="L9" s="379" t="s">
        <v>416</v>
      </c>
      <c r="M9" s="50"/>
      <c r="N9" s="50">
        <v>1</v>
      </c>
      <c r="O9" s="50">
        <v>1</v>
      </c>
      <c r="P9" s="50"/>
      <c r="Q9" s="50"/>
      <c r="R9" s="50"/>
      <c r="S9" s="44"/>
      <c r="T9" s="44"/>
      <c r="U9" s="44">
        <v>50</v>
      </c>
      <c r="V9" s="44"/>
      <c r="W9" s="44"/>
      <c r="X9" s="44"/>
      <c r="Y9" s="44"/>
      <c r="Z9" s="44">
        <f t="shared" si="3"/>
        <v>50</v>
      </c>
      <c r="AA9" s="44"/>
      <c r="AB9" s="44"/>
      <c r="AC9" s="44"/>
      <c r="AD9" s="44"/>
      <c r="AE9" s="44"/>
      <c r="AF9" s="44"/>
      <c r="AG9" s="44"/>
      <c r="AH9" s="44">
        <f t="shared" si="4"/>
        <v>0</v>
      </c>
      <c r="AI9" s="44"/>
      <c r="AJ9" s="44"/>
      <c r="AK9" s="44"/>
      <c r="AL9" s="44"/>
      <c r="AM9" s="44"/>
      <c r="AN9" s="44"/>
      <c r="AO9" s="44"/>
      <c r="AP9" s="44">
        <f t="shared" si="1"/>
        <v>0</v>
      </c>
      <c r="AQ9" s="44"/>
      <c r="AR9" s="44"/>
      <c r="AS9" s="44"/>
      <c r="AT9" s="44"/>
      <c r="AU9" s="44"/>
      <c r="AV9" s="44"/>
      <c r="AW9" s="44"/>
      <c r="AX9" s="44">
        <f t="shared" si="5"/>
        <v>0</v>
      </c>
      <c r="AY9" s="44">
        <f>+S9+AA9+AI9+AQ9</f>
        <v>0</v>
      </c>
      <c r="AZ9" s="44">
        <f t="shared" si="0"/>
        <v>0</v>
      </c>
      <c r="BA9" s="44">
        <f t="shared" si="0"/>
        <v>50</v>
      </c>
      <c r="BB9" s="44">
        <f t="shared" si="0"/>
        <v>0</v>
      </c>
      <c r="BC9" s="44">
        <f t="shared" si="0"/>
        <v>0</v>
      </c>
      <c r="BD9" s="44">
        <f t="shared" si="0"/>
        <v>0</v>
      </c>
      <c r="BE9" s="44">
        <f t="shared" si="0"/>
        <v>0</v>
      </c>
      <c r="BF9" s="45">
        <f t="shared" si="0"/>
        <v>50</v>
      </c>
      <c r="BG9" s="90"/>
    </row>
    <row r="10" spans="1:60" s="106" customFormat="1" ht="67.5" x14ac:dyDescent="0.25">
      <c r="A10" s="879"/>
      <c r="B10" s="603"/>
      <c r="C10" s="603"/>
      <c r="D10" s="611"/>
      <c r="E10" s="611"/>
      <c r="F10" s="867"/>
      <c r="G10" s="619"/>
      <c r="H10" s="607"/>
      <c r="I10" s="603"/>
      <c r="J10" s="611"/>
      <c r="K10" s="355" t="s">
        <v>273</v>
      </c>
      <c r="L10" s="105" t="s">
        <v>1164</v>
      </c>
      <c r="M10" s="50">
        <v>0</v>
      </c>
      <c r="N10" s="50">
        <v>1</v>
      </c>
      <c r="O10" s="50"/>
      <c r="P10" s="50">
        <v>1</v>
      </c>
      <c r="Q10" s="50"/>
      <c r="R10" s="50"/>
      <c r="S10" s="44"/>
      <c r="T10" s="44"/>
      <c r="U10" s="44"/>
      <c r="V10" s="44"/>
      <c r="W10" s="44"/>
      <c r="X10" s="44"/>
      <c r="Y10" s="44"/>
      <c r="Z10" s="44">
        <f t="shared" si="3"/>
        <v>0</v>
      </c>
      <c r="AA10" s="44"/>
      <c r="AB10" s="44"/>
      <c r="AC10" s="44"/>
      <c r="AD10" s="44"/>
      <c r="AE10" s="44"/>
      <c r="AF10" s="44"/>
      <c r="AG10" s="44"/>
      <c r="AH10" s="44">
        <f t="shared" si="4"/>
        <v>0</v>
      </c>
      <c r="AI10" s="44"/>
      <c r="AJ10" s="44"/>
      <c r="AK10" s="44"/>
      <c r="AL10" s="44"/>
      <c r="AM10" s="44"/>
      <c r="AN10" s="44"/>
      <c r="AO10" s="44"/>
      <c r="AP10" s="44">
        <f t="shared" si="1"/>
        <v>0</v>
      </c>
      <c r="AQ10" s="44"/>
      <c r="AR10" s="44"/>
      <c r="AS10" s="44"/>
      <c r="AT10" s="44"/>
      <c r="AU10" s="44"/>
      <c r="AV10" s="44"/>
      <c r="AW10" s="44"/>
      <c r="AX10" s="44">
        <f t="shared" si="5"/>
        <v>0</v>
      </c>
      <c r="AY10" s="44">
        <f t="shared" si="2"/>
        <v>0</v>
      </c>
      <c r="AZ10" s="44">
        <f t="shared" si="0"/>
        <v>0</v>
      </c>
      <c r="BA10" s="44">
        <f t="shared" si="0"/>
        <v>0</v>
      </c>
      <c r="BB10" s="44">
        <f t="shared" si="0"/>
        <v>0</v>
      </c>
      <c r="BC10" s="44">
        <f t="shared" si="0"/>
        <v>0</v>
      </c>
      <c r="BD10" s="44">
        <f t="shared" si="0"/>
        <v>0</v>
      </c>
      <c r="BE10" s="44">
        <f t="shared" si="0"/>
        <v>0</v>
      </c>
      <c r="BF10" s="45">
        <f t="shared" si="0"/>
        <v>0</v>
      </c>
      <c r="BG10" s="90"/>
    </row>
    <row r="11" spans="1:60" s="106" customFormat="1" ht="108" x14ac:dyDescent="0.25">
      <c r="A11" s="879"/>
      <c r="B11" s="603"/>
      <c r="C11" s="603"/>
      <c r="D11" s="611"/>
      <c r="E11" s="611"/>
      <c r="F11" s="867"/>
      <c r="G11" s="619"/>
      <c r="H11" s="607"/>
      <c r="I11" s="603"/>
      <c r="J11" s="611"/>
      <c r="K11" s="355" t="s">
        <v>1481</v>
      </c>
      <c r="L11" s="105" t="s">
        <v>1482</v>
      </c>
      <c r="M11" s="50"/>
      <c r="N11" s="50">
        <v>16180</v>
      </c>
      <c r="O11" s="50">
        <v>1927</v>
      </c>
      <c r="P11" s="241">
        <f>+O11+AC11</f>
        <v>4815</v>
      </c>
      <c r="Q11" s="241">
        <f>+P11+AK11</f>
        <v>9675</v>
      </c>
      <c r="R11" s="241">
        <v>16180</v>
      </c>
      <c r="S11" s="44"/>
      <c r="T11" s="44"/>
      <c r="U11" s="44">
        <v>1927</v>
      </c>
      <c r="V11" s="44"/>
      <c r="W11" s="44"/>
      <c r="X11" s="44"/>
      <c r="Y11" s="44"/>
      <c r="Z11" s="44">
        <f t="shared" si="3"/>
        <v>1927</v>
      </c>
      <c r="AA11" s="44"/>
      <c r="AB11" s="44"/>
      <c r="AC11" s="44">
        <v>2888</v>
      </c>
      <c r="AD11" s="44"/>
      <c r="AE11" s="44"/>
      <c r="AF11" s="44"/>
      <c r="AG11" s="44"/>
      <c r="AH11" s="44">
        <f t="shared" si="4"/>
        <v>2888</v>
      </c>
      <c r="AI11" s="44"/>
      <c r="AJ11" s="44"/>
      <c r="AK11" s="44">
        <v>4860</v>
      </c>
      <c r="AL11" s="44"/>
      <c r="AM11" s="44"/>
      <c r="AN11" s="44"/>
      <c r="AO11" s="44"/>
      <c r="AP11" s="44">
        <f t="shared" si="1"/>
        <v>4860</v>
      </c>
      <c r="AQ11" s="44"/>
      <c r="AR11" s="44"/>
      <c r="AS11" s="44">
        <v>6505</v>
      </c>
      <c r="AT11" s="44"/>
      <c r="AU11" s="44"/>
      <c r="AV11" s="44"/>
      <c r="AW11" s="44"/>
      <c r="AX11" s="44">
        <f t="shared" si="5"/>
        <v>6505</v>
      </c>
      <c r="AY11" s="44">
        <f t="shared" ref="AY11" si="6">+S11+AA11+AI11+AQ11</f>
        <v>0</v>
      </c>
      <c r="AZ11" s="44">
        <f t="shared" ref="AZ11" si="7">+T11+AB11+AJ11+AR11</f>
        <v>0</v>
      </c>
      <c r="BA11" s="44">
        <f t="shared" ref="BA11" si="8">+U11+AC11+AK11+AS11</f>
        <v>16180</v>
      </c>
      <c r="BB11" s="44">
        <f t="shared" ref="BB11" si="9">+V11+AD11+AL11+AT11</f>
        <v>0</v>
      </c>
      <c r="BC11" s="44">
        <f t="shared" ref="BC11" si="10">+W11+AE11+AM11+AU11</f>
        <v>0</v>
      </c>
      <c r="BD11" s="44">
        <f t="shared" ref="BD11" si="11">+X11+AF11+AN11+AV11</f>
        <v>0</v>
      </c>
      <c r="BE11" s="44">
        <f t="shared" ref="BE11" si="12">+Y11+AG11+AO11+AW11</f>
        <v>0</v>
      </c>
      <c r="BF11" s="45">
        <f t="shared" ref="BF11" si="13">+Z11+AH11+AP11+AX11</f>
        <v>16180</v>
      </c>
      <c r="BG11" s="90"/>
    </row>
    <row r="12" spans="1:60" s="106" customFormat="1" ht="135" x14ac:dyDescent="0.25">
      <c r="A12" s="879"/>
      <c r="B12" s="603"/>
      <c r="C12" s="603"/>
      <c r="D12" s="611"/>
      <c r="E12" s="611"/>
      <c r="F12" s="867"/>
      <c r="G12" s="619"/>
      <c r="H12" s="607"/>
      <c r="I12" s="603"/>
      <c r="J12" s="611"/>
      <c r="K12" s="355" t="s">
        <v>1325</v>
      </c>
      <c r="L12" s="379" t="s">
        <v>407</v>
      </c>
      <c r="M12" s="50"/>
      <c r="N12" s="50">
        <v>7</v>
      </c>
      <c r="O12" s="50"/>
      <c r="P12" s="50">
        <v>7</v>
      </c>
      <c r="Q12" s="50"/>
      <c r="R12" s="50"/>
      <c r="S12" s="44"/>
      <c r="T12" s="44"/>
      <c r="U12" s="44"/>
      <c r="V12" s="44"/>
      <c r="W12" s="44"/>
      <c r="X12" s="44"/>
      <c r="Y12" s="44"/>
      <c r="Z12" s="44">
        <f t="shared" si="3"/>
        <v>0</v>
      </c>
      <c r="AA12" s="44"/>
      <c r="AB12" s="44"/>
      <c r="AC12" s="44"/>
      <c r="AD12" s="44">
        <v>27994</v>
      </c>
      <c r="AE12" s="44"/>
      <c r="AF12" s="44"/>
      <c r="AG12" s="44"/>
      <c r="AH12" s="44">
        <f t="shared" si="4"/>
        <v>27994</v>
      </c>
      <c r="AI12" s="44"/>
      <c r="AJ12" s="44"/>
      <c r="AK12" s="44"/>
      <c r="AL12" s="44"/>
      <c r="AM12" s="44"/>
      <c r="AN12" s="44"/>
      <c r="AO12" s="44"/>
      <c r="AP12" s="44">
        <f t="shared" si="1"/>
        <v>0</v>
      </c>
      <c r="AQ12" s="44"/>
      <c r="AR12" s="44"/>
      <c r="AS12" s="44"/>
      <c r="AT12" s="44"/>
      <c r="AU12" s="44"/>
      <c r="AV12" s="44"/>
      <c r="AW12" s="44"/>
      <c r="AX12" s="44">
        <f t="shared" si="5"/>
        <v>0</v>
      </c>
      <c r="AY12" s="44">
        <f t="shared" si="2"/>
        <v>0</v>
      </c>
      <c r="AZ12" s="44">
        <f t="shared" si="0"/>
        <v>0</v>
      </c>
      <c r="BA12" s="44">
        <f t="shared" si="0"/>
        <v>0</v>
      </c>
      <c r="BB12" s="44">
        <f t="shared" si="0"/>
        <v>27994</v>
      </c>
      <c r="BC12" s="44">
        <f t="shared" si="0"/>
        <v>0</v>
      </c>
      <c r="BD12" s="44">
        <f t="shared" si="0"/>
        <v>0</v>
      </c>
      <c r="BE12" s="44">
        <f t="shared" si="0"/>
        <v>0</v>
      </c>
      <c r="BF12" s="45">
        <f t="shared" si="0"/>
        <v>27994</v>
      </c>
      <c r="BG12" s="489"/>
      <c r="BH12" s="490"/>
    </row>
    <row r="13" spans="1:60" s="106" customFormat="1" ht="108" x14ac:dyDescent="0.25">
      <c r="A13" s="879"/>
      <c r="B13" s="603"/>
      <c r="C13" s="603"/>
      <c r="D13" s="611"/>
      <c r="E13" s="611"/>
      <c r="F13" s="867"/>
      <c r="G13" s="619"/>
      <c r="H13" s="607"/>
      <c r="I13" s="603"/>
      <c r="J13" s="611"/>
      <c r="K13" s="355" t="s">
        <v>1326</v>
      </c>
      <c r="L13" s="379" t="s">
        <v>1318</v>
      </c>
      <c r="M13" s="50"/>
      <c r="N13" s="50">
        <v>2</v>
      </c>
      <c r="O13" s="50"/>
      <c r="P13" s="50">
        <v>2</v>
      </c>
      <c r="Q13" s="50"/>
      <c r="R13" s="50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>
        <v>16361</v>
      </c>
      <c r="AE13" s="44"/>
      <c r="AF13" s="44"/>
      <c r="AG13" s="44"/>
      <c r="AH13" s="44">
        <f t="shared" si="4"/>
        <v>16361</v>
      </c>
      <c r="AI13" s="44"/>
      <c r="AJ13" s="44"/>
      <c r="AK13" s="44"/>
      <c r="AL13" s="44"/>
      <c r="AM13" s="44"/>
      <c r="AN13" s="44"/>
      <c r="AO13" s="44"/>
      <c r="AP13" s="44">
        <f t="shared" si="1"/>
        <v>0</v>
      </c>
      <c r="AQ13" s="44"/>
      <c r="AR13" s="44"/>
      <c r="AS13" s="44"/>
      <c r="AT13" s="44"/>
      <c r="AU13" s="44"/>
      <c r="AV13" s="44"/>
      <c r="AW13" s="44"/>
      <c r="AX13" s="44">
        <f t="shared" si="5"/>
        <v>0</v>
      </c>
      <c r="AY13" s="44">
        <f t="shared" si="2"/>
        <v>0</v>
      </c>
      <c r="AZ13" s="44">
        <f t="shared" ref="AZ13:BF13" si="14">+T13+AB13+AJ13+AR13</f>
        <v>0</v>
      </c>
      <c r="BA13" s="44">
        <f t="shared" si="14"/>
        <v>0</v>
      </c>
      <c r="BB13" s="44">
        <f t="shared" si="14"/>
        <v>16361</v>
      </c>
      <c r="BC13" s="44">
        <f t="shared" si="14"/>
        <v>0</v>
      </c>
      <c r="BD13" s="44">
        <f t="shared" si="14"/>
        <v>0</v>
      </c>
      <c r="BE13" s="44">
        <f t="shared" si="14"/>
        <v>0</v>
      </c>
      <c r="BF13" s="45">
        <f t="shared" si="14"/>
        <v>16361</v>
      </c>
      <c r="BG13" s="90"/>
      <c r="BH13" s="490"/>
    </row>
    <row r="14" spans="1:60" s="106" customFormat="1" ht="94.5" x14ac:dyDescent="0.25">
      <c r="A14" s="879"/>
      <c r="B14" s="603"/>
      <c r="C14" s="603"/>
      <c r="D14" s="611"/>
      <c r="E14" s="611"/>
      <c r="F14" s="867"/>
      <c r="G14" s="619"/>
      <c r="H14" s="607"/>
      <c r="I14" s="603"/>
      <c r="J14" s="611"/>
      <c r="K14" s="355" t="s">
        <v>1324</v>
      </c>
      <c r="L14" s="379" t="s">
        <v>962</v>
      </c>
      <c r="M14" s="50"/>
      <c r="N14" s="50">
        <f>55-8</f>
        <v>47</v>
      </c>
      <c r="O14" s="50">
        <v>20</v>
      </c>
      <c r="P14" s="50">
        <v>47</v>
      </c>
      <c r="Q14" s="50"/>
      <c r="R14" s="50"/>
      <c r="S14" s="44"/>
      <c r="T14" s="44"/>
      <c r="U14" s="44"/>
      <c r="V14" s="44">
        <v>7745</v>
      </c>
      <c r="W14" s="44"/>
      <c r="X14" s="44"/>
      <c r="Y14" s="44"/>
      <c r="Z14" s="44">
        <f t="shared" si="3"/>
        <v>7745</v>
      </c>
      <c r="AA14" s="44"/>
      <c r="AB14" s="44"/>
      <c r="AC14" s="44"/>
      <c r="AD14" s="44">
        <v>7746</v>
      </c>
      <c r="AE14" s="44"/>
      <c r="AF14" s="44"/>
      <c r="AG14" s="44"/>
      <c r="AH14" s="44">
        <f t="shared" si="4"/>
        <v>7746</v>
      </c>
      <c r="AI14" s="44"/>
      <c r="AJ14" s="44"/>
      <c r="AK14" s="44"/>
      <c r="AL14" s="44"/>
      <c r="AM14" s="44"/>
      <c r="AN14" s="44"/>
      <c r="AO14" s="44"/>
      <c r="AP14" s="44">
        <f t="shared" si="1"/>
        <v>0</v>
      </c>
      <c r="AQ14" s="44"/>
      <c r="AR14" s="44"/>
      <c r="AS14" s="44"/>
      <c r="AT14" s="44"/>
      <c r="AU14" s="44"/>
      <c r="AV14" s="44"/>
      <c r="AW14" s="44"/>
      <c r="AX14" s="44">
        <f t="shared" si="5"/>
        <v>0</v>
      </c>
      <c r="AY14" s="44">
        <f t="shared" si="2"/>
        <v>0</v>
      </c>
      <c r="AZ14" s="44">
        <f t="shared" si="0"/>
        <v>0</v>
      </c>
      <c r="BA14" s="44">
        <f t="shared" si="0"/>
        <v>0</v>
      </c>
      <c r="BB14" s="44">
        <f t="shared" si="0"/>
        <v>15491</v>
      </c>
      <c r="BC14" s="44">
        <f t="shared" si="0"/>
        <v>0</v>
      </c>
      <c r="BD14" s="44">
        <f t="shared" si="0"/>
        <v>0</v>
      </c>
      <c r="BE14" s="44">
        <f t="shared" si="0"/>
        <v>0</v>
      </c>
      <c r="BF14" s="45">
        <f t="shared" si="0"/>
        <v>15491</v>
      </c>
      <c r="BG14" s="90"/>
    </row>
    <row r="15" spans="1:60" s="106" customFormat="1" ht="162" x14ac:dyDescent="0.25">
      <c r="A15" s="879"/>
      <c r="B15" s="603"/>
      <c r="C15" s="603"/>
      <c r="D15" s="611"/>
      <c r="E15" s="611"/>
      <c r="F15" s="867"/>
      <c r="G15" s="619"/>
      <c r="H15" s="607"/>
      <c r="I15" s="603"/>
      <c r="J15" s="611"/>
      <c r="K15" s="355" t="s">
        <v>1327</v>
      </c>
      <c r="L15" s="379" t="s">
        <v>408</v>
      </c>
      <c r="M15" s="50"/>
      <c r="N15" s="46">
        <v>9</v>
      </c>
      <c r="O15" s="46">
        <v>9</v>
      </c>
      <c r="P15" s="46"/>
      <c r="Q15" s="46"/>
      <c r="R15" s="46"/>
      <c r="S15" s="44"/>
      <c r="T15" s="44"/>
      <c r="U15" s="44"/>
      <c r="V15" s="44">
        <v>630</v>
      </c>
      <c r="W15" s="44"/>
      <c r="X15" s="44"/>
      <c r="Y15" s="44"/>
      <c r="Z15" s="44">
        <f t="shared" si="3"/>
        <v>630</v>
      </c>
      <c r="AA15" s="44"/>
      <c r="AB15" s="44"/>
      <c r="AC15" s="44"/>
      <c r="AD15" s="44"/>
      <c r="AE15" s="44"/>
      <c r="AF15" s="44"/>
      <c r="AG15" s="44"/>
      <c r="AH15" s="44">
        <f t="shared" si="4"/>
        <v>0</v>
      </c>
      <c r="AI15" s="44"/>
      <c r="AJ15" s="44"/>
      <c r="AK15" s="44"/>
      <c r="AL15" s="44"/>
      <c r="AM15" s="44"/>
      <c r="AN15" s="44"/>
      <c r="AO15" s="44"/>
      <c r="AP15" s="44">
        <f t="shared" si="1"/>
        <v>0</v>
      </c>
      <c r="AQ15" s="44"/>
      <c r="AR15" s="44"/>
      <c r="AS15" s="44"/>
      <c r="AT15" s="44"/>
      <c r="AU15" s="44"/>
      <c r="AV15" s="44"/>
      <c r="AW15" s="44"/>
      <c r="AX15" s="44">
        <f t="shared" si="5"/>
        <v>0</v>
      </c>
      <c r="AY15" s="44">
        <f t="shared" si="2"/>
        <v>0</v>
      </c>
      <c r="AZ15" s="44">
        <f t="shared" si="0"/>
        <v>0</v>
      </c>
      <c r="BA15" s="44">
        <f t="shared" si="0"/>
        <v>0</v>
      </c>
      <c r="BB15" s="44">
        <f t="shared" si="0"/>
        <v>630</v>
      </c>
      <c r="BC15" s="44">
        <f t="shared" si="0"/>
        <v>0</v>
      </c>
      <c r="BD15" s="44">
        <f t="shared" si="0"/>
        <v>0</v>
      </c>
      <c r="BE15" s="44">
        <f t="shared" si="0"/>
        <v>0</v>
      </c>
      <c r="BF15" s="45">
        <f t="shared" si="0"/>
        <v>630</v>
      </c>
      <c r="BG15" s="90"/>
    </row>
    <row r="16" spans="1:60" s="106" customFormat="1" ht="108" x14ac:dyDescent="0.25">
      <c r="A16" s="879"/>
      <c r="B16" s="603"/>
      <c r="C16" s="603"/>
      <c r="D16" s="611"/>
      <c r="E16" s="611"/>
      <c r="F16" s="867"/>
      <c r="G16" s="619"/>
      <c r="H16" s="607"/>
      <c r="I16" s="603"/>
      <c r="J16" s="611"/>
      <c r="K16" s="355" t="s">
        <v>1328</v>
      </c>
      <c r="L16" s="379" t="s">
        <v>963</v>
      </c>
      <c r="M16" s="50"/>
      <c r="N16" s="46">
        <v>8</v>
      </c>
      <c r="O16" s="46">
        <v>8</v>
      </c>
      <c r="P16" s="46"/>
      <c r="Q16" s="46"/>
      <c r="R16" s="46"/>
      <c r="S16" s="44"/>
      <c r="T16" s="44"/>
      <c r="U16" s="44"/>
      <c r="V16" s="44">
        <v>400</v>
      </c>
      <c r="W16" s="44"/>
      <c r="X16" s="44"/>
      <c r="Y16" s="44"/>
      <c r="Z16" s="44">
        <f t="shared" si="3"/>
        <v>400</v>
      </c>
      <c r="AA16" s="44"/>
      <c r="AB16" s="44"/>
      <c r="AC16" s="44"/>
      <c r="AD16" s="44"/>
      <c r="AE16" s="44"/>
      <c r="AF16" s="44"/>
      <c r="AG16" s="44"/>
      <c r="AH16" s="44">
        <f t="shared" si="4"/>
        <v>0</v>
      </c>
      <c r="AI16" s="44"/>
      <c r="AJ16" s="44"/>
      <c r="AK16" s="44"/>
      <c r="AL16" s="44"/>
      <c r="AM16" s="44"/>
      <c r="AN16" s="44"/>
      <c r="AO16" s="44"/>
      <c r="AP16" s="44">
        <f t="shared" si="1"/>
        <v>0</v>
      </c>
      <c r="AQ16" s="44"/>
      <c r="AR16" s="44"/>
      <c r="AS16" s="44"/>
      <c r="AT16" s="44"/>
      <c r="AU16" s="44"/>
      <c r="AV16" s="44"/>
      <c r="AW16" s="44"/>
      <c r="AX16" s="44">
        <f t="shared" si="5"/>
        <v>0</v>
      </c>
      <c r="AY16" s="44">
        <f t="shared" si="2"/>
        <v>0</v>
      </c>
      <c r="AZ16" s="44">
        <f t="shared" si="0"/>
        <v>0</v>
      </c>
      <c r="BA16" s="44">
        <f t="shared" si="0"/>
        <v>0</v>
      </c>
      <c r="BB16" s="44">
        <f t="shared" si="0"/>
        <v>400</v>
      </c>
      <c r="BC16" s="44">
        <f t="shared" si="0"/>
        <v>0</v>
      </c>
      <c r="BD16" s="44">
        <f t="shared" si="0"/>
        <v>0</v>
      </c>
      <c r="BE16" s="44">
        <f t="shared" si="0"/>
        <v>0</v>
      </c>
      <c r="BF16" s="45">
        <f t="shared" si="0"/>
        <v>400</v>
      </c>
      <c r="BG16" s="90"/>
    </row>
    <row r="17" spans="1:59" s="106" customFormat="1" ht="121.5" x14ac:dyDescent="0.25">
      <c r="A17" s="879"/>
      <c r="B17" s="603"/>
      <c r="C17" s="603"/>
      <c r="D17" s="611"/>
      <c r="E17" s="611"/>
      <c r="F17" s="867"/>
      <c r="G17" s="619"/>
      <c r="H17" s="607"/>
      <c r="I17" s="603"/>
      <c r="J17" s="611"/>
      <c r="K17" s="355" t="s">
        <v>1329</v>
      </c>
      <c r="L17" s="379" t="s">
        <v>409</v>
      </c>
      <c r="M17" s="50"/>
      <c r="N17" s="50">
        <v>1</v>
      </c>
      <c r="O17" s="50"/>
      <c r="P17" s="50">
        <v>1</v>
      </c>
      <c r="Q17" s="50"/>
      <c r="R17" s="50"/>
      <c r="S17" s="44"/>
      <c r="T17" s="44"/>
      <c r="U17" s="44"/>
      <c r="V17" s="44"/>
      <c r="W17" s="44"/>
      <c r="X17" s="44"/>
      <c r="Y17" s="44"/>
      <c r="Z17" s="44">
        <f>SUM(S17:Y17)</f>
        <v>0</v>
      </c>
      <c r="AA17" s="44"/>
      <c r="AB17" s="44"/>
      <c r="AC17" s="44"/>
      <c r="AD17" s="44">
        <v>150</v>
      </c>
      <c r="AE17" s="44"/>
      <c r="AF17" s="44"/>
      <c r="AG17" s="44"/>
      <c r="AH17" s="44">
        <f>SUM(AA17:AG17)</f>
        <v>150</v>
      </c>
      <c r="AI17" s="44"/>
      <c r="AJ17" s="44"/>
      <c r="AK17" s="44"/>
      <c r="AL17" s="44"/>
      <c r="AM17" s="44"/>
      <c r="AN17" s="44"/>
      <c r="AO17" s="44"/>
      <c r="AP17" s="44">
        <f t="shared" si="1"/>
        <v>0</v>
      </c>
      <c r="AQ17" s="44"/>
      <c r="AR17" s="44"/>
      <c r="AS17" s="44"/>
      <c r="AT17" s="44"/>
      <c r="AU17" s="44"/>
      <c r="AV17" s="44"/>
      <c r="AW17" s="44"/>
      <c r="AX17" s="44">
        <f>SUM(AQ17:AW17)</f>
        <v>0</v>
      </c>
      <c r="AY17" s="44">
        <f t="shared" si="2"/>
        <v>0</v>
      </c>
      <c r="AZ17" s="44">
        <f t="shared" si="0"/>
        <v>0</v>
      </c>
      <c r="BA17" s="44">
        <f t="shared" si="0"/>
        <v>0</v>
      </c>
      <c r="BB17" s="44">
        <f t="shared" si="0"/>
        <v>150</v>
      </c>
      <c r="BC17" s="44">
        <f t="shared" si="0"/>
        <v>0</v>
      </c>
      <c r="BD17" s="44">
        <f t="shared" si="0"/>
        <v>0</v>
      </c>
      <c r="BE17" s="44">
        <f t="shared" si="0"/>
        <v>0</v>
      </c>
      <c r="BF17" s="45">
        <f>+Z17+AH17+AP17+AX17</f>
        <v>150</v>
      </c>
      <c r="BG17" s="90"/>
    </row>
    <row r="18" spans="1:59" s="106" customFormat="1" ht="121.5" x14ac:dyDescent="0.25">
      <c r="A18" s="879"/>
      <c r="B18" s="603"/>
      <c r="C18" s="603"/>
      <c r="D18" s="611"/>
      <c r="E18" s="611"/>
      <c r="F18" s="867"/>
      <c r="G18" s="619"/>
      <c r="H18" s="607"/>
      <c r="I18" s="603"/>
      <c r="J18" s="611"/>
      <c r="K18" s="173" t="s">
        <v>1330</v>
      </c>
      <c r="L18" s="74" t="s">
        <v>162</v>
      </c>
      <c r="M18" s="75"/>
      <c r="N18" s="76">
        <v>18</v>
      </c>
      <c r="O18" s="76">
        <v>18</v>
      </c>
      <c r="P18" s="76"/>
      <c r="Q18" s="76"/>
      <c r="R18" s="76"/>
      <c r="S18" s="77"/>
      <c r="T18" s="77"/>
      <c r="U18" s="77"/>
      <c r="V18" s="77"/>
      <c r="W18" s="77"/>
      <c r="X18" s="77"/>
      <c r="Y18" s="77">
        <v>1400</v>
      </c>
      <c r="Z18" s="44">
        <f t="shared" si="3"/>
        <v>1400</v>
      </c>
      <c r="AA18" s="77"/>
      <c r="AB18" s="77"/>
      <c r="AC18" s="77"/>
      <c r="AD18" s="77"/>
      <c r="AE18" s="77"/>
      <c r="AF18" s="77"/>
      <c r="AG18" s="77"/>
      <c r="AH18" s="44">
        <f t="shared" si="4"/>
        <v>0</v>
      </c>
      <c r="AI18" s="77"/>
      <c r="AJ18" s="77"/>
      <c r="AK18" s="77"/>
      <c r="AL18" s="77"/>
      <c r="AM18" s="77"/>
      <c r="AN18" s="77"/>
      <c r="AO18" s="77"/>
      <c r="AP18" s="44">
        <f t="shared" si="1"/>
        <v>0</v>
      </c>
      <c r="AQ18" s="77"/>
      <c r="AR18" s="77"/>
      <c r="AS18" s="77"/>
      <c r="AT18" s="77"/>
      <c r="AU18" s="77"/>
      <c r="AV18" s="77"/>
      <c r="AW18" s="77"/>
      <c r="AX18" s="44">
        <f t="shared" si="5"/>
        <v>0</v>
      </c>
      <c r="AY18" s="44">
        <f t="shared" si="2"/>
        <v>0</v>
      </c>
      <c r="AZ18" s="44">
        <f t="shared" si="0"/>
        <v>0</v>
      </c>
      <c r="BA18" s="44">
        <f t="shared" si="0"/>
        <v>0</v>
      </c>
      <c r="BB18" s="44">
        <f t="shared" si="0"/>
        <v>0</v>
      </c>
      <c r="BC18" s="44">
        <f t="shared" si="0"/>
        <v>0</v>
      </c>
      <c r="BD18" s="44">
        <f t="shared" si="0"/>
        <v>0</v>
      </c>
      <c r="BE18" s="44">
        <f t="shared" si="0"/>
        <v>1400</v>
      </c>
      <c r="BF18" s="45">
        <f t="shared" si="0"/>
        <v>1400</v>
      </c>
      <c r="BG18" s="90"/>
    </row>
    <row r="19" spans="1:59" s="106" customFormat="1" ht="67.5" x14ac:dyDescent="0.25">
      <c r="A19" s="879"/>
      <c r="B19" s="603"/>
      <c r="C19" s="603"/>
      <c r="D19" s="611"/>
      <c r="E19" s="611"/>
      <c r="F19" s="867"/>
      <c r="G19" s="619"/>
      <c r="H19" s="607" t="s">
        <v>276</v>
      </c>
      <c r="I19" s="603" t="s">
        <v>1157</v>
      </c>
      <c r="J19" s="611"/>
      <c r="K19" s="173" t="s">
        <v>1165</v>
      </c>
      <c r="L19" s="74" t="s">
        <v>1170</v>
      </c>
      <c r="M19" s="75">
        <v>350</v>
      </c>
      <c r="N19" s="76">
        <v>350</v>
      </c>
      <c r="O19" s="76">
        <v>350</v>
      </c>
      <c r="P19" s="76">
        <v>350</v>
      </c>
      <c r="Q19" s="76">
        <v>350</v>
      </c>
      <c r="R19" s="76">
        <v>350</v>
      </c>
      <c r="S19" s="77"/>
      <c r="T19" s="77"/>
      <c r="U19" s="77"/>
      <c r="V19" s="77">
        <v>50</v>
      </c>
      <c r="W19" s="77"/>
      <c r="X19" s="77"/>
      <c r="Y19" s="77"/>
      <c r="Z19" s="44">
        <f t="shared" si="3"/>
        <v>50</v>
      </c>
      <c r="AA19" s="77"/>
      <c r="AB19" s="77"/>
      <c r="AC19" s="77"/>
      <c r="AD19" s="77">
        <v>50</v>
      </c>
      <c r="AE19" s="77"/>
      <c r="AF19" s="77"/>
      <c r="AG19" s="77"/>
      <c r="AH19" s="44">
        <f t="shared" si="4"/>
        <v>50</v>
      </c>
      <c r="AI19" s="77"/>
      <c r="AJ19" s="77"/>
      <c r="AK19" s="77"/>
      <c r="AL19" s="77">
        <v>50</v>
      </c>
      <c r="AM19" s="77"/>
      <c r="AN19" s="77"/>
      <c r="AO19" s="77"/>
      <c r="AP19" s="44">
        <f t="shared" si="1"/>
        <v>50</v>
      </c>
      <c r="AQ19" s="77"/>
      <c r="AR19" s="77"/>
      <c r="AS19" s="77"/>
      <c r="AT19" s="77">
        <v>50</v>
      </c>
      <c r="AU19" s="77"/>
      <c r="AV19" s="77"/>
      <c r="AW19" s="77"/>
      <c r="AX19" s="44">
        <f t="shared" si="5"/>
        <v>50</v>
      </c>
      <c r="AY19" s="44">
        <f t="shared" si="2"/>
        <v>0</v>
      </c>
      <c r="AZ19" s="44">
        <f t="shared" ref="AZ19:BF22" si="15">+T19+AB19+AJ19+AR19</f>
        <v>0</v>
      </c>
      <c r="BA19" s="44">
        <f t="shared" si="15"/>
        <v>0</v>
      </c>
      <c r="BB19" s="44">
        <f t="shared" si="15"/>
        <v>200</v>
      </c>
      <c r="BC19" s="44">
        <f t="shared" si="15"/>
        <v>0</v>
      </c>
      <c r="BD19" s="44">
        <f t="shared" si="15"/>
        <v>0</v>
      </c>
      <c r="BE19" s="44">
        <f t="shared" si="15"/>
        <v>0</v>
      </c>
      <c r="BF19" s="45">
        <f t="shared" si="15"/>
        <v>200</v>
      </c>
      <c r="BG19" s="489"/>
    </row>
    <row r="20" spans="1:59" s="106" customFormat="1" ht="40.5" x14ac:dyDescent="0.25">
      <c r="A20" s="879"/>
      <c r="B20" s="603"/>
      <c r="C20" s="603"/>
      <c r="D20" s="611"/>
      <c r="E20" s="611"/>
      <c r="F20" s="867"/>
      <c r="G20" s="619"/>
      <c r="H20" s="607"/>
      <c r="I20" s="603"/>
      <c r="J20" s="611"/>
      <c r="K20" s="173" t="s">
        <v>1166</v>
      </c>
      <c r="L20" s="74" t="s">
        <v>1167</v>
      </c>
      <c r="M20" s="75"/>
      <c r="N20" s="76">
        <v>2000</v>
      </c>
      <c r="O20" s="76">
        <v>500</v>
      </c>
      <c r="P20" s="76">
        <v>1000</v>
      </c>
      <c r="Q20" s="76">
        <v>1500</v>
      </c>
      <c r="R20" s="76">
        <v>2000</v>
      </c>
      <c r="S20" s="77"/>
      <c r="T20" s="77"/>
      <c r="U20" s="77"/>
      <c r="V20" s="77">
        <v>50</v>
      </c>
      <c r="W20" s="77"/>
      <c r="X20" s="77"/>
      <c r="Y20" s="77"/>
      <c r="Z20" s="44">
        <f t="shared" si="3"/>
        <v>50</v>
      </c>
      <c r="AA20" s="77"/>
      <c r="AB20" s="77"/>
      <c r="AC20" s="77"/>
      <c r="AD20" s="77">
        <v>50</v>
      </c>
      <c r="AE20" s="77"/>
      <c r="AF20" s="77"/>
      <c r="AG20" s="77"/>
      <c r="AH20" s="44">
        <f t="shared" si="4"/>
        <v>50</v>
      </c>
      <c r="AI20" s="77"/>
      <c r="AJ20" s="77"/>
      <c r="AK20" s="77"/>
      <c r="AL20" s="77">
        <v>50</v>
      </c>
      <c r="AM20" s="77"/>
      <c r="AN20" s="77"/>
      <c r="AO20" s="77"/>
      <c r="AP20" s="44">
        <f t="shared" si="1"/>
        <v>50</v>
      </c>
      <c r="AQ20" s="77"/>
      <c r="AR20" s="77"/>
      <c r="AS20" s="77"/>
      <c r="AT20" s="77">
        <v>50</v>
      </c>
      <c r="AU20" s="77"/>
      <c r="AV20" s="77"/>
      <c r="AW20" s="77"/>
      <c r="AX20" s="44">
        <f t="shared" si="5"/>
        <v>50</v>
      </c>
      <c r="AY20" s="44">
        <f t="shared" si="2"/>
        <v>0</v>
      </c>
      <c r="AZ20" s="44">
        <f t="shared" si="15"/>
        <v>0</v>
      </c>
      <c r="BA20" s="44">
        <f t="shared" si="15"/>
        <v>0</v>
      </c>
      <c r="BB20" s="44">
        <f t="shared" si="15"/>
        <v>200</v>
      </c>
      <c r="BC20" s="44">
        <f t="shared" si="15"/>
        <v>0</v>
      </c>
      <c r="BD20" s="44">
        <f t="shared" si="15"/>
        <v>0</v>
      </c>
      <c r="BE20" s="44">
        <f t="shared" si="15"/>
        <v>0</v>
      </c>
      <c r="BF20" s="45">
        <f t="shared" si="15"/>
        <v>200</v>
      </c>
      <c r="BG20" s="90"/>
    </row>
    <row r="21" spans="1:59" s="106" customFormat="1" ht="54" x14ac:dyDescent="0.25">
      <c r="A21" s="879"/>
      <c r="B21" s="603"/>
      <c r="C21" s="603"/>
      <c r="D21" s="611"/>
      <c r="E21" s="611"/>
      <c r="F21" s="867"/>
      <c r="G21" s="619"/>
      <c r="H21" s="607"/>
      <c r="I21" s="603"/>
      <c r="J21" s="611"/>
      <c r="K21" s="173" t="s">
        <v>1171</v>
      </c>
      <c r="L21" s="74" t="s">
        <v>1169</v>
      </c>
      <c r="M21" s="75"/>
      <c r="N21" s="76">
        <v>2000</v>
      </c>
      <c r="O21" s="76">
        <v>2000</v>
      </c>
      <c r="P21" s="76">
        <v>2000</v>
      </c>
      <c r="Q21" s="76">
        <v>2000</v>
      </c>
      <c r="R21" s="76">
        <v>2000</v>
      </c>
      <c r="S21" s="77"/>
      <c r="T21" s="77"/>
      <c r="U21" s="77"/>
      <c r="V21" s="77">
        <v>100</v>
      </c>
      <c r="W21" s="77"/>
      <c r="X21" s="77"/>
      <c r="Y21" s="77"/>
      <c r="Z21" s="44">
        <f t="shared" si="3"/>
        <v>100</v>
      </c>
      <c r="AA21" s="77"/>
      <c r="AB21" s="77"/>
      <c r="AC21" s="77"/>
      <c r="AD21" s="77">
        <v>100</v>
      </c>
      <c r="AE21" s="77"/>
      <c r="AF21" s="77"/>
      <c r="AG21" s="77"/>
      <c r="AH21" s="44">
        <f t="shared" si="4"/>
        <v>100</v>
      </c>
      <c r="AI21" s="77"/>
      <c r="AJ21" s="77"/>
      <c r="AK21" s="77"/>
      <c r="AL21" s="77">
        <v>100</v>
      </c>
      <c r="AM21" s="77"/>
      <c r="AN21" s="77"/>
      <c r="AO21" s="77"/>
      <c r="AP21" s="44">
        <f t="shared" si="1"/>
        <v>100</v>
      </c>
      <c r="AQ21" s="77"/>
      <c r="AR21" s="77"/>
      <c r="AS21" s="77"/>
      <c r="AT21" s="77">
        <v>100</v>
      </c>
      <c r="AU21" s="77"/>
      <c r="AV21" s="77"/>
      <c r="AW21" s="77"/>
      <c r="AX21" s="44">
        <f t="shared" si="5"/>
        <v>100</v>
      </c>
      <c r="AY21" s="44">
        <f t="shared" si="2"/>
        <v>0</v>
      </c>
      <c r="AZ21" s="44">
        <f t="shared" si="15"/>
        <v>0</v>
      </c>
      <c r="BA21" s="44">
        <f t="shared" si="15"/>
        <v>0</v>
      </c>
      <c r="BB21" s="44">
        <f t="shared" si="15"/>
        <v>400</v>
      </c>
      <c r="BC21" s="44">
        <f t="shared" si="15"/>
        <v>0</v>
      </c>
      <c r="BD21" s="44">
        <f t="shared" si="15"/>
        <v>0</v>
      </c>
      <c r="BE21" s="44">
        <f t="shared" si="15"/>
        <v>0</v>
      </c>
      <c r="BF21" s="45">
        <f t="shared" si="15"/>
        <v>400</v>
      </c>
      <c r="BG21" s="90"/>
    </row>
    <row r="22" spans="1:59" s="106" customFormat="1" ht="54" x14ac:dyDescent="0.25">
      <c r="A22" s="879"/>
      <c r="B22" s="603"/>
      <c r="C22" s="603"/>
      <c r="D22" s="611"/>
      <c r="E22" s="611"/>
      <c r="F22" s="867"/>
      <c r="G22" s="619"/>
      <c r="H22" s="607"/>
      <c r="I22" s="603"/>
      <c r="J22" s="611"/>
      <c r="K22" s="173" t="s">
        <v>1168</v>
      </c>
      <c r="L22" s="74" t="s">
        <v>1172</v>
      </c>
      <c r="M22" s="75">
        <v>1</v>
      </c>
      <c r="N22" s="76">
        <v>1</v>
      </c>
      <c r="O22" s="76">
        <v>1</v>
      </c>
      <c r="P22" s="76">
        <v>1</v>
      </c>
      <c r="Q22" s="76">
        <v>1</v>
      </c>
      <c r="R22" s="76">
        <v>1</v>
      </c>
      <c r="S22" s="77"/>
      <c r="T22" s="77"/>
      <c r="U22" s="77"/>
      <c r="V22" s="77">
        <v>100</v>
      </c>
      <c r="W22" s="77"/>
      <c r="X22" s="77"/>
      <c r="Y22" s="77"/>
      <c r="Z22" s="44">
        <f t="shared" si="3"/>
        <v>100</v>
      </c>
      <c r="AA22" s="77"/>
      <c r="AB22" s="77"/>
      <c r="AC22" s="77"/>
      <c r="AD22" s="77">
        <v>100</v>
      </c>
      <c r="AE22" s="77"/>
      <c r="AF22" s="77"/>
      <c r="AG22" s="77"/>
      <c r="AH22" s="44">
        <f t="shared" si="4"/>
        <v>100</v>
      </c>
      <c r="AI22" s="77"/>
      <c r="AJ22" s="77"/>
      <c r="AK22" s="77"/>
      <c r="AL22" s="77">
        <v>100</v>
      </c>
      <c r="AM22" s="77"/>
      <c r="AN22" s="77"/>
      <c r="AO22" s="77"/>
      <c r="AP22" s="44">
        <f t="shared" si="1"/>
        <v>100</v>
      </c>
      <c r="AQ22" s="77"/>
      <c r="AR22" s="77"/>
      <c r="AS22" s="77"/>
      <c r="AT22" s="77">
        <v>100</v>
      </c>
      <c r="AU22" s="77"/>
      <c r="AV22" s="77"/>
      <c r="AW22" s="77"/>
      <c r="AX22" s="44">
        <f t="shared" si="5"/>
        <v>100</v>
      </c>
      <c r="AY22" s="44">
        <f t="shared" si="2"/>
        <v>0</v>
      </c>
      <c r="AZ22" s="44">
        <f t="shared" si="15"/>
        <v>0</v>
      </c>
      <c r="BA22" s="44">
        <f t="shared" si="15"/>
        <v>0</v>
      </c>
      <c r="BB22" s="44">
        <f t="shared" si="15"/>
        <v>400</v>
      </c>
      <c r="BC22" s="44">
        <f t="shared" si="15"/>
        <v>0</v>
      </c>
      <c r="BD22" s="44">
        <f t="shared" si="15"/>
        <v>0</v>
      </c>
      <c r="BE22" s="44">
        <f t="shared" si="15"/>
        <v>0</v>
      </c>
      <c r="BF22" s="45">
        <f t="shared" si="15"/>
        <v>400</v>
      </c>
      <c r="BG22" s="90"/>
    </row>
    <row r="23" spans="1:59" s="106" customFormat="1" ht="81" x14ac:dyDescent="0.25">
      <c r="A23" s="879"/>
      <c r="B23" s="603"/>
      <c r="C23" s="603"/>
      <c r="D23" s="611"/>
      <c r="E23" s="611"/>
      <c r="F23" s="867"/>
      <c r="G23" s="619"/>
      <c r="H23" s="607" t="s">
        <v>291</v>
      </c>
      <c r="I23" s="603" t="s">
        <v>1185</v>
      </c>
      <c r="J23" s="611"/>
      <c r="K23" s="355" t="s">
        <v>277</v>
      </c>
      <c r="L23" s="379" t="s">
        <v>1173</v>
      </c>
      <c r="M23" s="50">
        <v>0</v>
      </c>
      <c r="N23" s="50">
        <v>1</v>
      </c>
      <c r="O23" s="50"/>
      <c r="P23" s="50">
        <v>1</v>
      </c>
      <c r="Q23" s="50"/>
      <c r="R23" s="50"/>
      <c r="S23" s="44"/>
      <c r="T23" s="44"/>
      <c r="U23" s="44"/>
      <c r="V23" s="44"/>
      <c r="W23" s="44"/>
      <c r="X23" s="44"/>
      <c r="Y23" s="44"/>
      <c r="Z23" s="44">
        <f t="shared" si="3"/>
        <v>0</v>
      </c>
      <c r="AA23" s="44">
        <v>200</v>
      </c>
      <c r="AB23" s="44"/>
      <c r="AC23" s="44"/>
      <c r="AD23" s="44"/>
      <c r="AE23" s="44"/>
      <c r="AF23" s="44"/>
      <c r="AG23" s="44"/>
      <c r="AH23" s="44">
        <f t="shared" si="4"/>
        <v>200</v>
      </c>
      <c r="AI23" s="44"/>
      <c r="AJ23" s="44"/>
      <c r="AK23" s="44"/>
      <c r="AL23" s="44"/>
      <c r="AM23" s="44"/>
      <c r="AN23" s="44"/>
      <c r="AO23" s="44"/>
      <c r="AP23" s="44">
        <f t="shared" si="1"/>
        <v>0</v>
      </c>
      <c r="AQ23" s="44"/>
      <c r="AR23" s="44"/>
      <c r="AS23" s="44"/>
      <c r="AT23" s="44"/>
      <c r="AU23" s="44"/>
      <c r="AV23" s="44"/>
      <c r="AW23" s="44"/>
      <c r="AX23" s="44">
        <f t="shared" si="5"/>
        <v>0</v>
      </c>
      <c r="AY23" s="44">
        <f t="shared" si="2"/>
        <v>200</v>
      </c>
      <c r="AZ23" s="44">
        <f t="shared" si="0"/>
        <v>0</v>
      </c>
      <c r="BA23" s="44">
        <f t="shared" si="0"/>
        <v>0</v>
      </c>
      <c r="BB23" s="44">
        <f t="shared" si="0"/>
        <v>0</v>
      </c>
      <c r="BC23" s="44">
        <f t="shared" si="0"/>
        <v>0</v>
      </c>
      <c r="BD23" s="44">
        <f t="shared" si="0"/>
        <v>0</v>
      </c>
      <c r="BE23" s="44">
        <f t="shared" si="0"/>
        <v>0</v>
      </c>
      <c r="BF23" s="45">
        <f t="shared" si="0"/>
        <v>200</v>
      </c>
      <c r="BG23" s="90"/>
    </row>
    <row r="24" spans="1:59" s="106" customFormat="1" ht="67.5" x14ac:dyDescent="0.25">
      <c r="A24" s="879"/>
      <c r="B24" s="603"/>
      <c r="C24" s="603"/>
      <c r="D24" s="611"/>
      <c r="E24" s="611"/>
      <c r="F24" s="867"/>
      <c r="G24" s="619"/>
      <c r="H24" s="607"/>
      <c r="I24" s="603"/>
      <c r="J24" s="611"/>
      <c r="K24" s="355" t="s">
        <v>278</v>
      </c>
      <c r="L24" s="379" t="s">
        <v>1197</v>
      </c>
      <c r="M24" s="50">
        <v>0</v>
      </c>
      <c r="N24" s="50">
        <v>1</v>
      </c>
      <c r="O24" s="50"/>
      <c r="P24" s="50">
        <v>1</v>
      </c>
      <c r="Q24" s="50"/>
      <c r="R24" s="50"/>
      <c r="S24" s="44"/>
      <c r="T24" s="44"/>
      <c r="U24" s="44"/>
      <c r="V24" s="44"/>
      <c r="W24" s="44"/>
      <c r="X24" s="44"/>
      <c r="Y24" s="44"/>
      <c r="Z24" s="44">
        <f t="shared" si="3"/>
        <v>0</v>
      </c>
      <c r="AA24" s="44"/>
      <c r="AB24" s="44"/>
      <c r="AC24" s="44"/>
      <c r="AD24" s="44">
        <v>1700</v>
      </c>
      <c r="AE24" s="44"/>
      <c r="AF24" s="44"/>
      <c r="AG24" s="44"/>
      <c r="AH24" s="44">
        <f t="shared" si="4"/>
        <v>1700</v>
      </c>
      <c r="AI24" s="44"/>
      <c r="AJ24" s="44"/>
      <c r="AK24" s="44"/>
      <c r="AL24" s="44"/>
      <c r="AM24" s="44"/>
      <c r="AN24" s="44"/>
      <c r="AO24" s="44"/>
      <c r="AP24" s="44">
        <f t="shared" si="1"/>
        <v>0</v>
      </c>
      <c r="AQ24" s="44"/>
      <c r="AR24" s="44"/>
      <c r="AS24" s="44"/>
      <c r="AT24" s="44"/>
      <c r="AU24" s="44"/>
      <c r="AV24" s="44"/>
      <c r="AW24" s="44"/>
      <c r="AX24" s="44">
        <f t="shared" si="5"/>
        <v>0</v>
      </c>
      <c r="AY24" s="44">
        <f t="shared" si="2"/>
        <v>0</v>
      </c>
      <c r="AZ24" s="44">
        <f t="shared" si="0"/>
        <v>0</v>
      </c>
      <c r="BA24" s="44">
        <f t="shared" si="0"/>
        <v>0</v>
      </c>
      <c r="BB24" s="44">
        <f t="shared" si="0"/>
        <v>1700</v>
      </c>
      <c r="BC24" s="44">
        <f t="shared" si="0"/>
        <v>0</v>
      </c>
      <c r="BD24" s="44">
        <f t="shared" si="0"/>
        <v>0</v>
      </c>
      <c r="BE24" s="44">
        <f t="shared" si="0"/>
        <v>0</v>
      </c>
      <c r="BF24" s="45">
        <f t="shared" si="0"/>
        <v>1700</v>
      </c>
      <c r="BG24" s="90"/>
    </row>
    <row r="25" spans="1:59" s="106" customFormat="1" ht="54" x14ac:dyDescent="0.25">
      <c r="A25" s="879"/>
      <c r="B25" s="603"/>
      <c r="C25" s="603"/>
      <c r="D25" s="611"/>
      <c r="E25" s="611"/>
      <c r="F25" s="867"/>
      <c r="G25" s="619"/>
      <c r="H25" s="607"/>
      <c r="I25" s="603"/>
      <c r="J25" s="611"/>
      <c r="K25" s="355" t="s">
        <v>279</v>
      </c>
      <c r="L25" s="379" t="s">
        <v>349</v>
      </c>
      <c r="M25" s="50"/>
      <c r="N25" s="78">
        <v>1</v>
      </c>
      <c r="O25" s="78"/>
      <c r="P25" s="78">
        <v>0.3</v>
      </c>
      <c r="Q25" s="78">
        <v>0.5</v>
      </c>
      <c r="R25" s="78">
        <v>1</v>
      </c>
      <c r="S25" s="44"/>
      <c r="T25" s="44"/>
      <c r="U25" s="44"/>
      <c r="V25" s="44"/>
      <c r="W25" s="44"/>
      <c r="X25" s="44"/>
      <c r="Y25" s="44"/>
      <c r="Z25" s="44">
        <f t="shared" si="3"/>
        <v>0</v>
      </c>
      <c r="AA25" s="44">
        <v>100</v>
      </c>
      <c r="AB25" s="44"/>
      <c r="AC25" s="44"/>
      <c r="AD25" s="44">
        <v>200</v>
      </c>
      <c r="AE25" s="44"/>
      <c r="AF25" s="44"/>
      <c r="AG25" s="44"/>
      <c r="AH25" s="44">
        <f t="shared" si="4"/>
        <v>300</v>
      </c>
      <c r="AI25" s="44">
        <v>350</v>
      </c>
      <c r="AJ25" s="44"/>
      <c r="AK25" s="44"/>
      <c r="AL25" s="44">
        <v>500</v>
      </c>
      <c r="AM25" s="44"/>
      <c r="AN25" s="44"/>
      <c r="AO25" s="44"/>
      <c r="AP25" s="44">
        <f t="shared" si="1"/>
        <v>850</v>
      </c>
      <c r="AQ25" s="44">
        <v>350</v>
      </c>
      <c r="AR25" s="44"/>
      <c r="AS25" s="44"/>
      <c r="AT25" s="44">
        <v>400</v>
      </c>
      <c r="AU25" s="44"/>
      <c r="AV25" s="44"/>
      <c r="AW25" s="44"/>
      <c r="AX25" s="44">
        <f t="shared" si="5"/>
        <v>750</v>
      </c>
      <c r="AY25" s="44">
        <f t="shared" si="2"/>
        <v>800</v>
      </c>
      <c r="AZ25" s="44">
        <f t="shared" ref="AZ25:BF54" si="16">+T25+AB25+AJ25+AR25</f>
        <v>0</v>
      </c>
      <c r="BA25" s="44">
        <f t="shared" si="16"/>
        <v>0</v>
      </c>
      <c r="BB25" s="44">
        <f t="shared" si="16"/>
        <v>1100</v>
      </c>
      <c r="BC25" s="44">
        <f t="shared" si="16"/>
        <v>0</v>
      </c>
      <c r="BD25" s="44">
        <f t="shared" si="16"/>
        <v>0</v>
      </c>
      <c r="BE25" s="44">
        <f t="shared" si="16"/>
        <v>0</v>
      </c>
      <c r="BF25" s="45">
        <f t="shared" si="16"/>
        <v>1900</v>
      </c>
      <c r="BG25" s="90"/>
    </row>
    <row r="26" spans="1:59" s="106" customFormat="1" ht="27" x14ac:dyDescent="0.25">
      <c r="A26" s="879"/>
      <c r="B26" s="603"/>
      <c r="C26" s="603"/>
      <c r="D26" s="611"/>
      <c r="E26" s="611"/>
      <c r="F26" s="867"/>
      <c r="G26" s="619"/>
      <c r="H26" s="607"/>
      <c r="I26" s="603"/>
      <c r="J26" s="611"/>
      <c r="K26" s="355" t="s">
        <v>280</v>
      </c>
      <c r="L26" s="379" t="s">
        <v>350</v>
      </c>
      <c r="M26" s="50">
        <v>0</v>
      </c>
      <c r="N26" s="78">
        <v>1</v>
      </c>
      <c r="O26" s="50"/>
      <c r="P26" s="78">
        <v>0.3</v>
      </c>
      <c r="Q26" s="78">
        <v>0.6</v>
      </c>
      <c r="R26" s="78">
        <v>1</v>
      </c>
      <c r="S26" s="44"/>
      <c r="T26" s="44"/>
      <c r="U26" s="44"/>
      <c r="V26" s="44"/>
      <c r="W26" s="44"/>
      <c r="X26" s="44"/>
      <c r="Y26" s="44"/>
      <c r="Z26" s="44">
        <f t="shared" si="3"/>
        <v>0</v>
      </c>
      <c r="AA26" s="44">
        <v>120</v>
      </c>
      <c r="AB26" s="44"/>
      <c r="AC26" s="44"/>
      <c r="AD26" s="44"/>
      <c r="AE26" s="44"/>
      <c r="AF26" s="44"/>
      <c r="AG26" s="44"/>
      <c r="AH26" s="44">
        <f t="shared" si="4"/>
        <v>120</v>
      </c>
      <c r="AI26" s="44">
        <v>120</v>
      </c>
      <c r="AJ26" s="44"/>
      <c r="AK26" s="44"/>
      <c r="AL26" s="44"/>
      <c r="AM26" s="44"/>
      <c r="AN26" s="44"/>
      <c r="AO26" s="44"/>
      <c r="AP26" s="44">
        <f t="shared" si="1"/>
        <v>120</v>
      </c>
      <c r="AQ26" s="44">
        <v>120</v>
      </c>
      <c r="AR26" s="44"/>
      <c r="AS26" s="44"/>
      <c r="AT26" s="44"/>
      <c r="AU26" s="44"/>
      <c r="AV26" s="44"/>
      <c r="AW26" s="44"/>
      <c r="AX26" s="44">
        <f t="shared" si="5"/>
        <v>120</v>
      </c>
      <c r="AY26" s="44">
        <f t="shared" si="2"/>
        <v>360</v>
      </c>
      <c r="AZ26" s="44">
        <f t="shared" si="16"/>
        <v>0</v>
      </c>
      <c r="BA26" s="44">
        <f t="shared" si="16"/>
        <v>0</v>
      </c>
      <c r="BB26" s="44">
        <f t="shared" si="16"/>
        <v>0</v>
      </c>
      <c r="BC26" s="44">
        <f t="shared" si="16"/>
        <v>0</v>
      </c>
      <c r="BD26" s="44">
        <f t="shared" si="16"/>
        <v>0</v>
      </c>
      <c r="BE26" s="44">
        <f t="shared" si="16"/>
        <v>0</v>
      </c>
      <c r="BF26" s="45">
        <f t="shared" si="16"/>
        <v>360</v>
      </c>
      <c r="BG26" s="90"/>
    </row>
    <row r="27" spans="1:59" s="106" customFormat="1" ht="67.5" x14ac:dyDescent="0.25">
      <c r="A27" s="879"/>
      <c r="B27" s="603"/>
      <c r="C27" s="603"/>
      <c r="D27" s="74" t="s">
        <v>334</v>
      </c>
      <c r="E27" s="304" t="s">
        <v>335</v>
      </c>
      <c r="F27" s="305">
        <v>4.3999999999999997E-2</v>
      </c>
      <c r="G27" s="306">
        <v>0.06</v>
      </c>
      <c r="H27" s="607"/>
      <c r="I27" s="603"/>
      <c r="J27" s="611"/>
      <c r="K27" s="355" t="s">
        <v>281</v>
      </c>
      <c r="L27" s="379" t="s">
        <v>295</v>
      </c>
      <c r="M27" s="50">
        <v>0</v>
      </c>
      <c r="N27" s="78">
        <v>1</v>
      </c>
      <c r="O27" s="78">
        <v>0.25</v>
      </c>
      <c r="P27" s="78">
        <v>0.75</v>
      </c>
      <c r="Q27" s="78">
        <v>1</v>
      </c>
      <c r="R27" s="50"/>
      <c r="S27" s="44">
        <v>350</v>
      </c>
      <c r="T27" s="44"/>
      <c r="U27" s="44"/>
      <c r="V27" s="44"/>
      <c r="W27" s="44"/>
      <c r="X27" s="44"/>
      <c r="Y27" s="44"/>
      <c r="Z27" s="44">
        <f t="shared" si="3"/>
        <v>350</v>
      </c>
      <c r="AA27" s="44">
        <v>350</v>
      </c>
      <c r="AB27" s="44"/>
      <c r="AC27" s="44"/>
      <c r="AD27" s="44"/>
      <c r="AE27" s="44"/>
      <c r="AF27" s="44"/>
      <c r="AG27" s="44"/>
      <c r="AH27" s="44">
        <f t="shared" si="4"/>
        <v>350</v>
      </c>
      <c r="AI27" s="44">
        <v>350</v>
      </c>
      <c r="AJ27" s="44"/>
      <c r="AK27" s="44"/>
      <c r="AL27" s="44"/>
      <c r="AM27" s="44"/>
      <c r="AN27" s="44"/>
      <c r="AO27" s="44"/>
      <c r="AP27" s="44">
        <f t="shared" si="1"/>
        <v>350</v>
      </c>
      <c r="AQ27" s="44">
        <v>350</v>
      </c>
      <c r="AR27" s="44"/>
      <c r="AS27" s="44"/>
      <c r="AT27" s="44"/>
      <c r="AU27" s="44"/>
      <c r="AV27" s="44"/>
      <c r="AW27" s="44"/>
      <c r="AX27" s="44">
        <f t="shared" si="5"/>
        <v>350</v>
      </c>
      <c r="AY27" s="44">
        <f t="shared" si="2"/>
        <v>1400</v>
      </c>
      <c r="AZ27" s="44">
        <f t="shared" si="16"/>
        <v>0</v>
      </c>
      <c r="BA27" s="44">
        <f t="shared" si="16"/>
        <v>0</v>
      </c>
      <c r="BB27" s="44">
        <f t="shared" si="16"/>
        <v>0</v>
      </c>
      <c r="BC27" s="44">
        <f t="shared" si="16"/>
        <v>0</v>
      </c>
      <c r="BD27" s="44">
        <f t="shared" si="16"/>
        <v>0</v>
      </c>
      <c r="BE27" s="44">
        <f t="shared" si="16"/>
        <v>0</v>
      </c>
      <c r="BF27" s="45">
        <f t="shared" si="16"/>
        <v>1400</v>
      </c>
      <c r="BG27" s="90"/>
    </row>
    <row r="28" spans="1:59" s="106" customFormat="1" ht="54" x14ac:dyDescent="0.25">
      <c r="A28" s="879"/>
      <c r="B28" s="603"/>
      <c r="C28" s="603"/>
      <c r="D28" s="611"/>
      <c r="E28" s="611"/>
      <c r="F28" s="867"/>
      <c r="G28" s="619"/>
      <c r="H28" s="607"/>
      <c r="I28" s="603"/>
      <c r="J28" s="611"/>
      <c r="K28" s="355" t="s">
        <v>296</v>
      </c>
      <c r="L28" s="379" t="s">
        <v>297</v>
      </c>
      <c r="M28" s="50">
        <v>0</v>
      </c>
      <c r="N28" s="78">
        <v>1</v>
      </c>
      <c r="O28" s="78">
        <v>0.25</v>
      </c>
      <c r="P28" s="78">
        <v>0.5</v>
      </c>
      <c r="Q28" s="78">
        <v>0.75</v>
      </c>
      <c r="R28" s="78">
        <v>1</v>
      </c>
      <c r="S28" s="44">
        <v>630</v>
      </c>
      <c r="T28" s="44"/>
      <c r="U28" s="44"/>
      <c r="V28" s="44"/>
      <c r="W28" s="44"/>
      <c r="X28" s="44"/>
      <c r="Y28" s="44"/>
      <c r="Z28" s="44">
        <f t="shared" si="3"/>
        <v>630</v>
      </c>
      <c r="AA28" s="44">
        <f>1420-AA27</f>
        <v>1070</v>
      </c>
      <c r="AB28" s="44"/>
      <c r="AC28" s="44"/>
      <c r="AD28" s="44"/>
      <c r="AE28" s="44"/>
      <c r="AF28" s="44"/>
      <c r="AG28" s="44"/>
      <c r="AH28" s="44">
        <f t="shared" si="4"/>
        <v>1070</v>
      </c>
      <c r="AI28" s="44">
        <f>1420-AI27</f>
        <v>1070</v>
      </c>
      <c r="AJ28" s="44"/>
      <c r="AK28" s="44"/>
      <c r="AL28" s="44"/>
      <c r="AM28" s="44"/>
      <c r="AN28" s="44"/>
      <c r="AO28" s="44"/>
      <c r="AP28" s="44">
        <f t="shared" si="1"/>
        <v>1070</v>
      </c>
      <c r="AQ28" s="44">
        <v>1070</v>
      </c>
      <c r="AR28" s="44"/>
      <c r="AS28" s="44"/>
      <c r="AT28" s="44"/>
      <c r="AU28" s="44"/>
      <c r="AV28" s="44"/>
      <c r="AW28" s="44"/>
      <c r="AX28" s="44">
        <f t="shared" si="5"/>
        <v>1070</v>
      </c>
      <c r="AY28" s="44">
        <f t="shared" si="2"/>
        <v>3840</v>
      </c>
      <c r="AZ28" s="44">
        <f t="shared" si="16"/>
        <v>0</v>
      </c>
      <c r="BA28" s="44">
        <f t="shared" si="16"/>
        <v>0</v>
      </c>
      <c r="BB28" s="44">
        <f t="shared" si="16"/>
        <v>0</v>
      </c>
      <c r="BC28" s="44">
        <f t="shared" si="16"/>
        <v>0</v>
      </c>
      <c r="BD28" s="44">
        <f t="shared" si="16"/>
        <v>0</v>
      </c>
      <c r="BE28" s="44">
        <f t="shared" si="16"/>
        <v>0</v>
      </c>
      <c r="BF28" s="45">
        <f t="shared" si="16"/>
        <v>3840</v>
      </c>
      <c r="BG28" s="90"/>
    </row>
    <row r="29" spans="1:59" s="106" customFormat="1" ht="67.5" x14ac:dyDescent="0.25">
      <c r="A29" s="879"/>
      <c r="B29" s="603"/>
      <c r="C29" s="603"/>
      <c r="D29" s="611"/>
      <c r="E29" s="611"/>
      <c r="F29" s="867"/>
      <c r="G29" s="619"/>
      <c r="H29" s="607"/>
      <c r="I29" s="603"/>
      <c r="J29" s="611"/>
      <c r="K29" s="603" t="s">
        <v>282</v>
      </c>
      <c r="L29" s="379" t="s">
        <v>298</v>
      </c>
      <c r="M29" s="50">
        <v>0</v>
      </c>
      <c r="N29" s="78">
        <v>1</v>
      </c>
      <c r="O29" s="78"/>
      <c r="P29" s="78">
        <v>0.5</v>
      </c>
      <c r="Q29" s="78">
        <v>1</v>
      </c>
      <c r="R29" s="50"/>
      <c r="S29" s="44"/>
      <c r="T29" s="44"/>
      <c r="U29" s="44"/>
      <c r="V29" s="44"/>
      <c r="W29" s="44"/>
      <c r="X29" s="44"/>
      <c r="Y29" s="44"/>
      <c r="Z29" s="44">
        <f t="shared" si="3"/>
        <v>0</v>
      </c>
      <c r="AA29" s="44">
        <v>30</v>
      </c>
      <c r="AB29" s="44"/>
      <c r="AC29" s="44"/>
      <c r="AD29" s="44"/>
      <c r="AE29" s="44"/>
      <c r="AF29" s="44"/>
      <c r="AG29" s="44"/>
      <c r="AH29" s="44">
        <f t="shared" si="4"/>
        <v>30</v>
      </c>
      <c r="AI29" s="44">
        <v>80</v>
      </c>
      <c r="AJ29" s="44"/>
      <c r="AK29" s="44"/>
      <c r="AL29" s="44"/>
      <c r="AM29" s="44"/>
      <c r="AN29" s="44"/>
      <c r="AO29" s="44"/>
      <c r="AP29" s="44">
        <f t="shared" si="1"/>
        <v>80</v>
      </c>
      <c r="AQ29" s="44"/>
      <c r="AR29" s="44"/>
      <c r="AS29" s="44"/>
      <c r="AT29" s="44"/>
      <c r="AU29" s="44"/>
      <c r="AV29" s="44"/>
      <c r="AW29" s="44"/>
      <c r="AX29" s="44">
        <f t="shared" si="5"/>
        <v>0</v>
      </c>
      <c r="AY29" s="44">
        <f t="shared" si="2"/>
        <v>110</v>
      </c>
      <c r="AZ29" s="44">
        <f t="shared" si="16"/>
        <v>0</v>
      </c>
      <c r="BA29" s="44">
        <f t="shared" si="16"/>
        <v>0</v>
      </c>
      <c r="BB29" s="44">
        <f t="shared" si="16"/>
        <v>0</v>
      </c>
      <c r="BC29" s="44">
        <f t="shared" si="16"/>
        <v>0</v>
      </c>
      <c r="BD29" s="44">
        <f t="shared" si="16"/>
        <v>0</v>
      </c>
      <c r="BE29" s="44">
        <f t="shared" si="16"/>
        <v>0</v>
      </c>
      <c r="BF29" s="45">
        <f t="shared" si="16"/>
        <v>110</v>
      </c>
      <c r="BG29" s="90"/>
    </row>
    <row r="30" spans="1:59" s="106" customFormat="1" ht="40.5" x14ac:dyDescent="0.25">
      <c r="A30" s="879"/>
      <c r="B30" s="603"/>
      <c r="C30" s="603"/>
      <c r="D30" s="611"/>
      <c r="E30" s="611"/>
      <c r="F30" s="867"/>
      <c r="G30" s="619"/>
      <c r="H30" s="607"/>
      <c r="I30" s="603"/>
      <c r="J30" s="611"/>
      <c r="K30" s="603"/>
      <c r="L30" s="379" t="s">
        <v>304</v>
      </c>
      <c r="M30" s="50"/>
      <c r="N30" s="79">
        <v>4</v>
      </c>
      <c r="O30" s="79"/>
      <c r="P30" s="79">
        <v>4</v>
      </c>
      <c r="Q30" s="50"/>
      <c r="R30" s="50"/>
      <c r="S30" s="44"/>
      <c r="T30" s="44"/>
      <c r="U30" s="44"/>
      <c r="V30" s="44"/>
      <c r="W30" s="44"/>
      <c r="X30" s="44"/>
      <c r="Y30" s="44"/>
      <c r="Z30" s="44">
        <f t="shared" si="3"/>
        <v>0</v>
      </c>
      <c r="AA30" s="44">
        <v>12</v>
      </c>
      <c r="AB30" s="44"/>
      <c r="AC30" s="44"/>
      <c r="AD30" s="44"/>
      <c r="AE30" s="44"/>
      <c r="AF30" s="44"/>
      <c r="AG30" s="44"/>
      <c r="AH30" s="44">
        <f t="shared" si="4"/>
        <v>12</v>
      </c>
      <c r="AI30" s="44"/>
      <c r="AJ30" s="44"/>
      <c r="AK30" s="44"/>
      <c r="AL30" s="44"/>
      <c r="AM30" s="44"/>
      <c r="AN30" s="44"/>
      <c r="AO30" s="44"/>
      <c r="AP30" s="44">
        <f t="shared" si="1"/>
        <v>0</v>
      </c>
      <c r="AQ30" s="44"/>
      <c r="AR30" s="44"/>
      <c r="AS30" s="44"/>
      <c r="AT30" s="44"/>
      <c r="AU30" s="44"/>
      <c r="AV30" s="44"/>
      <c r="AW30" s="44"/>
      <c r="AX30" s="44">
        <f t="shared" si="5"/>
        <v>0</v>
      </c>
      <c r="AY30" s="44">
        <f t="shared" si="2"/>
        <v>12</v>
      </c>
      <c r="AZ30" s="44">
        <f t="shared" si="16"/>
        <v>0</v>
      </c>
      <c r="BA30" s="44">
        <f t="shared" si="16"/>
        <v>0</v>
      </c>
      <c r="BB30" s="44">
        <f t="shared" si="16"/>
        <v>0</v>
      </c>
      <c r="BC30" s="44">
        <f t="shared" si="16"/>
        <v>0</v>
      </c>
      <c r="BD30" s="44">
        <f t="shared" si="16"/>
        <v>0</v>
      </c>
      <c r="BE30" s="44">
        <f t="shared" si="16"/>
        <v>0</v>
      </c>
      <c r="BF30" s="45">
        <f t="shared" si="16"/>
        <v>12</v>
      </c>
      <c r="BG30" s="90"/>
    </row>
    <row r="31" spans="1:59" s="106" customFormat="1" ht="58.5" customHeight="1" x14ac:dyDescent="0.25">
      <c r="A31" s="879"/>
      <c r="B31" s="603"/>
      <c r="C31" s="603"/>
      <c r="D31" s="611"/>
      <c r="E31" s="611"/>
      <c r="F31" s="867"/>
      <c r="G31" s="619"/>
      <c r="H31" s="607"/>
      <c r="I31" s="603"/>
      <c r="J31" s="611"/>
      <c r="K31" s="603" t="s">
        <v>283</v>
      </c>
      <c r="L31" s="379" t="s">
        <v>967</v>
      </c>
      <c r="M31" s="50">
        <v>0</v>
      </c>
      <c r="N31" s="50">
        <v>1</v>
      </c>
      <c r="O31" s="50"/>
      <c r="P31" s="50">
        <v>1</v>
      </c>
      <c r="Q31" s="50"/>
      <c r="R31" s="50"/>
      <c r="S31" s="44"/>
      <c r="T31" s="44"/>
      <c r="U31" s="44"/>
      <c r="V31" s="44"/>
      <c r="W31" s="44"/>
      <c r="X31" s="44"/>
      <c r="Y31" s="44"/>
      <c r="Z31" s="44">
        <f t="shared" si="3"/>
        <v>0</v>
      </c>
      <c r="AA31" s="44">
        <v>100</v>
      </c>
      <c r="AB31" s="44"/>
      <c r="AC31" s="44"/>
      <c r="AD31" s="44"/>
      <c r="AE31" s="44"/>
      <c r="AF31" s="44"/>
      <c r="AG31" s="44"/>
      <c r="AH31" s="44">
        <f t="shared" si="4"/>
        <v>100</v>
      </c>
      <c r="AI31" s="44"/>
      <c r="AJ31" s="44"/>
      <c r="AK31" s="44"/>
      <c r="AL31" s="44"/>
      <c r="AM31" s="44"/>
      <c r="AN31" s="44"/>
      <c r="AO31" s="44"/>
      <c r="AP31" s="44">
        <f t="shared" si="1"/>
        <v>0</v>
      </c>
      <c r="AQ31" s="44"/>
      <c r="AR31" s="44"/>
      <c r="AS31" s="44"/>
      <c r="AT31" s="44"/>
      <c r="AU31" s="44"/>
      <c r="AV31" s="44"/>
      <c r="AW31" s="44"/>
      <c r="AX31" s="44">
        <f t="shared" si="5"/>
        <v>0</v>
      </c>
      <c r="AY31" s="44">
        <f t="shared" si="2"/>
        <v>100</v>
      </c>
      <c r="AZ31" s="44">
        <f t="shared" si="16"/>
        <v>0</v>
      </c>
      <c r="BA31" s="44">
        <f t="shared" si="16"/>
        <v>0</v>
      </c>
      <c r="BB31" s="44">
        <f t="shared" si="16"/>
        <v>0</v>
      </c>
      <c r="BC31" s="44">
        <f t="shared" si="16"/>
        <v>0</v>
      </c>
      <c r="BD31" s="44">
        <f t="shared" si="16"/>
        <v>0</v>
      </c>
      <c r="BE31" s="44">
        <f t="shared" si="16"/>
        <v>0</v>
      </c>
      <c r="BF31" s="45">
        <f t="shared" si="16"/>
        <v>100</v>
      </c>
      <c r="BG31" s="90"/>
    </row>
    <row r="32" spans="1:59" s="106" customFormat="1" ht="54" x14ac:dyDescent="0.25">
      <c r="A32" s="879"/>
      <c r="B32" s="603"/>
      <c r="C32" s="603"/>
      <c r="D32" s="611"/>
      <c r="E32" s="611"/>
      <c r="F32" s="867"/>
      <c r="G32" s="619"/>
      <c r="H32" s="607"/>
      <c r="I32" s="603"/>
      <c r="J32" s="611"/>
      <c r="K32" s="603"/>
      <c r="L32" s="379" t="s">
        <v>299</v>
      </c>
      <c r="M32" s="50">
        <v>0</v>
      </c>
      <c r="N32" s="50">
        <v>10</v>
      </c>
      <c r="O32" s="50"/>
      <c r="P32" s="50">
        <v>10</v>
      </c>
      <c r="Q32" s="50"/>
      <c r="R32" s="50"/>
      <c r="S32" s="44"/>
      <c r="T32" s="44"/>
      <c r="U32" s="44"/>
      <c r="V32" s="44"/>
      <c r="W32" s="44"/>
      <c r="X32" s="44"/>
      <c r="Y32" s="44"/>
      <c r="Z32" s="44">
        <f t="shared" si="3"/>
        <v>0</v>
      </c>
      <c r="AA32" s="44">
        <v>100</v>
      </c>
      <c r="AB32" s="44"/>
      <c r="AC32" s="44"/>
      <c r="AD32" s="44"/>
      <c r="AE32" s="44"/>
      <c r="AF32" s="44"/>
      <c r="AG32" s="44"/>
      <c r="AH32" s="44">
        <f t="shared" si="4"/>
        <v>100</v>
      </c>
      <c r="AI32" s="44"/>
      <c r="AJ32" s="44"/>
      <c r="AK32" s="44"/>
      <c r="AL32" s="44"/>
      <c r="AM32" s="44"/>
      <c r="AN32" s="44"/>
      <c r="AO32" s="44"/>
      <c r="AP32" s="44">
        <f t="shared" si="1"/>
        <v>0</v>
      </c>
      <c r="AQ32" s="44"/>
      <c r="AR32" s="44"/>
      <c r="AS32" s="44"/>
      <c r="AT32" s="44"/>
      <c r="AU32" s="44"/>
      <c r="AV32" s="44"/>
      <c r="AW32" s="44"/>
      <c r="AX32" s="44">
        <f t="shared" si="5"/>
        <v>0</v>
      </c>
      <c r="AY32" s="44">
        <f t="shared" si="2"/>
        <v>100</v>
      </c>
      <c r="AZ32" s="44">
        <f t="shared" si="16"/>
        <v>0</v>
      </c>
      <c r="BA32" s="44">
        <f t="shared" si="16"/>
        <v>0</v>
      </c>
      <c r="BB32" s="44">
        <f t="shared" si="16"/>
        <v>0</v>
      </c>
      <c r="BC32" s="44">
        <f t="shared" si="16"/>
        <v>0</v>
      </c>
      <c r="BD32" s="44">
        <f t="shared" si="16"/>
        <v>0</v>
      </c>
      <c r="BE32" s="44">
        <f t="shared" si="16"/>
        <v>0</v>
      </c>
      <c r="BF32" s="45">
        <f t="shared" si="16"/>
        <v>100</v>
      </c>
      <c r="BG32" s="90"/>
    </row>
    <row r="33" spans="1:59" s="106" customFormat="1" ht="51" customHeight="1" x14ac:dyDescent="0.25">
      <c r="A33" s="879"/>
      <c r="B33" s="603"/>
      <c r="C33" s="603"/>
      <c r="D33" s="611"/>
      <c r="E33" s="611"/>
      <c r="F33" s="867"/>
      <c r="G33" s="619"/>
      <c r="H33" s="607"/>
      <c r="I33" s="603"/>
      <c r="J33" s="611"/>
      <c r="K33" s="603" t="s">
        <v>284</v>
      </c>
      <c r="L33" s="379" t="s">
        <v>300</v>
      </c>
      <c r="M33" s="50">
        <v>0</v>
      </c>
      <c r="N33" s="50">
        <v>1</v>
      </c>
      <c r="O33" s="50"/>
      <c r="P33" s="50">
        <v>1</v>
      </c>
      <c r="Q33" s="50"/>
      <c r="R33" s="50"/>
      <c r="S33" s="44"/>
      <c r="T33" s="44"/>
      <c r="U33" s="44"/>
      <c r="V33" s="44"/>
      <c r="W33" s="44"/>
      <c r="X33" s="44"/>
      <c r="Y33" s="44"/>
      <c r="Z33" s="44">
        <f t="shared" si="3"/>
        <v>0</v>
      </c>
      <c r="AA33" s="44">
        <v>40</v>
      </c>
      <c r="AB33" s="44"/>
      <c r="AC33" s="44"/>
      <c r="AD33" s="44"/>
      <c r="AE33" s="44"/>
      <c r="AF33" s="44"/>
      <c r="AG33" s="44"/>
      <c r="AH33" s="44">
        <f t="shared" si="4"/>
        <v>40</v>
      </c>
      <c r="AI33" s="44"/>
      <c r="AJ33" s="44"/>
      <c r="AK33" s="44"/>
      <c r="AL33" s="44"/>
      <c r="AM33" s="44"/>
      <c r="AN33" s="44"/>
      <c r="AO33" s="44"/>
      <c r="AP33" s="44">
        <f t="shared" si="1"/>
        <v>0</v>
      </c>
      <c r="AQ33" s="44"/>
      <c r="AR33" s="44"/>
      <c r="AS33" s="44"/>
      <c r="AT33" s="44"/>
      <c r="AU33" s="44"/>
      <c r="AV33" s="44"/>
      <c r="AW33" s="44"/>
      <c r="AX33" s="44">
        <f t="shared" si="5"/>
        <v>0</v>
      </c>
      <c r="AY33" s="44">
        <f t="shared" si="2"/>
        <v>40</v>
      </c>
      <c r="AZ33" s="44">
        <f t="shared" si="16"/>
        <v>0</v>
      </c>
      <c r="BA33" s="44">
        <f t="shared" si="16"/>
        <v>0</v>
      </c>
      <c r="BB33" s="44">
        <f t="shared" si="16"/>
        <v>0</v>
      </c>
      <c r="BC33" s="44">
        <f t="shared" si="16"/>
        <v>0</v>
      </c>
      <c r="BD33" s="44">
        <f t="shared" si="16"/>
        <v>0</v>
      </c>
      <c r="BE33" s="44">
        <f t="shared" si="16"/>
        <v>0</v>
      </c>
      <c r="BF33" s="45">
        <f t="shared" si="16"/>
        <v>40</v>
      </c>
      <c r="BG33" s="90"/>
    </row>
    <row r="34" spans="1:59" s="106" customFormat="1" ht="40.5" x14ac:dyDescent="0.25">
      <c r="A34" s="879"/>
      <c r="B34" s="603"/>
      <c r="C34" s="603"/>
      <c r="D34" s="611"/>
      <c r="E34" s="611"/>
      <c r="F34" s="867"/>
      <c r="G34" s="619"/>
      <c r="H34" s="607"/>
      <c r="I34" s="603"/>
      <c r="J34" s="611"/>
      <c r="K34" s="603"/>
      <c r="L34" s="379" t="s">
        <v>312</v>
      </c>
      <c r="M34" s="50"/>
      <c r="N34" s="50">
        <v>2</v>
      </c>
      <c r="O34" s="50"/>
      <c r="P34" s="50">
        <v>2</v>
      </c>
      <c r="Q34" s="50"/>
      <c r="R34" s="50"/>
      <c r="S34" s="44"/>
      <c r="T34" s="44"/>
      <c r="U34" s="44"/>
      <c r="V34" s="44"/>
      <c r="W34" s="44"/>
      <c r="X34" s="44"/>
      <c r="Y34" s="44"/>
      <c r="Z34" s="44">
        <f t="shared" si="3"/>
        <v>0</v>
      </c>
      <c r="AA34" s="44">
        <v>10</v>
      </c>
      <c r="AB34" s="44"/>
      <c r="AC34" s="44"/>
      <c r="AD34" s="44"/>
      <c r="AE34" s="44"/>
      <c r="AF34" s="44"/>
      <c r="AG34" s="44"/>
      <c r="AH34" s="44">
        <f t="shared" si="4"/>
        <v>10</v>
      </c>
      <c r="AI34" s="44"/>
      <c r="AJ34" s="44"/>
      <c r="AK34" s="44"/>
      <c r="AL34" s="44"/>
      <c r="AM34" s="44"/>
      <c r="AN34" s="44"/>
      <c r="AO34" s="44"/>
      <c r="AP34" s="44">
        <f t="shared" si="1"/>
        <v>0</v>
      </c>
      <c r="AQ34" s="44"/>
      <c r="AR34" s="44"/>
      <c r="AS34" s="44"/>
      <c r="AT34" s="44"/>
      <c r="AU34" s="44"/>
      <c r="AV34" s="44"/>
      <c r="AW34" s="44"/>
      <c r="AX34" s="44">
        <f t="shared" si="5"/>
        <v>0</v>
      </c>
      <c r="AY34" s="44">
        <f t="shared" si="2"/>
        <v>10</v>
      </c>
      <c r="AZ34" s="44">
        <f t="shared" si="16"/>
        <v>0</v>
      </c>
      <c r="BA34" s="44">
        <f t="shared" si="16"/>
        <v>0</v>
      </c>
      <c r="BB34" s="44">
        <f t="shared" si="16"/>
        <v>0</v>
      </c>
      <c r="BC34" s="44">
        <f t="shared" si="16"/>
        <v>0</v>
      </c>
      <c r="BD34" s="44">
        <f t="shared" si="16"/>
        <v>0</v>
      </c>
      <c r="BE34" s="44">
        <f t="shared" si="16"/>
        <v>0</v>
      </c>
      <c r="BF34" s="45">
        <f t="shared" si="16"/>
        <v>10</v>
      </c>
      <c r="BG34" s="90"/>
    </row>
    <row r="35" spans="1:59" s="106" customFormat="1" ht="67.5" x14ac:dyDescent="0.25">
      <c r="A35" s="879"/>
      <c r="B35" s="603"/>
      <c r="C35" s="603"/>
      <c r="D35" s="611"/>
      <c r="E35" s="611"/>
      <c r="F35" s="867"/>
      <c r="G35" s="619"/>
      <c r="H35" s="607"/>
      <c r="I35" s="603"/>
      <c r="J35" s="611"/>
      <c r="K35" s="603" t="s">
        <v>285</v>
      </c>
      <c r="L35" s="379" t="s">
        <v>1406</v>
      </c>
      <c r="M35" s="50">
        <v>8</v>
      </c>
      <c r="N35" s="50">
        <v>60</v>
      </c>
      <c r="O35" s="50">
        <v>30</v>
      </c>
      <c r="P35" s="50"/>
      <c r="Q35" s="50">
        <v>60</v>
      </c>
      <c r="R35" s="50"/>
      <c r="S35" s="44">
        <v>10</v>
      </c>
      <c r="T35" s="44"/>
      <c r="U35" s="44"/>
      <c r="V35" s="44"/>
      <c r="W35" s="44"/>
      <c r="X35" s="44"/>
      <c r="Y35" s="44"/>
      <c r="Z35" s="44">
        <f t="shared" si="3"/>
        <v>10</v>
      </c>
      <c r="AA35" s="44"/>
      <c r="AB35" s="44"/>
      <c r="AC35" s="44"/>
      <c r="AD35" s="44"/>
      <c r="AE35" s="44"/>
      <c r="AF35" s="44"/>
      <c r="AG35" s="44"/>
      <c r="AH35" s="44">
        <f t="shared" si="4"/>
        <v>0</v>
      </c>
      <c r="AI35" s="44">
        <v>30</v>
      </c>
      <c r="AJ35" s="44"/>
      <c r="AK35" s="44"/>
      <c r="AL35" s="44"/>
      <c r="AM35" s="44"/>
      <c r="AN35" s="44"/>
      <c r="AO35" s="44"/>
      <c r="AP35" s="44">
        <f t="shared" si="1"/>
        <v>30</v>
      </c>
      <c r="AQ35" s="44"/>
      <c r="AR35" s="44"/>
      <c r="AS35" s="44"/>
      <c r="AT35" s="44"/>
      <c r="AU35" s="44"/>
      <c r="AV35" s="44"/>
      <c r="AW35" s="44"/>
      <c r="AX35" s="44">
        <f t="shared" si="5"/>
        <v>0</v>
      </c>
      <c r="AY35" s="44">
        <f t="shared" si="2"/>
        <v>40</v>
      </c>
      <c r="AZ35" s="44">
        <f t="shared" si="16"/>
        <v>0</v>
      </c>
      <c r="BA35" s="44">
        <f t="shared" si="16"/>
        <v>0</v>
      </c>
      <c r="BB35" s="44">
        <f t="shared" si="16"/>
        <v>0</v>
      </c>
      <c r="BC35" s="44">
        <f t="shared" si="16"/>
        <v>0</v>
      </c>
      <c r="BD35" s="44">
        <f t="shared" si="16"/>
        <v>0</v>
      </c>
      <c r="BE35" s="44">
        <f t="shared" si="16"/>
        <v>0</v>
      </c>
      <c r="BF35" s="45">
        <f t="shared" si="16"/>
        <v>40</v>
      </c>
      <c r="BG35" s="90"/>
    </row>
    <row r="36" spans="1:59" s="106" customFormat="1" ht="67.5" x14ac:dyDescent="0.25">
      <c r="A36" s="879"/>
      <c r="B36" s="603"/>
      <c r="C36" s="603"/>
      <c r="D36" s="611"/>
      <c r="E36" s="611"/>
      <c r="F36" s="867"/>
      <c r="G36" s="619"/>
      <c r="H36" s="607"/>
      <c r="I36" s="603"/>
      <c r="J36" s="611"/>
      <c r="K36" s="603"/>
      <c r="L36" s="379" t="s">
        <v>301</v>
      </c>
      <c r="M36" s="50"/>
      <c r="N36" s="50">
        <v>4</v>
      </c>
      <c r="O36" s="50">
        <v>4</v>
      </c>
      <c r="P36" s="50"/>
      <c r="Q36" s="50"/>
      <c r="R36" s="50"/>
      <c r="S36" s="44">
        <v>12</v>
      </c>
      <c r="T36" s="44"/>
      <c r="U36" s="44"/>
      <c r="V36" s="44"/>
      <c r="W36" s="44"/>
      <c r="X36" s="44"/>
      <c r="Y36" s="44"/>
      <c r="Z36" s="44">
        <f t="shared" si="3"/>
        <v>12</v>
      </c>
      <c r="AA36" s="44"/>
      <c r="AB36" s="44"/>
      <c r="AC36" s="44"/>
      <c r="AD36" s="44"/>
      <c r="AE36" s="44"/>
      <c r="AF36" s="44"/>
      <c r="AG36" s="44"/>
      <c r="AH36" s="44">
        <f t="shared" si="4"/>
        <v>0</v>
      </c>
      <c r="AI36" s="44"/>
      <c r="AJ36" s="44"/>
      <c r="AK36" s="44"/>
      <c r="AL36" s="44"/>
      <c r="AM36" s="44"/>
      <c r="AN36" s="44"/>
      <c r="AO36" s="44"/>
      <c r="AP36" s="44">
        <f t="shared" si="1"/>
        <v>0</v>
      </c>
      <c r="AQ36" s="44"/>
      <c r="AR36" s="44"/>
      <c r="AS36" s="44"/>
      <c r="AT36" s="44"/>
      <c r="AU36" s="44"/>
      <c r="AV36" s="44"/>
      <c r="AW36" s="44"/>
      <c r="AX36" s="44">
        <f t="shared" si="5"/>
        <v>0</v>
      </c>
      <c r="AY36" s="44">
        <f t="shared" si="2"/>
        <v>12</v>
      </c>
      <c r="AZ36" s="44">
        <f t="shared" si="16"/>
        <v>0</v>
      </c>
      <c r="BA36" s="44">
        <f t="shared" si="16"/>
        <v>0</v>
      </c>
      <c r="BB36" s="44">
        <f t="shared" si="16"/>
        <v>0</v>
      </c>
      <c r="BC36" s="44">
        <f t="shared" si="16"/>
        <v>0</v>
      </c>
      <c r="BD36" s="44">
        <f t="shared" si="16"/>
        <v>0</v>
      </c>
      <c r="BE36" s="44">
        <f t="shared" si="16"/>
        <v>0</v>
      </c>
      <c r="BF36" s="45">
        <f t="shared" si="16"/>
        <v>12</v>
      </c>
      <c r="BG36" s="90"/>
    </row>
    <row r="37" spans="1:59" s="106" customFormat="1" ht="121.5" x14ac:dyDescent="0.25">
      <c r="A37" s="879"/>
      <c r="B37" s="603"/>
      <c r="C37" s="603"/>
      <c r="D37" s="611"/>
      <c r="E37" s="611"/>
      <c r="F37" s="867"/>
      <c r="G37" s="619"/>
      <c r="H37" s="607"/>
      <c r="I37" s="603"/>
      <c r="J37" s="611"/>
      <c r="K37" s="355" t="s">
        <v>286</v>
      </c>
      <c r="L37" s="379" t="s">
        <v>302</v>
      </c>
      <c r="M37" s="50">
        <v>0</v>
      </c>
      <c r="N37" s="50">
        <v>1</v>
      </c>
      <c r="O37" s="50">
        <v>1</v>
      </c>
      <c r="P37" s="50"/>
      <c r="Q37" s="50"/>
      <c r="R37" s="50"/>
      <c r="S37" s="44"/>
      <c r="T37" s="44"/>
      <c r="U37" s="44"/>
      <c r="V37" s="44"/>
      <c r="W37" s="44"/>
      <c r="X37" s="44"/>
      <c r="Y37" s="44"/>
      <c r="Z37" s="44">
        <f t="shared" si="3"/>
        <v>0</v>
      </c>
      <c r="AA37" s="44"/>
      <c r="AB37" s="44"/>
      <c r="AC37" s="44"/>
      <c r="AD37" s="44"/>
      <c r="AE37" s="44"/>
      <c r="AF37" s="44"/>
      <c r="AG37" s="44"/>
      <c r="AH37" s="44">
        <f t="shared" si="4"/>
        <v>0</v>
      </c>
      <c r="AI37" s="44"/>
      <c r="AJ37" s="44"/>
      <c r="AK37" s="44"/>
      <c r="AL37" s="44"/>
      <c r="AM37" s="44"/>
      <c r="AN37" s="44"/>
      <c r="AO37" s="44"/>
      <c r="AP37" s="44">
        <f t="shared" si="1"/>
        <v>0</v>
      </c>
      <c r="AQ37" s="44"/>
      <c r="AR37" s="44"/>
      <c r="AS37" s="44"/>
      <c r="AT37" s="44"/>
      <c r="AU37" s="44"/>
      <c r="AV37" s="44"/>
      <c r="AW37" s="44"/>
      <c r="AX37" s="44">
        <f t="shared" si="5"/>
        <v>0</v>
      </c>
      <c r="AY37" s="44">
        <f t="shared" si="2"/>
        <v>0</v>
      </c>
      <c r="AZ37" s="44">
        <f t="shared" si="16"/>
        <v>0</v>
      </c>
      <c r="BA37" s="44">
        <f t="shared" si="16"/>
        <v>0</v>
      </c>
      <c r="BB37" s="44">
        <f t="shared" si="16"/>
        <v>0</v>
      </c>
      <c r="BC37" s="44">
        <f t="shared" si="16"/>
        <v>0</v>
      </c>
      <c r="BD37" s="44">
        <f t="shared" si="16"/>
        <v>0</v>
      </c>
      <c r="BE37" s="44">
        <f t="shared" si="16"/>
        <v>0</v>
      </c>
      <c r="BF37" s="45">
        <f t="shared" si="16"/>
        <v>0</v>
      </c>
      <c r="BG37" s="90"/>
    </row>
    <row r="38" spans="1:59" s="106" customFormat="1" ht="38.25" customHeight="1" x14ac:dyDescent="0.25">
      <c r="A38" s="879"/>
      <c r="B38" s="603"/>
      <c r="C38" s="603"/>
      <c r="D38" s="611"/>
      <c r="E38" s="611"/>
      <c r="F38" s="867"/>
      <c r="G38" s="619"/>
      <c r="H38" s="607"/>
      <c r="I38" s="603"/>
      <c r="J38" s="611" t="s">
        <v>290</v>
      </c>
      <c r="K38" s="355" t="s">
        <v>287</v>
      </c>
      <c r="L38" s="379" t="s">
        <v>305</v>
      </c>
      <c r="M38" s="50">
        <v>0</v>
      </c>
      <c r="N38" s="50">
        <v>1</v>
      </c>
      <c r="O38" s="50">
        <v>1</v>
      </c>
      <c r="P38" s="50"/>
      <c r="Q38" s="50"/>
      <c r="R38" s="50"/>
      <c r="S38" s="44">
        <v>5</v>
      </c>
      <c r="T38" s="44"/>
      <c r="U38" s="44"/>
      <c r="V38" s="44"/>
      <c r="W38" s="44"/>
      <c r="X38" s="44"/>
      <c r="Y38" s="44"/>
      <c r="Z38" s="44">
        <f t="shared" si="3"/>
        <v>5</v>
      </c>
      <c r="AA38" s="44"/>
      <c r="AB38" s="44"/>
      <c r="AC38" s="44"/>
      <c r="AD38" s="44"/>
      <c r="AE38" s="44"/>
      <c r="AF38" s="44"/>
      <c r="AG38" s="44"/>
      <c r="AH38" s="44">
        <f t="shared" si="4"/>
        <v>0</v>
      </c>
      <c r="AI38" s="44"/>
      <c r="AJ38" s="44"/>
      <c r="AK38" s="44"/>
      <c r="AL38" s="44"/>
      <c r="AM38" s="44"/>
      <c r="AN38" s="44"/>
      <c r="AO38" s="44"/>
      <c r="AP38" s="44">
        <f t="shared" si="1"/>
        <v>0</v>
      </c>
      <c r="AQ38" s="44"/>
      <c r="AR38" s="44"/>
      <c r="AS38" s="44"/>
      <c r="AT38" s="44"/>
      <c r="AU38" s="44"/>
      <c r="AV38" s="44"/>
      <c r="AW38" s="44"/>
      <c r="AX38" s="44">
        <f t="shared" si="5"/>
        <v>0</v>
      </c>
      <c r="AY38" s="44">
        <f t="shared" si="2"/>
        <v>5</v>
      </c>
      <c r="AZ38" s="44">
        <f t="shared" si="16"/>
        <v>0</v>
      </c>
      <c r="BA38" s="44">
        <f t="shared" si="16"/>
        <v>0</v>
      </c>
      <c r="BB38" s="44">
        <f t="shared" si="16"/>
        <v>0</v>
      </c>
      <c r="BC38" s="44">
        <f t="shared" si="16"/>
        <v>0</v>
      </c>
      <c r="BD38" s="44">
        <f t="shared" si="16"/>
        <v>0</v>
      </c>
      <c r="BE38" s="44">
        <f t="shared" si="16"/>
        <v>0</v>
      </c>
      <c r="BF38" s="45">
        <f t="shared" si="16"/>
        <v>5</v>
      </c>
      <c r="BG38" s="90"/>
    </row>
    <row r="39" spans="1:59" s="106" customFormat="1" ht="27" x14ac:dyDescent="0.25">
      <c r="A39" s="879"/>
      <c r="B39" s="603"/>
      <c r="C39" s="603"/>
      <c r="D39" s="611"/>
      <c r="E39" s="611"/>
      <c r="F39" s="867"/>
      <c r="G39" s="619"/>
      <c r="H39" s="607"/>
      <c r="I39" s="603"/>
      <c r="J39" s="611"/>
      <c r="K39" s="355" t="s">
        <v>288</v>
      </c>
      <c r="L39" s="379" t="s">
        <v>306</v>
      </c>
      <c r="M39" s="50">
        <v>0</v>
      </c>
      <c r="N39" s="50">
        <v>1</v>
      </c>
      <c r="O39" s="50">
        <v>1</v>
      </c>
      <c r="P39" s="50"/>
      <c r="Q39" s="50"/>
      <c r="R39" s="50"/>
      <c r="S39" s="44">
        <v>5</v>
      </c>
      <c r="T39" s="44"/>
      <c r="U39" s="44"/>
      <c r="V39" s="44"/>
      <c r="W39" s="44"/>
      <c r="X39" s="44"/>
      <c r="Y39" s="44"/>
      <c r="Z39" s="44">
        <f t="shared" si="3"/>
        <v>5</v>
      </c>
      <c r="AA39" s="44"/>
      <c r="AB39" s="44"/>
      <c r="AC39" s="44"/>
      <c r="AD39" s="44"/>
      <c r="AE39" s="44"/>
      <c r="AF39" s="44"/>
      <c r="AG39" s="44"/>
      <c r="AH39" s="44">
        <f t="shared" si="4"/>
        <v>0</v>
      </c>
      <c r="AI39" s="44"/>
      <c r="AJ39" s="44"/>
      <c r="AK39" s="44"/>
      <c r="AL39" s="44"/>
      <c r="AM39" s="44"/>
      <c r="AN39" s="44"/>
      <c r="AO39" s="44"/>
      <c r="AP39" s="44">
        <f t="shared" si="1"/>
        <v>0</v>
      </c>
      <c r="AQ39" s="44"/>
      <c r="AR39" s="44"/>
      <c r="AS39" s="44"/>
      <c r="AT39" s="44"/>
      <c r="AU39" s="44"/>
      <c r="AV39" s="44"/>
      <c r="AW39" s="44"/>
      <c r="AX39" s="44">
        <f t="shared" si="5"/>
        <v>0</v>
      </c>
      <c r="AY39" s="44">
        <f t="shared" si="2"/>
        <v>5</v>
      </c>
      <c r="AZ39" s="44">
        <f t="shared" si="16"/>
        <v>0</v>
      </c>
      <c r="BA39" s="44">
        <f t="shared" si="16"/>
        <v>0</v>
      </c>
      <c r="BB39" s="44">
        <f t="shared" si="16"/>
        <v>0</v>
      </c>
      <c r="BC39" s="44">
        <f t="shared" si="16"/>
        <v>0</v>
      </c>
      <c r="BD39" s="44">
        <f t="shared" si="16"/>
        <v>0</v>
      </c>
      <c r="BE39" s="44">
        <f t="shared" si="16"/>
        <v>0</v>
      </c>
      <c r="BF39" s="45">
        <f t="shared" si="16"/>
        <v>5</v>
      </c>
      <c r="BG39" s="90"/>
    </row>
    <row r="40" spans="1:59" s="106" customFormat="1" ht="67.5" x14ac:dyDescent="0.25">
      <c r="A40" s="879"/>
      <c r="B40" s="603"/>
      <c r="C40" s="603"/>
      <c r="D40" s="611"/>
      <c r="E40" s="611"/>
      <c r="F40" s="867"/>
      <c r="G40" s="619"/>
      <c r="H40" s="607"/>
      <c r="I40" s="603"/>
      <c r="J40" s="611"/>
      <c r="K40" s="355" t="s">
        <v>289</v>
      </c>
      <c r="L40" s="379" t="s">
        <v>303</v>
      </c>
      <c r="M40" s="50">
        <v>20</v>
      </c>
      <c r="N40" s="50">
        <v>100</v>
      </c>
      <c r="O40" s="50">
        <v>30</v>
      </c>
      <c r="P40" s="50">
        <v>50</v>
      </c>
      <c r="Q40" s="50">
        <v>70</v>
      </c>
      <c r="R40" s="50">
        <v>100</v>
      </c>
      <c r="S40" s="44">
        <v>5</v>
      </c>
      <c r="T40" s="44"/>
      <c r="U40" s="44"/>
      <c r="V40" s="44"/>
      <c r="W40" s="44"/>
      <c r="X40" s="44"/>
      <c r="Y40" s="44"/>
      <c r="Z40" s="44">
        <f t="shared" si="3"/>
        <v>5</v>
      </c>
      <c r="AA40" s="44">
        <v>150</v>
      </c>
      <c r="AB40" s="44"/>
      <c r="AC40" s="44"/>
      <c r="AD40" s="44"/>
      <c r="AE40" s="44"/>
      <c r="AF40" s="44"/>
      <c r="AG40" s="44"/>
      <c r="AH40" s="44">
        <f t="shared" si="4"/>
        <v>150</v>
      </c>
      <c r="AI40" s="44">
        <v>150</v>
      </c>
      <c r="AJ40" s="44"/>
      <c r="AK40" s="44"/>
      <c r="AL40" s="44"/>
      <c r="AM40" s="44"/>
      <c r="AN40" s="44"/>
      <c r="AO40" s="44"/>
      <c r="AP40" s="44">
        <f t="shared" si="1"/>
        <v>150</v>
      </c>
      <c r="AQ40" s="44">
        <v>150</v>
      </c>
      <c r="AR40" s="44"/>
      <c r="AS40" s="44"/>
      <c r="AT40" s="44"/>
      <c r="AU40" s="44"/>
      <c r="AV40" s="44"/>
      <c r="AW40" s="44"/>
      <c r="AX40" s="44">
        <f t="shared" si="5"/>
        <v>150</v>
      </c>
      <c r="AY40" s="44">
        <f t="shared" si="2"/>
        <v>455</v>
      </c>
      <c r="AZ40" s="44">
        <f t="shared" si="16"/>
        <v>0</v>
      </c>
      <c r="BA40" s="44">
        <f t="shared" si="16"/>
        <v>0</v>
      </c>
      <c r="BB40" s="44">
        <f t="shared" si="16"/>
        <v>0</v>
      </c>
      <c r="BC40" s="44">
        <f t="shared" si="16"/>
        <v>0</v>
      </c>
      <c r="BD40" s="44">
        <f t="shared" si="16"/>
        <v>0</v>
      </c>
      <c r="BE40" s="44">
        <f t="shared" si="16"/>
        <v>0</v>
      </c>
      <c r="BF40" s="45">
        <f t="shared" si="16"/>
        <v>455</v>
      </c>
      <c r="BG40" s="90"/>
    </row>
    <row r="41" spans="1:59" s="106" customFormat="1" ht="67.5" x14ac:dyDescent="0.25">
      <c r="A41" s="879"/>
      <c r="B41" s="603"/>
      <c r="C41" s="603"/>
      <c r="D41" s="611"/>
      <c r="E41" s="611"/>
      <c r="F41" s="867"/>
      <c r="G41" s="619"/>
      <c r="H41" s="607"/>
      <c r="I41" s="603"/>
      <c r="J41" s="611" t="s">
        <v>336</v>
      </c>
      <c r="K41" s="355" t="s">
        <v>337</v>
      </c>
      <c r="L41" s="379" t="s">
        <v>338</v>
      </c>
      <c r="M41" s="78">
        <v>0.54</v>
      </c>
      <c r="N41" s="78">
        <v>1</v>
      </c>
      <c r="O41" s="78">
        <v>0.65</v>
      </c>
      <c r="P41" s="78">
        <v>0.77</v>
      </c>
      <c r="Q41" s="78">
        <v>0.88</v>
      </c>
      <c r="R41" s="78">
        <v>1</v>
      </c>
      <c r="S41" s="44">
        <v>10</v>
      </c>
      <c r="T41" s="44"/>
      <c r="U41" s="44"/>
      <c r="V41" s="44"/>
      <c r="W41" s="44"/>
      <c r="X41" s="44"/>
      <c r="Y41" s="44">
        <v>40</v>
      </c>
      <c r="Z41" s="44">
        <f t="shared" si="3"/>
        <v>50</v>
      </c>
      <c r="AA41" s="44">
        <v>10</v>
      </c>
      <c r="AB41" s="44"/>
      <c r="AC41" s="44"/>
      <c r="AD41" s="44"/>
      <c r="AE41" s="44"/>
      <c r="AF41" s="44"/>
      <c r="AG41" s="44">
        <v>40</v>
      </c>
      <c r="AH41" s="44">
        <f t="shared" si="4"/>
        <v>50</v>
      </c>
      <c r="AI41" s="44">
        <v>10</v>
      </c>
      <c r="AJ41" s="44"/>
      <c r="AK41" s="44"/>
      <c r="AL41" s="44"/>
      <c r="AM41" s="44"/>
      <c r="AN41" s="44"/>
      <c r="AO41" s="44">
        <v>40</v>
      </c>
      <c r="AP41" s="44">
        <f t="shared" si="1"/>
        <v>50</v>
      </c>
      <c r="AQ41" s="44">
        <v>10</v>
      </c>
      <c r="AR41" s="44"/>
      <c r="AS41" s="44"/>
      <c r="AT41" s="44"/>
      <c r="AU41" s="44"/>
      <c r="AV41" s="44"/>
      <c r="AW41" s="44">
        <v>40</v>
      </c>
      <c r="AX41" s="44">
        <f t="shared" si="5"/>
        <v>50</v>
      </c>
      <c r="AY41" s="44">
        <f t="shared" si="2"/>
        <v>40</v>
      </c>
      <c r="AZ41" s="44">
        <f t="shared" si="16"/>
        <v>0</v>
      </c>
      <c r="BA41" s="44">
        <f t="shared" si="16"/>
        <v>0</v>
      </c>
      <c r="BB41" s="44">
        <f t="shared" si="16"/>
        <v>0</v>
      </c>
      <c r="BC41" s="44">
        <f t="shared" si="16"/>
        <v>0</v>
      </c>
      <c r="BD41" s="44">
        <f t="shared" si="16"/>
        <v>0</v>
      </c>
      <c r="BE41" s="44">
        <f t="shared" si="16"/>
        <v>160</v>
      </c>
      <c r="BF41" s="45">
        <f t="shared" si="16"/>
        <v>200</v>
      </c>
      <c r="BG41" s="90"/>
    </row>
    <row r="42" spans="1:59" s="106" customFormat="1" ht="40.5" x14ac:dyDescent="0.25">
      <c r="A42" s="879"/>
      <c r="B42" s="603"/>
      <c r="C42" s="603"/>
      <c r="D42" s="611"/>
      <c r="E42" s="611"/>
      <c r="F42" s="867"/>
      <c r="G42" s="619"/>
      <c r="H42" s="607"/>
      <c r="I42" s="603"/>
      <c r="J42" s="611"/>
      <c r="K42" s="355" t="s">
        <v>339</v>
      </c>
      <c r="L42" s="379" t="s">
        <v>340</v>
      </c>
      <c r="M42" s="50"/>
      <c r="N42" s="50">
        <v>20</v>
      </c>
      <c r="O42" s="50"/>
      <c r="P42" s="50">
        <v>20</v>
      </c>
      <c r="Q42" s="50"/>
      <c r="R42" s="50"/>
      <c r="S42" s="44"/>
      <c r="T42" s="44"/>
      <c r="U42" s="44"/>
      <c r="V42" s="44"/>
      <c r="W42" s="44"/>
      <c r="X42" s="44"/>
      <c r="Y42" s="44"/>
      <c r="Z42" s="44">
        <f t="shared" si="3"/>
        <v>0</v>
      </c>
      <c r="AA42" s="44">
        <v>80</v>
      </c>
      <c r="AB42" s="44"/>
      <c r="AC42" s="44"/>
      <c r="AD42" s="44"/>
      <c r="AE42" s="44"/>
      <c r="AF42" s="44"/>
      <c r="AG42" s="44"/>
      <c r="AH42" s="44">
        <f t="shared" si="4"/>
        <v>80</v>
      </c>
      <c r="AI42" s="44"/>
      <c r="AJ42" s="44"/>
      <c r="AK42" s="44"/>
      <c r="AL42" s="44"/>
      <c r="AM42" s="44"/>
      <c r="AN42" s="44"/>
      <c r="AO42" s="44"/>
      <c r="AP42" s="44">
        <f t="shared" si="1"/>
        <v>0</v>
      </c>
      <c r="AQ42" s="44"/>
      <c r="AR42" s="44"/>
      <c r="AS42" s="44"/>
      <c r="AT42" s="44"/>
      <c r="AU42" s="44"/>
      <c r="AV42" s="44"/>
      <c r="AW42" s="44"/>
      <c r="AX42" s="44">
        <f t="shared" si="5"/>
        <v>0</v>
      </c>
      <c r="AY42" s="44">
        <f t="shared" si="2"/>
        <v>80</v>
      </c>
      <c r="AZ42" s="44">
        <f t="shared" si="16"/>
        <v>0</v>
      </c>
      <c r="BA42" s="44">
        <f t="shared" si="16"/>
        <v>0</v>
      </c>
      <c r="BB42" s="44">
        <f t="shared" si="16"/>
        <v>0</v>
      </c>
      <c r="BC42" s="44">
        <f t="shared" si="16"/>
        <v>0</v>
      </c>
      <c r="BD42" s="44">
        <f t="shared" si="16"/>
        <v>0</v>
      </c>
      <c r="BE42" s="44">
        <f t="shared" si="16"/>
        <v>0</v>
      </c>
      <c r="BF42" s="45">
        <f t="shared" si="16"/>
        <v>80</v>
      </c>
      <c r="BG42" s="90"/>
    </row>
    <row r="43" spans="1:59" s="106" customFormat="1" ht="40.5" x14ac:dyDescent="0.25">
      <c r="A43" s="879"/>
      <c r="B43" s="603"/>
      <c r="C43" s="603"/>
      <c r="D43" s="611"/>
      <c r="E43" s="611"/>
      <c r="F43" s="867"/>
      <c r="G43" s="619"/>
      <c r="H43" s="607"/>
      <c r="I43" s="603"/>
      <c r="J43" s="611"/>
      <c r="K43" s="355" t="s">
        <v>1174</v>
      </c>
      <c r="L43" s="379" t="s">
        <v>341</v>
      </c>
      <c r="M43" s="50">
        <v>0</v>
      </c>
      <c r="N43" s="50">
        <v>52</v>
      </c>
      <c r="O43" s="50">
        <v>52</v>
      </c>
      <c r="P43" s="50">
        <v>52</v>
      </c>
      <c r="Q43" s="50">
        <v>52</v>
      </c>
      <c r="R43" s="50">
        <v>52</v>
      </c>
      <c r="S43" s="44"/>
      <c r="T43" s="44"/>
      <c r="U43" s="44"/>
      <c r="V43" s="44">
        <v>100</v>
      </c>
      <c r="W43" s="44"/>
      <c r="X43" s="44"/>
      <c r="Y43" s="44"/>
      <c r="Z43" s="44">
        <f t="shared" si="3"/>
        <v>100</v>
      </c>
      <c r="AA43" s="44"/>
      <c r="AB43" s="44"/>
      <c r="AC43" s="44"/>
      <c r="AD43" s="44">
        <v>100</v>
      </c>
      <c r="AE43" s="44"/>
      <c r="AF43" s="44"/>
      <c r="AG43" s="44"/>
      <c r="AH43" s="44">
        <f t="shared" si="4"/>
        <v>100</v>
      </c>
      <c r="AI43" s="44"/>
      <c r="AJ43" s="44"/>
      <c r="AK43" s="44"/>
      <c r="AL43" s="44">
        <v>100</v>
      </c>
      <c r="AM43" s="44"/>
      <c r="AN43" s="44"/>
      <c r="AO43" s="44"/>
      <c r="AP43" s="44">
        <f t="shared" si="1"/>
        <v>100</v>
      </c>
      <c r="AQ43" s="44"/>
      <c r="AR43" s="44"/>
      <c r="AS43" s="44"/>
      <c r="AT43" s="44">
        <v>100</v>
      </c>
      <c r="AU43" s="44"/>
      <c r="AV43" s="44"/>
      <c r="AW43" s="44"/>
      <c r="AX43" s="44">
        <f t="shared" si="5"/>
        <v>100</v>
      </c>
      <c r="AY43" s="44">
        <f t="shared" si="2"/>
        <v>0</v>
      </c>
      <c r="AZ43" s="44">
        <f t="shared" si="16"/>
        <v>0</v>
      </c>
      <c r="BA43" s="44">
        <f t="shared" si="16"/>
        <v>0</v>
      </c>
      <c r="BB43" s="44">
        <f t="shared" si="16"/>
        <v>400</v>
      </c>
      <c r="BC43" s="44">
        <f t="shared" si="16"/>
        <v>0</v>
      </c>
      <c r="BD43" s="44">
        <f t="shared" si="16"/>
        <v>0</v>
      </c>
      <c r="BE43" s="44">
        <f t="shared" si="16"/>
        <v>0</v>
      </c>
      <c r="BF43" s="45">
        <f t="shared" si="16"/>
        <v>400</v>
      </c>
      <c r="BG43" s="90"/>
    </row>
    <row r="44" spans="1:59" s="106" customFormat="1" ht="40.5" x14ac:dyDescent="0.25">
      <c r="A44" s="879"/>
      <c r="B44" s="603"/>
      <c r="C44" s="603"/>
      <c r="D44" s="611"/>
      <c r="E44" s="611"/>
      <c r="F44" s="867"/>
      <c r="G44" s="619"/>
      <c r="H44" s="607"/>
      <c r="I44" s="603"/>
      <c r="J44" s="611"/>
      <c r="K44" s="355" t="s">
        <v>1175</v>
      </c>
      <c r="L44" s="379" t="s">
        <v>342</v>
      </c>
      <c r="M44" s="50">
        <v>0</v>
      </c>
      <c r="N44" s="50">
        <v>12</v>
      </c>
      <c r="O44" s="50">
        <v>6</v>
      </c>
      <c r="P44" s="50">
        <v>12</v>
      </c>
      <c r="Q44" s="50">
        <v>12</v>
      </c>
      <c r="R44" s="50">
        <v>12</v>
      </c>
      <c r="S44" s="44"/>
      <c r="T44" s="44"/>
      <c r="U44" s="44"/>
      <c r="V44" s="44">
        <v>100</v>
      </c>
      <c r="W44" s="44"/>
      <c r="X44" s="44"/>
      <c r="Y44" s="44"/>
      <c r="Z44" s="44">
        <f t="shared" si="3"/>
        <v>100</v>
      </c>
      <c r="AA44" s="44"/>
      <c r="AB44" s="44"/>
      <c r="AC44" s="44"/>
      <c r="AD44" s="44">
        <v>100</v>
      </c>
      <c r="AE44" s="44"/>
      <c r="AF44" s="44"/>
      <c r="AG44" s="44"/>
      <c r="AH44" s="44">
        <f t="shared" si="4"/>
        <v>100</v>
      </c>
      <c r="AI44" s="44"/>
      <c r="AJ44" s="44"/>
      <c r="AK44" s="44"/>
      <c r="AL44" s="44">
        <v>100</v>
      </c>
      <c r="AM44" s="44"/>
      <c r="AN44" s="44"/>
      <c r="AO44" s="44"/>
      <c r="AP44" s="44">
        <f t="shared" si="1"/>
        <v>100</v>
      </c>
      <c r="AQ44" s="44"/>
      <c r="AR44" s="44"/>
      <c r="AS44" s="44"/>
      <c r="AT44" s="44">
        <v>100</v>
      </c>
      <c r="AU44" s="44"/>
      <c r="AV44" s="44"/>
      <c r="AW44" s="44"/>
      <c r="AX44" s="44">
        <f t="shared" si="5"/>
        <v>100</v>
      </c>
      <c r="AY44" s="44">
        <f t="shared" si="2"/>
        <v>0</v>
      </c>
      <c r="AZ44" s="44">
        <f t="shared" si="16"/>
        <v>0</v>
      </c>
      <c r="BA44" s="44">
        <f t="shared" si="16"/>
        <v>0</v>
      </c>
      <c r="BB44" s="44">
        <f t="shared" si="16"/>
        <v>400</v>
      </c>
      <c r="BC44" s="44">
        <f t="shared" si="16"/>
        <v>0</v>
      </c>
      <c r="BD44" s="44">
        <f t="shared" si="16"/>
        <v>0</v>
      </c>
      <c r="BE44" s="44">
        <f t="shared" si="16"/>
        <v>0</v>
      </c>
      <c r="BF44" s="45">
        <f t="shared" si="16"/>
        <v>400</v>
      </c>
      <c r="BG44" s="90"/>
    </row>
    <row r="45" spans="1:59" s="106" customFormat="1" ht="40.5" x14ac:dyDescent="0.25">
      <c r="A45" s="879"/>
      <c r="B45" s="603"/>
      <c r="C45" s="603"/>
      <c r="D45" s="611"/>
      <c r="E45" s="611"/>
      <c r="F45" s="867"/>
      <c r="G45" s="619"/>
      <c r="H45" s="607"/>
      <c r="I45" s="603"/>
      <c r="J45" s="611"/>
      <c r="K45" s="355" t="s">
        <v>1176</v>
      </c>
      <c r="L45" s="379" t="s">
        <v>343</v>
      </c>
      <c r="M45" s="78">
        <v>0</v>
      </c>
      <c r="N45" s="78">
        <v>1</v>
      </c>
      <c r="O45" s="50"/>
      <c r="P45" s="78">
        <v>0.3</v>
      </c>
      <c r="Q45" s="78">
        <v>1</v>
      </c>
      <c r="R45" s="78">
        <v>1</v>
      </c>
      <c r="S45" s="44"/>
      <c r="T45" s="44"/>
      <c r="U45" s="44"/>
      <c r="V45" s="44"/>
      <c r="W45" s="44"/>
      <c r="X45" s="44"/>
      <c r="Y45" s="44"/>
      <c r="Z45" s="44">
        <f t="shared" si="3"/>
        <v>0</v>
      </c>
      <c r="AA45" s="44"/>
      <c r="AB45" s="44"/>
      <c r="AC45" s="44"/>
      <c r="AD45" s="44"/>
      <c r="AE45" s="44"/>
      <c r="AF45" s="44"/>
      <c r="AG45" s="44"/>
      <c r="AH45" s="44">
        <f t="shared" si="4"/>
        <v>0</v>
      </c>
      <c r="AI45" s="44">
        <v>30</v>
      </c>
      <c r="AJ45" s="44"/>
      <c r="AK45" s="44"/>
      <c r="AL45" s="44"/>
      <c r="AM45" s="44"/>
      <c r="AN45" s="44"/>
      <c r="AO45" s="44"/>
      <c r="AP45" s="44">
        <f t="shared" si="1"/>
        <v>30</v>
      </c>
      <c r="AQ45" s="44">
        <v>30</v>
      </c>
      <c r="AR45" s="44"/>
      <c r="AS45" s="44"/>
      <c r="AT45" s="44"/>
      <c r="AU45" s="44"/>
      <c r="AV45" s="44"/>
      <c r="AW45" s="44"/>
      <c r="AX45" s="44">
        <f t="shared" si="5"/>
        <v>30</v>
      </c>
      <c r="AY45" s="44">
        <f t="shared" si="2"/>
        <v>60</v>
      </c>
      <c r="AZ45" s="44">
        <f t="shared" si="16"/>
        <v>0</v>
      </c>
      <c r="BA45" s="44">
        <f t="shared" si="16"/>
        <v>0</v>
      </c>
      <c r="BB45" s="44">
        <f t="shared" si="16"/>
        <v>0</v>
      </c>
      <c r="BC45" s="44">
        <f t="shared" si="16"/>
        <v>0</v>
      </c>
      <c r="BD45" s="44">
        <f t="shared" si="16"/>
        <v>0</v>
      </c>
      <c r="BE45" s="44">
        <f t="shared" si="16"/>
        <v>0</v>
      </c>
      <c r="BF45" s="45">
        <f t="shared" si="16"/>
        <v>60</v>
      </c>
      <c r="BG45" s="90"/>
    </row>
    <row r="46" spans="1:59" s="106" customFormat="1" ht="54" x14ac:dyDescent="0.25">
      <c r="A46" s="879"/>
      <c r="B46" s="603"/>
      <c r="C46" s="603"/>
      <c r="D46" s="611"/>
      <c r="E46" s="611"/>
      <c r="F46" s="867"/>
      <c r="G46" s="619"/>
      <c r="H46" s="607"/>
      <c r="I46" s="603"/>
      <c r="J46" s="611"/>
      <c r="K46" s="355" t="s">
        <v>1177</v>
      </c>
      <c r="L46" s="379" t="s">
        <v>344</v>
      </c>
      <c r="M46" s="50">
        <v>0</v>
      </c>
      <c r="N46" s="50">
        <v>1</v>
      </c>
      <c r="O46" s="50"/>
      <c r="P46" s="50">
        <v>1</v>
      </c>
      <c r="Q46" s="50">
        <v>1</v>
      </c>
      <c r="R46" s="50">
        <v>1</v>
      </c>
      <c r="S46" s="44"/>
      <c r="T46" s="44"/>
      <c r="U46" s="44"/>
      <c r="V46" s="44"/>
      <c r="W46" s="44"/>
      <c r="X46" s="44"/>
      <c r="Y46" s="44"/>
      <c r="Z46" s="44">
        <f t="shared" si="3"/>
        <v>0</v>
      </c>
      <c r="AA46" s="44">
        <v>5</v>
      </c>
      <c r="AB46" s="44"/>
      <c r="AC46" s="44"/>
      <c r="AD46" s="44"/>
      <c r="AE46" s="44"/>
      <c r="AF46" s="44"/>
      <c r="AG46" s="44"/>
      <c r="AH46" s="44">
        <f t="shared" si="4"/>
        <v>5</v>
      </c>
      <c r="AI46" s="44"/>
      <c r="AJ46" s="44"/>
      <c r="AK46" s="44"/>
      <c r="AL46" s="44"/>
      <c r="AM46" s="44"/>
      <c r="AN46" s="44"/>
      <c r="AO46" s="44"/>
      <c r="AP46" s="44">
        <f t="shared" si="1"/>
        <v>0</v>
      </c>
      <c r="AQ46" s="44"/>
      <c r="AR46" s="44"/>
      <c r="AS46" s="44"/>
      <c r="AT46" s="44"/>
      <c r="AU46" s="44"/>
      <c r="AV46" s="44"/>
      <c r="AW46" s="44"/>
      <c r="AX46" s="44">
        <f t="shared" si="5"/>
        <v>0</v>
      </c>
      <c r="AY46" s="44">
        <f t="shared" si="2"/>
        <v>5</v>
      </c>
      <c r="AZ46" s="44">
        <f t="shared" si="16"/>
        <v>0</v>
      </c>
      <c r="BA46" s="44">
        <f t="shared" si="16"/>
        <v>0</v>
      </c>
      <c r="BB46" s="44">
        <f t="shared" si="16"/>
        <v>0</v>
      </c>
      <c r="BC46" s="44">
        <f t="shared" si="16"/>
        <v>0</v>
      </c>
      <c r="BD46" s="44">
        <f t="shared" si="16"/>
        <v>0</v>
      </c>
      <c r="BE46" s="44">
        <f t="shared" si="16"/>
        <v>0</v>
      </c>
      <c r="BF46" s="45">
        <f t="shared" si="16"/>
        <v>5</v>
      </c>
      <c r="BG46" s="90"/>
    </row>
    <row r="47" spans="1:59" s="106" customFormat="1" ht="67.5" x14ac:dyDescent="0.25">
      <c r="A47" s="879"/>
      <c r="B47" s="603"/>
      <c r="C47" s="603"/>
      <c r="D47" s="74" t="s">
        <v>320</v>
      </c>
      <c r="E47" s="74" t="s">
        <v>321</v>
      </c>
      <c r="F47" s="305">
        <v>0.69499999999999995</v>
      </c>
      <c r="G47" s="306">
        <v>0.65500000000000003</v>
      </c>
      <c r="H47" s="607" t="s">
        <v>928</v>
      </c>
      <c r="I47" s="603" t="s">
        <v>1186</v>
      </c>
      <c r="J47" s="379"/>
      <c r="K47" s="173" t="s">
        <v>316</v>
      </c>
      <c r="L47" s="74" t="s">
        <v>317</v>
      </c>
      <c r="M47" s="491">
        <v>0.69499999999999995</v>
      </c>
      <c r="N47" s="492">
        <v>0.67</v>
      </c>
      <c r="O47" s="492">
        <v>0.68500000000000005</v>
      </c>
      <c r="P47" s="492">
        <v>0.67500000000000004</v>
      </c>
      <c r="Q47" s="492">
        <v>0.66500000000000004</v>
      </c>
      <c r="R47" s="492">
        <v>0.65500000000000003</v>
      </c>
      <c r="S47" s="44"/>
      <c r="T47" s="44"/>
      <c r="U47" s="44"/>
      <c r="V47" s="44"/>
      <c r="W47" s="44"/>
      <c r="X47" s="44"/>
      <c r="Y47" s="44"/>
      <c r="Z47" s="44">
        <f t="shared" si="3"/>
        <v>0</v>
      </c>
      <c r="AA47" s="44"/>
      <c r="AB47" s="44"/>
      <c r="AC47" s="44"/>
      <c r="AD47" s="44"/>
      <c r="AE47" s="44"/>
      <c r="AF47" s="44"/>
      <c r="AG47" s="44"/>
      <c r="AH47" s="44">
        <f t="shared" si="4"/>
        <v>0</v>
      </c>
      <c r="AI47" s="44"/>
      <c r="AJ47" s="44"/>
      <c r="AK47" s="44"/>
      <c r="AL47" s="44"/>
      <c r="AM47" s="44"/>
      <c r="AN47" s="44"/>
      <c r="AO47" s="44"/>
      <c r="AP47" s="44">
        <f t="shared" si="1"/>
        <v>0</v>
      </c>
      <c r="AQ47" s="44"/>
      <c r="AR47" s="44"/>
      <c r="AS47" s="44"/>
      <c r="AT47" s="44"/>
      <c r="AU47" s="44"/>
      <c r="AV47" s="44"/>
      <c r="AW47" s="44"/>
      <c r="AX47" s="44">
        <f t="shared" si="5"/>
        <v>0</v>
      </c>
      <c r="AY47" s="44">
        <f t="shared" si="2"/>
        <v>0</v>
      </c>
      <c r="AZ47" s="44">
        <f t="shared" si="16"/>
        <v>0</v>
      </c>
      <c r="BA47" s="44">
        <f t="shared" si="16"/>
        <v>0</v>
      </c>
      <c r="BB47" s="44">
        <f t="shared" si="16"/>
        <v>0</v>
      </c>
      <c r="BC47" s="44">
        <f t="shared" si="16"/>
        <v>0</v>
      </c>
      <c r="BD47" s="44">
        <f t="shared" si="16"/>
        <v>0</v>
      </c>
      <c r="BE47" s="44">
        <f t="shared" si="16"/>
        <v>0</v>
      </c>
      <c r="BF47" s="45">
        <f t="shared" si="16"/>
        <v>0</v>
      </c>
      <c r="BG47" s="90"/>
    </row>
    <row r="48" spans="1:59" s="106" customFormat="1" ht="94.5" x14ac:dyDescent="0.25">
      <c r="A48" s="879"/>
      <c r="B48" s="603"/>
      <c r="C48" s="603"/>
      <c r="D48" s="74" t="s">
        <v>322</v>
      </c>
      <c r="E48" s="74" t="s">
        <v>323</v>
      </c>
      <c r="F48" s="305">
        <v>0.22800000000000001</v>
      </c>
      <c r="G48" s="306">
        <v>0.4</v>
      </c>
      <c r="H48" s="607"/>
      <c r="I48" s="603"/>
      <c r="J48" s="379"/>
      <c r="K48" s="173" t="s">
        <v>318</v>
      </c>
      <c r="L48" s="74" t="s">
        <v>319</v>
      </c>
      <c r="M48" s="77">
        <v>47594</v>
      </c>
      <c r="N48" s="493" t="s">
        <v>1476</v>
      </c>
      <c r="O48" s="77" t="s">
        <v>1477</v>
      </c>
      <c r="P48" s="77" t="s">
        <v>1478</v>
      </c>
      <c r="Q48" s="77" t="s">
        <v>1479</v>
      </c>
      <c r="R48" s="77" t="s">
        <v>1480</v>
      </c>
      <c r="S48" s="77">
        <v>11133</v>
      </c>
      <c r="T48" s="77"/>
      <c r="U48" s="77">
        <v>3000</v>
      </c>
      <c r="V48" s="77"/>
      <c r="W48" s="44"/>
      <c r="X48" s="44"/>
      <c r="Y48" s="44"/>
      <c r="Z48" s="44">
        <f t="shared" si="3"/>
        <v>14133</v>
      </c>
      <c r="AA48" s="44">
        <v>12198</v>
      </c>
      <c r="AB48" s="44"/>
      <c r="AC48" s="44">
        <v>3000</v>
      </c>
      <c r="AD48" s="44"/>
      <c r="AE48" s="44"/>
      <c r="AF48" s="44"/>
      <c r="AG48" s="44"/>
      <c r="AH48" s="44">
        <f t="shared" si="4"/>
        <v>15198</v>
      </c>
      <c r="AI48" s="44">
        <v>12898</v>
      </c>
      <c r="AJ48" s="44"/>
      <c r="AK48" s="44">
        <v>3000</v>
      </c>
      <c r="AL48" s="44"/>
      <c r="AM48" s="44"/>
      <c r="AN48" s="44"/>
      <c r="AO48" s="44"/>
      <c r="AP48" s="44">
        <f t="shared" si="1"/>
        <v>15898</v>
      </c>
      <c r="AQ48" s="44">
        <v>15398</v>
      </c>
      <c r="AR48" s="44"/>
      <c r="AS48" s="44">
        <v>3000</v>
      </c>
      <c r="AT48" s="44"/>
      <c r="AU48" s="44"/>
      <c r="AV48" s="44"/>
      <c r="AW48" s="44"/>
      <c r="AX48" s="44">
        <f t="shared" si="5"/>
        <v>18398</v>
      </c>
      <c r="AY48" s="44">
        <f t="shared" si="2"/>
        <v>51627</v>
      </c>
      <c r="AZ48" s="44">
        <f t="shared" si="16"/>
        <v>0</v>
      </c>
      <c r="BA48" s="44">
        <f t="shared" si="16"/>
        <v>12000</v>
      </c>
      <c r="BB48" s="44">
        <f t="shared" si="16"/>
        <v>0</v>
      </c>
      <c r="BC48" s="44">
        <f t="shared" si="16"/>
        <v>0</v>
      </c>
      <c r="BD48" s="44">
        <f t="shared" si="16"/>
        <v>0</v>
      </c>
      <c r="BE48" s="44">
        <f t="shared" si="16"/>
        <v>0</v>
      </c>
      <c r="BF48" s="45">
        <f t="shared" si="16"/>
        <v>63627</v>
      </c>
      <c r="BG48" s="90"/>
    </row>
    <row r="49" spans="1:59" s="106" customFormat="1" ht="40.5" x14ac:dyDescent="0.25">
      <c r="A49" s="879"/>
      <c r="B49" s="603"/>
      <c r="C49" s="603"/>
      <c r="D49" s="808" t="s">
        <v>330</v>
      </c>
      <c r="E49" s="494" t="s">
        <v>333</v>
      </c>
      <c r="F49" s="495">
        <f>110/8800</f>
        <v>1.2500000000000001E-2</v>
      </c>
      <c r="G49" s="496">
        <v>0.8</v>
      </c>
      <c r="H49" s="607"/>
      <c r="I49" s="603"/>
      <c r="J49" s="379"/>
      <c r="K49" s="173" t="s">
        <v>324</v>
      </c>
      <c r="L49" s="74" t="s">
        <v>325</v>
      </c>
      <c r="M49" s="76">
        <v>110</v>
      </c>
      <c r="N49" s="77">
        <v>7040</v>
      </c>
      <c r="O49" s="119">
        <f>+N49/4</f>
        <v>1760</v>
      </c>
      <c r="P49" s="119">
        <f>+O49+1760</f>
        <v>3520</v>
      </c>
      <c r="Q49" s="119">
        <f>+P49+1760</f>
        <v>5280</v>
      </c>
      <c r="R49" s="119">
        <f>+Q49+1760</f>
        <v>7040</v>
      </c>
      <c r="S49" s="44"/>
      <c r="T49" s="44"/>
      <c r="U49" s="44"/>
      <c r="V49" s="44"/>
      <c r="W49" s="44"/>
      <c r="X49" s="44"/>
      <c r="Y49" s="44"/>
      <c r="Z49" s="44">
        <f t="shared" si="3"/>
        <v>0</v>
      </c>
      <c r="AA49" s="44"/>
      <c r="AB49" s="44"/>
      <c r="AC49" s="44"/>
      <c r="AD49" s="44"/>
      <c r="AE49" s="44"/>
      <c r="AF49" s="44"/>
      <c r="AG49" s="44"/>
      <c r="AH49" s="44">
        <f t="shared" si="4"/>
        <v>0</v>
      </c>
      <c r="AI49" s="44"/>
      <c r="AJ49" s="44"/>
      <c r="AK49" s="44"/>
      <c r="AL49" s="44"/>
      <c r="AM49" s="44"/>
      <c r="AN49" s="44"/>
      <c r="AO49" s="44"/>
      <c r="AP49" s="44">
        <f t="shared" si="1"/>
        <v>0</v>
      </c>
      <c r="AQ49" s="44"/>
      <c r="AR49" s="44"/>
      <c r="AS49" s="44"/>
      <c r="AT49" s="44"/>
      <c r="AU49" s="44"/>
      <c r="AV49" s="44"/>
      <c r="AW49" s="44"/>
      <c r="AX49" s="44">
        <f t="shared" si="5"/>
        <v>0</v>
      </c>
      <c r="AY49" s="44">
        <f t="shared" si="2"/>
        <v>0</v>
      </c>
      <c r="AZ49" s="44">
        <f t="shared" si="16"/>
        <v>0</v>
      </c>
      <c r="BA49" s="44">
        <f t="shared" si="16"/>
        <v>0</v>
      </c>
      <c r="BB49" s="44">
        <f t="shared" si="16"/>
        <v>0</v>
      </c>
      <c r="BC49" s="44">
        <f t="shared" si="16"/>
        <v>0</v>
      </c>
      <c r="BD49" s="44">
        <f t="shared" si="16"/>
        <v>0</v>
      </c>
      <c r="BE49" s="44">
        <f t="shared" si="16"/>
        <v>0</v>
      </c>
      <c r="BF49" s="45">
        <f t="shared" si="16"/>
        <v>0</v>
      </c>
      <c r="BG49" s="90"/>
    </row>
    <row r="50" spans="1:59" s="106" customFormat="1" ht="40.5" x14ac:dyDescent="0.25">
      <c r="A50" s="879"/>
      <c r="B50" s="603"/>
      <c r="C50" s="603"/>
      <c r="D50" s="808"/>
      <c r="E50" s="494" t="s">
        <v>331</v>
      </c>
      <c r="F50" s="495">
        <f>414/8100</f>
        <v>5.1111111111111114E-2</v>
      </c>
      <c r="G50" s="496">
        <v>0.5</v>
      </c>
      <c r="H50" s="607"/>
      <c r="I50" s="603"/>
      <c r="J50" s="379"/>
      <c r="K50" s="173" t="s">
        <v>326</v>
      </c>
      <c r="L50" s="74" t="s">
        <v>327</v>
      </c>
      <c r="M50" s="119">
        <v>414</v>
      </c>
      <c r="N50" s="77">
        <v>4050</v>
      </c>
      <c r="O50" s="119">
        <v>850</v>
      </c>
      <c r="P50" s="119">
        <f>+O50+1000</f>
        <v>1850</v>
      </c>
      <c r="Q50" s="119">
        <f>+P50+1500</f>
        <v>3350</v>
      </c>
      <c r="R50" s="119">
        <v>4050</v>
      </c>
      <c r="S50" s="44"/>
      <c r="T50" s="44"/>
      <c r="U50" s="44"/>
      <c r="V50" s="44"/>
      <c r="W50" s="44"/>
      <c r="X50" s="44"/>
      <c r="Y50" s="44"/>
      <c r="Z50" s="44">
        <f t="shared" si="3"/>
        <v>0</v>
      </c>
      <c r="AA50" s="44"/>
      <c r="AB50" s="44"/>
      <c r="AC50" s="44"/>
      <c r="AD50" s="44"/>
      <c r="AE50" s="44"/>
      <c r="AF50" s="44"/>
      <c r="AG50" s="44"/>
      <c r="AH50" s="44">
        <f t="shared" si="4"/>
        <v>0</v>
      </c>
      <c r="AI50" s="44"/>
      <c r="AJ50" s="44"/>
      <c r="AK50" s="44"/>
      <c r="AL50" s="44"/>
      <c r="AM50" s="44"/>
      <c r="AN50" s="44"/>
      <c r="AO50" s="44"/>
      <c r="AP50" s="44">
        <f t="shared" si="1"/>
        <v>0</v>
      </c>
      <c r="AQ50" s="44"/>
      <c r="AR50" s="44"/>
      <c r="AS50" s="44"/>
      <c r="AT50" s="44"/>
      <c r="AU50" s="44"/>
      <c r="AV50" s="44"/>
      <c r="AW50" s="44"/>
      <c r="AX50" s="44">
        <f t="shared" si="5"/>
        <v>0</v>
      </c>
      <c r="AY50" s="44">
        <f t="shared" si="2"/>
        <v>0</v>
      </c>
      <c r="AZ50" s="44">
        <f t="shared" si="16"/>
        <v>0</v>
      </c>
      <c r="BA50" s="44">
        <f t="shared" si="16"/>
        <v>0</v>
      </c>
      <c r="BB50" s="44">
        <f t="shared" si="16"/>
        <v>0</v>
      </c>
      <c r="BC50" s="44">
        <f t="shared" si="16"/>
        <v>0</v>
      </c>
      <c r="BD50" s="44">
        <f t="shared" si="16"/>
        <v>0</v>
      </c>
      <c r="BE50" s="44">
        <f t="shared" si="16"/>
        <v>0</v>
      </c>
      <c r="BF50" s="45">
        <f t="shared" si="16"/>
        <v>0</v>
      </c>
      <c r="BG50" s="90"/>
    </row>
    <row r="51" spans="1:59" s="106" customFormat="1" ht="54.75" thickBot="1" x14ac:dyDescent="0.3">
      <c r="A51" s="879"/>
      <c r="B51" s="604"/>
      <c r="C51" s="604"/>
      <c r="D51" s="812"/>
      <c r="E51" s="497" t="s">
        <v>332</v>
      </c>
      <c r="F51" s="498">
        <f>668/15000</f>
        <v>4.4533333333333334E-2</v>
      </c>
      <c r="G51" s="499">
        <v>0.45</v>
      </c>
      <c r="H51" s="872"/>
      <c r="I51" s="604"/>
      <c r="J51" s="380"/>
      <c r="K51" s="474" t="s">
        <v>328</v>
      </c>
      <c r="L51" s="475" t="s">
        <v>329</v>
      </c>
      <c r="M51" s="500">
        <v>668</v>
      </c>
      <c r="N51" s="479">
        <v>6750</v>
      </c>
      <c r="O51" s="500">
        <v>1300</v>
      </c>
      <c r="P51" s="500">
        <v>3200</v>
      </c>
      <c r="Q51" s="500">
        <v>5400</v>
      </c>
      <c r="R51" s="500">
        <v>6750</v>
      </c>
      <c r="S51" s="123"/>
      <c r="T51" s="123"/>
      <c r="U51" s="123"/>
      <c r="V51" s="123"/>
      <c r="W51" s="123"/>
      <c r="X51" s="123"/>
      <c r="Y51" s="123"/>
      <c r="Z51" s="123">
        <f t="shared" si="3"/>
        <v>0</v>
      </c>
      <c r="AA51" s="123"/>
      <c r="AB51" s="123"/>
      <c r="AC51" s="123"/>
      <c r="AD51" s="123"/>
      <c r="AE51" s="123"/>
      <c r="AF51" s="123"/>
      <c r="AG51" s="123"/>
      <c r="AH51" s="123">
        <f t="shared" si="4"/>
        <v>0</v>
      </c>
      <c r="AI51" s="123"/>
      <c r="AJ51" s="123"/>
      <c r="AK51" s="123"/>
      <c r="AL51" s="123"/>
      <c r="AM51" s="123"/>
      <c r="AN51" s="123"/>
      <c r="AO51" s="123"/>
      <c r="AP51" s="44">
        <f t="shared" si="1"/>
        <v>0</v>
      </c>
      <c r="AQ51" s="44"/>
      <c r="AR51" s="44"/>
      <c r="AS51" s="44"/>
      <c r="AT51" s="44"/>
      <c r="AU51" s="44"/>
      <c r="AV51" s="44"/>
      <c r="AW51" s="44"/>
      <c r="AX51" s="44">
        <f t="shared" si="5"/>
        <v>0</v>
      </c>
      <c r="AY51" s="44">
        <f t="shared" si="2"/>
        <v>0</v>
      </c>
      <c r="AZ51" s="44">
        <f t="shared" si="16"/>
        <v>0</v>
      </c>
      <c r="BA51" s="44">
        <f t="shared" si="16"/>
        <v>0</v>
      </c>
      <c r="BB51" s="44">
        <f t="shared" si="16"/>
        <v>0</v>
      </c>
      <c r="BC51" s="44">
        <f t="shared" si="16"/>
        <v>0</v>
      </c>
      <c r="BD51" s="44">
        <f t="shared" si="16"/>
        <v>0</v>
      </c>
      <c r="BE51" s="44">
        <f t="shared" si="16"/>
        <v>0</v>
      </c>
      <c r="BF51" s="199">
        <f t="shared" si="16"/>
        <v>0</v>
      </c>
      <c r="BG51" s="90"/>
    </row>
    <row r="52" spans="1:59" s="106" customFormat="1" ht="162" x14ac:dyDescent="0.25">
      <c r="A52" s="879"/>
      <c r="B52" s="606" t="s">
        <v>292</v>
      </c>
      <c r="C52" s="606" t="s">
        <v>293</v>
      </c>
      <c r="D52" s="715"/>
      <c r="E52" s="715"/>
      <c r="F52" s="873"/>
      <c r="G52" s="875"/>
      <c r="H52" s="877" t="s">
        <v>294</v>
      </c>
      <c r="I52" s="606" t="s">
        <v>1187</v>
      </c>
      <c r="J52" s="378"/>
      <c r="K52" s="360" t="s">
        <v>307</v>
      </c>
      <c r="L52" s="378" t="s">
        <v>311</v>
      </c>
      <c r="M52" s="155"/>
      <c r="N52" s="155">
        <v>7</v>
      </c>
      <c r="O52" s="155">
        <v>7</v>
      </c>
      <c r="P52" s="155">
        <v>7</v>
      </c>
      <c r="Q52" s="155">
        <v>7</v>
      </c>
      <c r="R52" s="155">
        <v>7</v>
      </c>
      <c r="S52" s="124">
        <v>10</v>
      </c>
      <c r="T52" s="124"/>
      <c r="U52" s="124"/>
      <c r="V52" s="124"/>
      <c r="W52" s="124"/>
      <c r="X52" s="124"/>
      <c r="Y52" s="124"/>
      <c r="Z52" s="124">
        <f t="shared" si="3"/>
        <v>10</v>
      </c>
      <c r="AA52" s="124">
        <v>50</v>
      </c>
      <c r="AB52" s="124"/>
      <c r="AC52" s="124"/>
      <c r="AD52" s="124"/>
      <c r="AE52" s="124"/>
      <c r="AF52" s="124"/>
      <c r="AG52" s="124"/>
      <c r="AH52" s="124">
        <f t="shared" si="4"/>
        <v>50</v>
      </c>
      <c r="AI52" s="124">
        <v>50</v>
      </c>
      <c r="AJ52" s="124"/>
      <c r="AK52" s="124"/>
      <c r="AL52" s="124"/>
      <c r="AM52" s="124"/>
      <c r="AN52" s="124"/>
      <c r="AO52" s="124"/>
      <c r="AP52" s="44">
        <f t="shared" si="1"/>
        <v>50</v>
      </c>
      <c r="AQ52" s="44">
        <v>50</v>
      </c>
      <c r="AR52" s="44"/>
      <c r="AS52" s="44"/>
      <c r="AT52" s="44"/>
      <c r="AU52" s="44"/>
      <c r="AV52" s="44"/>
      <c r="AW52" s="44"/>
      <c r="AX52" s="44">
        <f t="shared" si="5"/>
        <v>50</v>
      </c>
      <c r="AY52" s="44">
        <f t="shared" si="2"/>
        <v>160</v>
      </c>
      <c r="AZ52" s="44">
        <f t="shared" si="16"/>
        <v>0</v>
      </c>
      <c r="BA52" s="44">
        <f t="shared" si="16"/>
        <v>0</v>
      </c>
      <c r="BB52" s="44">
        <f t="shared" si="16"/>
        <v>0</v>
      </c>
      <c r="BC52" s="44">
        <f t="shared" si="16"/>
        <v>0</v>
      </c>
      <c r="BD52" s="44">
        <f t="shared" si="16"/>
        <v>0</v>
      </c>
      <c r="BE52" s="44">
        <f t="shared" si="16"/>
        <v>0</v>
      </c>
      <c r="BF52" s="277">
        <f t="shared" si="16"/>
        <v>160</v>
      </c>
      <c r="BG52" s="90"/>
    </row>
    <row r="53" spans="1:59" s="106" customFormat="1" ht="135" x14ac:dyDescent="0.25">
      <c r="A53" s="879"/>
      <c r="B53" s="603"/>
      <c r="C53" s="603"/>
      <c r="D53" s="611"/>
      <c r="E53" s="611"/>
      <c r="F53" s="867"/>
      <c r="G53" s="619"/>
      <c r="H53" s="607"/>
      <c r="I53" s="603"/>
      <c r="J53" s="379"/>
      <c r="K53" s="355" t="s">
        <v>308</v>
      </c>
      <c r="L53" s="379" t="s">
        <v>311</v>
      </c>
      <c r="M53" s="50"/>
      <c r="N53" s="50">
        <v>1</v>
      </c>
      <c r="O53" s="50">
        <v>1</v>
      </c>
      <c r="P53" s="50">
        <v>1</v>
      </c>
      <c r="Q53" s="50">
        <v>1</v>
      </c>
      <c r="R53" s="50">
        <v>1</v>
      </c>
      <c r="S53" s="44">
        <v>5</v>
      </c>
      <c r="T53" s="44"/>
      <c r="U53" s="44"/>
      <c r="V53" s="44"/>
      <c r="W53" s="44"/>
      <c r="X53" s="44"/>
      <c r="Y53" s="44"/>
      <c r="Z53" s="44">
        <f t="shared" si="3"/>
        <v>5</v>
      </c>
      <c r="AA53" s="44">
        <v>15</v>
      </c>
      <c r="AB53" s="44"/>
      <c r="AC53" s="44"/>
      <c r="AD53" s="44"/>
      <c r="AE53" s="44"/>
      <c r="AF53" s="44"/>
      <c r="AG53" s="44"/>
      <c r="AH53" s="44">
        <f t="shared" si="4"/>
        <v>15</v>
      </c>
      <c r="AI53" s="44">
        <v>10</v>
      </c>
      <c r="AJ53" s="44"/>
      <c r="AK53" s="44"/>
      <c r="AL53" s="44"/>
      <c r="AM53" s="44"/>
      <c r="AN53" s="44"/>
      <c r="AO53" s="44"/>
      <c r="AP53" s="44">
        <f t="shared" si="1"/>
        <v>10</v>
      </c>
      <c r="AQ53" s="44">
        <v>10</v>
      </c>
      <c r="AR53" s="44"/>
      <c r="AS53" s="44"/>
      <c r="AT53" s="44"/>
      <c r="AU53" s="44"/>
      <c r="AV53" s="44"/>
      <c r="AW53" s="44"/>
      <c r="AX53" s="44">
        <f t="shared" si="5"/>
        <v>10</v>
      </c>
      <c r="AY53" s="44">
        <f t="shared" si="2"/>
        <v>40</v>
      </c>
      <c r="AZ53" s="44">
        <f t="shared" si="16"/>
        <v>0</v>
      </c>
      <c r="BA53" s="44">
        <f t="shared" si="16"/>
        <v>0</v>
      </c>
      <c r="BB53" s="44">
        <f t="shared" si="16"/>
        <v>0</v>
      </c>
      <c r="BC53" s="44">
        <f t="shared" si="16"/>
        <v>0</v>
      </c>
      <c r="BD53" s="44">
        <f t="shared" si="16"/>
        <v>0</v>
      </c>
      <c r="BE53" s="44">
        <f t="shared" si="16"/>
        <v>0</v>
      </c>
      <c r="BF53" s="45">
        <f t="shared" si="16"/>
        <v>40</v>
      </c>
      <c r="BG53" s="90"/>
    </row>
    <row r="54" spans="1:59" s="106" customFormat="1" ht="78" customHeight="1" x14ac:dyDescent="0.25">
      <c r="A54" s="879"/>
      <c r="B54" s="603"/>
      <c r="C54" s="603"/>
      <c r="D54" s="611"/>
      <c r="E54" s="611"/>
      <c r="F54" s="867"/>
      <c r="G54" s="619"/>
      <c r="H54" s="607"/>
      <c r="I54" s="603"/>
      <c r="J54" s="379"/>
      <c r="K54" s="355" t="s">
        <v>310</v>
      </c>
      <c r="L54" s="379" t="s">
        <v>309</v>
      </c>
      <c r="M54" s="50"/>
      <c r="N54" s="50">
        <v>29</v>
      </c>
      <c r="O54" s="50">
        <v>29</v>
      </c>
      <c r="P54" s="50">
        <v>29</v>
      </c>
      <c r="Q54" s="50">
        <v>29</v>
      </c>
      <c r="R54" s="50">
        <v>29</v>
      </c>
      <c r="S54" s="44"/>
      <c r="T54" s="44"/>
      <c r="U54" s="44"/>
      <c r="V54" s="44"/>
      <c r="W54" s="44"/>
      <c r="X54" s="44"/>
      <c r="Y54" s="44"/>
      <c r="Z54" s="44">
        <f t="shared" si="3"/>
        <v>0</v>
      </c>
      <c r="AA54" s="44">
        <v>10</v>
      </c>
      <c r="AB54" s="44"/>
      <c r="AC54" s="44"/>
      <c r="AD54" s="44"/>
      <c r="AE54" s="44"/>
      <c r="AF54" s="44"/>
      <c r="AG54" s="44"/>
      <c r="AH54" s="44">
        <f t="shared" si="4"/>
        <v>10</v>
      </c>
      <c r="AI54" s="44">
        <v>5</v>
      </c>
      <c r="AJ54" s="44"/>
      <c r="AK54" s="44"/>
      <c r="AL54" s="44"/>
      <c r="AM54" s="44"/>
      <c r="AN54" s="44"/>
      <c r="AO54" s="44"/>
      <c r="AP54" s="44">
        <f t="shared" si="1"/>
        <v>5</v>
      </c>
      <c r="AQ54" s="44">
        <v>5</v>
      </c>
      <c r="AR54" s="44"/>
      <c r="AS54" s="44"/>
      <c r="AT54" s="44"/>
      <c r="AU54" s="44"/>
      <c r="AV54" s="44"/>
      <c r="AW54" s="44"/>
      <c r="AX54" s="44">
        <f t="shared" si="5"/>
        <v>5</v>
      </c>
      <c r="AY54" s="44">
        <f t="shared" si="2"/>
        <v>20</v>
      </c>
      <c r="AZ54" s="44">
        <f t="shared" si="16"/>
        <v>0</v>
      </c>
      <c r="BA54" s="44">
        <f t="shared" si="16"/>
        <v>0</v>
      </c>
      <c r="BB54" s="44">
        <f t="shared" si="16"/>
        <v>0</v>
      </c>
      <c r="BC54" s="44">
        <f t="shared" si="16"/>
        <v>0</v>
      </c>
      <c r="BD54" s="44">
        <f t="shared" si="16"/>
        <v>0</v>
      </c>
      <c r="BE54" s="44">
        <f t="shared" si="16"/>
        <v>0</v>
      </c>
      <c r="BF54" s="45">
        <f t="shared" si="16"/>
        <v>20</v>
      </c>
      <c r="BG54" s="90"/>
    </row>
    <row r="55" spans="1:59" s="106" customFormat="1" ht="135.75" thickBot="1" x14ac:dyDescent="0.3">
      <c r="A55" s="879"/>
      <c r="B55" s="604"/>
      <c r="C55" s="604"/>
      <c r="D55" s="655"/>
      <c r="E55" s="655"/>
      <c r="F55" s="874"/>
      <c r="G55" s="876"/>
      <c r="H55" s="384" t="s">
        <v>313</v>
      </c>
      <c r="I55" s="356" t="s">
        <v>1188</v>
      </c>
      <c r="J55" s="380"/>
      <c r="K55" s="356" t="s">
        <v>314</v>
      </c>
      <c r="L55" s="380" t="s">
        <v>315</v>
      </c>
      <c r="M55" s="156"/>
      <c r="N55" s="156">
        <v>1</v>
      </c>
      <c r="O55" s="156">
        <v>1</v>
      </c>
      <c r="P55" s="156">
        <v>1</v>
      </c>
      <c r="Q55" s="156">
        <v>1</v>
      </c>
      <c r="R55" s="156">
        <v>1</v>
      </c>
      <c r="S55" s="123"/>
      <c r="T55" s="123"/>
      <c r="U55" s="123"/>
      <c r="V55" s="123"/>
      <c r="W55" s="123"/>
      <c r="X55" s="123"/>
      <c r="Y55" s="123"/>
      <c r="Z55" s="123">
        <f t="shared" si="3"/>
        <v>0</v>
      </c>
      <c r="AA55" s="123"/>
      <c r="AB55" s="123"/>
      <c r="AC55" s="123"/>
      <c r="AD55" s="123"/>
      <c r="AE55" s="123"/>
      <c r="AF55" s="123"/>
      <c r="AG55" s="123"/>
      <c r="AH55" s="123">
        <f t="shared" si="4"/>
        <v>0</v>
      </c>
      <c r="AI55" s="123"/>
      <c r="AJ55" s="123"/>
      <c r="AK55" s="123"/>
      <c r="AL55" s="123"/>
      <c r="AM55" s="123"/>
      <c r="AN55" s="123"/>
      <c r="AO55" s="123"/>
      <c r="AP55" s="44">
        <f t="shared" si="1"/>
        <v>0</v>
      </c>
      <c r="AQ55" s="44"/>
      <c r="AR55" s="44"/>
      <c r="AS55" s="44"/>
      <c r="AT55" s="44"/>
      <c r="AU55" s="44"/>
      <c r="AV55" s="44"/>
      <c r="AW55" s="44"/>
      <c r="AX55" s="44">
        <f t="shared" si="5"/>
        <v>0</v>
      </c>
      <c r="AY55" s="44">
        <f t="shared" si="2"/>
        <v>0</v>
      </c>
      <c r="AZ55" s="44">
        <f t="shared" ref="AZ55:BF55" si="17">+T55+AB55+AJ55+AR55</f>
        <v>0</v>
      </c>
      <c r="BA55" s="44">
        <f t="shared" si="17"/>
        <v>0</v>
      </c>
      <c r="BB55" s="44">
        <f t="shared" si="17"/>
        <v>0</v>
      </c>
      <c r="BC55" s="44">
        <f t="shared" si="17"/>
        <v>0</v>
      </c>
      <c r="BD55" s="44">
        <f t="shared" si="17"/>
        <v>0</v>
      </c>
      <c r="BE55" s="44">
        <f t="shared" si="17"/>
        <v>0</v>
      </c>
      <c r="BF55" s="199">
        <f t="shared" si="17"/>
        <v>0</v>
      </c>
      <c r="BG55" s="90"/>
    </row>
    <row r="56" spans="1:59" s="106" customFormat="1" ht="110.25" customHeight="1" thickBot="1" x14ac:dyDescent="0.3">
      <c r="A56" s="879"/>
      <c r="B56" s="606">
        <v>4.3</v>
      </c>
      <c r="C56" s="606" t="s">
        <v>1178</v>
      </c>
      <c r="D56" s="715"/>
      <c r="E56" s="715"/>
      <c r="F56" s="873"/>
      <c r="G56" s="875"/>
      <c r="H56" s="877" t="s">
        <v>1179</v>
      </c>
      <c r="I56" s="606" t="s">
        <v>1180</v>
      </c>
      <c r="J56" s="715"/>
      <c r="K56" s="360" t="s">
        <v>1195</v>
      </c>
      <c r="L56" s="378" t="s">
        <v>1196</v>
      </c>
      <c r="M56" s="155"/>
      <c r="N56" s="155">
        <v>4</v>
      </c>
      <c r="O56" s="155">
        <v>1</v>
      </c>
      <c r="P56" s="155">
        <v>2</v>
      </c>
      <c r="Q56" s="155">
        <v>3</v>
      </c>
      <c r="R56" s="155">
        <v>4</v>
      </c>
      <c r="S56" s="124"/>
      <c r="T56" s="124">
        <v>5</v>
      </c>
      <c r="U56" s="124"/>
      <c r="V56" s="124"/>
      <c r="W56" s="124"/>
      <c r="X56" s="124"/>
      <c r="Y56" s="124"/>
      <c r="Z56" s="124">
        <f t="shared" si="3"/>
        <v>5</v>
      </c>
      <c r="AA56" s="124"/>
      <c r="AB56" s="124">
        <v>5</v>
      </c>
      <c r="AC56" s="124"/>
      <c r="AD56" s="124"/>
      <c r="AE56" s="124"/>
      <c r="AF56" s="124"/>
      <c r="AG56" s="124"/>
      <c r="AH56" s="124">
        <f t="shared" si="4"/>
        <v>5</v>
      </c>
      <c r="AI56" s="124"/>
      <c r="AJ56" s="124">
        <v>5</v>
      </c>
      <c r="AK56" s="124"/>
      <c r="AL56" s="124"/>
      <c r="AM56" s="124"/>
      <c r="AN56" s="124"/>
      <c r="AO56" s="124"/>
      <c r="AP56" s="44">
        <f t="shared" si="1"/>
        <v>5</v>
      </c>
      <c r="AQ56" s="44"/>
      <c r="AR56" s="44">
        <v>5</v>
      </c>
      <c r="AS56" s="44"/>
      <c r="AT56" s="44"/>
      <c r="AU56" s="44"/>
      <c r="AV56" s="44"/>
      <c r="AW56" s="44"/>
      <c r="AX56" s="44">
        <f t="shared" si="5"/>
        <v>5</v>
      </c>
      <c r="AY56" s="44">
        <f t="shared" si="2"/>
        <v>0</v>
      </c>
      <c r="AZ56" s="44">
        <f t="shared" ref="AZ56:AZ82" si="18">+T56+AB56+AJ56+AR56</f>
        <v>20</v>
      </c>
      <c r="BA56" s="44">
        <f t="shared" ref="BA56:BA82" si="19">+U56+AC56+AK56+AS56</f>
        <v>0</v>
      </c>
      <c r="BB56" s="44">
        <f t="shared" ref="BB56:BB82" si="20">+V56+AD56+AL56+AT56</f>
        <v>0</v>
      </c>
      <c r="BC56" s="44">
        <f t="shared" ref="BC56:BC82" si="21">+W56+AE56+AM56+AU56</f>
        <v>0</v>
      </c>
      <c r="BD56" s="44">
        <f t="shared" ref="BD56:BD82" si="22">+X56+AF56+AN56+AV56</f>
        <v>0</v>
      </c>
      <c r="BE56" s="44">
        <f t="shared" ref="BE56:BE82" si="23">+Y56+AG56+AO56+AW56</f>
        <v>0</v>
      </c>
      <c r="BF56" s="277">
        <f t="shared" ref="BF56:BF82" si="24">+Z56+AH56+AP56+AX56</f>
        <v>20</v>
      </c>
      <c r="BG56" s="90"/>
    </row>
    <row r="57" spans="1:59" s="106" customFormat="1" ht="108.75" thickBot="1" x14ac:dyDescent="0.3">
      <c r="A57" s="879"/>
      <c r="B57" s="602"/>
      <c r="C57" s="602"/>
      <c r="D57" s="618"/>
      <c r="E57" s="618"/>
      <c r="F57" s="880"/>
      <c r="G57" s="622"/>
      <c r="H57" s="881"/>
      <c r="I57" s="602"/>
      <c r="J57" s="618"/>
      <c r="K57" s="307" t="s">
        <v>1375</v>
      </c>
      <c r="L57" s="377" t="s">
        <v>1376</v>
      </c>
      <c r="M57" s="308" t="s">
        <v>537</v>
      </c>
      <c r="N57" s="309">
        <v>1</v>
      </c>
      <c r="O57" s="309">
        <v>0.25</v>
      </c>
      <c r="P57" s="309">
        <v>0.5</v>
      </c>
      <c r="Q57" s="309">
        <v>0.75</v>
      </c>
      <c r="R57" s="309">
        <v>1</v>
      </c>
      <c r="S57" s="310">
        <v>14</v>
      </c>
      <c r="T57" s="310"/>
      <c r="U57" s="310"/>
      <c r="V57" s="310"/>
      <c r="W57" s="310"/>
      <c r="X57" s="310"/>
      <c r="Y57" s="310"/>
      <c r="Z57" s="124">
        <f t="shared" si="3"/>
        <v>14</v>
      </c>
      <c r="AA57" s="310">
        <v>15</v>
      </c>
      <c r="AB57" s="310"/>
      <c r="AC57" s="310"/>
      <c r="AD57" s="310"/>
      <c r="AE57" s="310"/>
      <c r="AF57" s="310"/>
      <c r="AG57" s="310"/>
      <c r="AH57" s="124">
        <f t="shared" si="4"/>
        <v>15</v>
      </c>
      <c r="AI57" s="310">
        <v>40</v>
      </c>
      <c r="AJ57" s="310"/>
      <c r="AK57" s="310"/>
      <c r="AL57" s="310"/>
      <c r="AM57" s="310"/>
      <c r="AN57" s="310"/>
      <c r="AO57" s="310"/>
      <c r="AP57" s="44">
        <f t="shared" si="1"/>
        <v>40</v>
      </c>
      <c r="AQ57" s="44">
        <v>40</v>
      </c>
      <c r="AR57" s="44"/>
      <c r="AS57" s="44"/>
      <c r="AT57" s="44"/>
      <c r="AU57" s="44"/>
      <c r="AV57" s="44"/>
      <c r="AW57" s="44"/>
      <c r="AX57" s="44">
        <f t="shared" si="5"/>
        <v>40</v>
      </c>
      <c r="AY57" s="44">
        <f t="shared" si="2"/>
        <v>109</v>
      </c>
      <c r="AZ57" s="44">
        <f t="shared" ref="AZ57:BF76" si="25">+T57+AB57+AJ57+AR57</f>
        <v>0</v>
      </c>
      <c r="BA57" s="44">
        <f t="shared" si="25"/>
        <v>0</v>
      </c>
      <c r="BB57" s="44">
        <f t="shared" si="25"/>
        <v>0</v>
      </c>
      <c r="BC57" s="44">
        <f t="shared" si="25"/>
        <v>0</v>
      </c>
      <c r="BD57" s="44">
        <f t="shared" si="25"/>
        <v>0</v>
      </c>
      <c r="BE57" s="44">
        <f t="shared" si="25"/>
        <v>0</v>
      </c>
      <c r="BF57" s="277">
        <f t="shared" si="25"/>
        <v>109</v>
      </c>
      <c r="BG57" s="90"/>
    </row>
    <row r="58" spans="1:59" s="106" customFormat="1" ht="108.75" thickBot="1" x14ac:dyDescent="0.3">
      <c r="A58" s="879"/>
      <c r="B58" s="602"/>
      <c r="C58" s="602"/>
      <c r="D58" s="618"/>
      <c r="E58" s="618"/>
      <c r="F58" s="880"/>
      <c r="G58" s="622"/>
      <c r="H58" s="881"/>
      <c r="I58" s="602"/>
      <c r="J58" s="618"/>
      <c r="K58" s="307" t="s">
        <v>1377</v>
      </c>
      <c r="L58" s="377" t="s">
        <v>1378</v>
      </c>
      <c r="M58" s="308" t="s">
        <v>537</v>
      </c>
      <c r="N58" s="308">
        <v>8</v>
      </c>
      <c r="O58" s="308">
        <v>2</v>
      </c>
      <c r="P58" s="308">
        <v>4</v>
      </c>
      <c r="Q58" s="308">
        <v>6</v>
      </c>
      <c r="R58" s="308">
        <v>8</v>
      </c>
      <c r="S58" s="310">
        <v>10</v>
      </c>
      <c r="T58" s="310"/>
      <c r="U58" s="310"/>
      <c r="V58" s="310"/>
      <c r="W58" s="310"/>
      <c r="X58" s="310"/>
      <c r="Y58" s="310"/>
      <c r="Z58" s="124">
        <f t="shared" si="3"/>
        <v>10</v>
      </c>
      <c r="AA58" s="310">
        <v>15</v>
      </c>
      <c r="AB58" s="310"/>
      <c r="AC58" s="310"/>
      <c r="AD58" s="310"/>
      <c r="AE58" s="310"/>
      <c r="AF58" s="310"/>
      <c r="AG58" s="310"/>
      <c r="AH58" s="124">
        <f t="shared" si="4"/>
        <v>15</v>
      </c>
      <c r="AI58" s="310">
        <v>15</v>
      </c>
      <c r="AJ58" s="310"/>
      <c r="AK58" s="310"/>
      <c r="AL58" s="310"/>
      <c r="AM58" s="310"/>
      <c r="AN58" s="310"/>
      <c r="AO58" s="310"/>
      <c r="AP58" s="44">
        <f t="shared" si="1"/>
        <v>15</v>
      </c>
      <c r="AQ58" s="44">
        <v>15</v>
      </c>
      <c r="AR58" s="44"/>
      <c r="AS58" s="44"/>
      <c r="AT58" s="44"/>
      <c r="AU58" s="44"/>
      <c r="AV58" s="44"/>
      <c r="AW58" s="44"/>
      <c r="AX58" s="44">
        <f t="shared" si="5"/>
        <v>15</v>
      </c>
      <c r="AY58" s="44">
        <f t="shared" si="2"/>
        <v>55</v>
      </c>
      <c r="AZ58" s="44">
        <f t="shared" si="25"/>
        <v>0</v>
      </c>
      <c r="BA58" s="44">
        <f t="shared" si="25"/>
        <v>0</v>
      </c>
      <c r="BB58" s="44">
        <f t="shared" si="25"/>
        <v>0</v>
      </c>
      <c r="BC58" s="44">
        <f t="shared" si="25"/>
        <v>0</v>
      </c>
      <c r="BD58" s="44">
        <f t="shared" si="25"/>
        <v>0</v>
      </c>
      <c r="BE58" s="44">
        <f t="shared" si="25"/>
        <v>0</v>
      </c>
      <c r="BF58" s="277">
        <f t="shared" si="25"/>
        <v>55</v>
      </c>
      <c r="BG58" s="90"/>
    </row>
    <row r="59" spans="1:59" s="106" customFormat="1" ht="230.25" thickBot="1" x14ac:dyDescent="0.3">
      <c r="A59" s="879"/>
      <c r="B59" s="602"/>
      <c r="C59" s="602"/>
      <c r="D59" s="618"/>
      <c r="E59" s="618"/>
      <c r="F59" s="880"/>
      <c r="G59" s="622"/>
      <c r="H59" s="881"/>
      <c r="I59" s="602"/>
      <c r="J59" s="618"/>
      <c r="K59" s="307" t="s">
        <v>1404</v>
      </c>
      <c r="L59" s="377" t="s">
        <v>1379</v>
      </c>
      <c r="M59" s="308" t="s">
        <v>537</v>
      </c>
      <c r="N59" s="308">
        <v>30</v>
      </c>
      <c r="O59" s="308">
        <v>15</v>
      </c>
      <c r="P59" s="308">
        <v>30</v>
      </c>
      <c r="Q59" s="308">
        <v>30</v>
      </c>
      <c r="R59" s="308">
        <v>30</v>
      </c>
      <c r="S59" s="310">
        <v>10</v>
      </c>
      <c r="T59" s="310"/>
      <c r="U59" s="310"/>
      <c r="V59" s="310"/>
      <c r="W59" s="310"/>
      <c r="X59" s="310"/>
      <c r="Y59" s="310"/>
      <c r="Z59" s="124">
        <f t="shared" si="3"/>
        <v>10</v>
      </c>
      <c r="AA59" s="310">
        <v>10</v>
      </c>
      <c r="AB59" s="310"/>
      <c r="AC59" s="310"/>
      <c r="AD59" s="310"/>
      <c r="AE59" s="310"/>
      <c r="AF59" s="310"/>
      <c r="AG59" s="310"/>
      <c r="AH59" s="124">
        <f t="shared" si="4"/>
        <v>10</v>
      </c>
      <c r="AI59" s="310">
        <v>20</v>
      </c>
      <c r="AJ59" s="310"/>
      <c r="AK59" s="310"/>
      <c r="AL59" s="310"/>
      <c r="AM59" s="310"/>
      <c r="AN59" s="310"/>
      <c r="AO59" s="310"/>
      <c r="AP59" s="44">
        <f t="shared" si="1"/>
        <v>20</v>
      </c>
      <c r="AQ59" s="44">
        <v>20</v>
      </c>
      <c r="AR59" s="44"/>
      <c r="AS59" s="44"/>
      <c r="AT59" s="44"/>
      <c r="AU59" s="44"/>
      <c r="AV59" s="44"/>
      <c r="AW59" s="44"/>
      <c r="AX59" s="44">
        <f t="shared" si="5"/>
        <v>20</v>
      </c>
      <c r="AY59" s="44">
        <f t="shared" si="2"/>
        <v>60</v>
      </c>
      <c r="AZ59" s="44">
        <f t="shared" si="25"/>
        <v>0</v>
      </c>
      <c r="BA59" s="44">
        <f t="shared" si="25"/>
        <v>0</v>
      </c>
      <c r="BB59" s="44">
        <f t="shared" si="25"/>
        <v>0</v>
      </c>
      <c r="BC59" s="44">
        <f t="shared" si="25"/>
        <v>0</v>
      </c>
      <c r="BD59" s="44">
        <f t="shared" si="25"/>
        <v>0</v>
      </c>
      <c r="BE59" s="44">
        <f t="shared" si="25"/>
        <v>0</v>
      </c>
      <c r="BF59" s="277">
        <f t="shared" si="25"/>
        <v>60</v>
      </c>
      <c r="BG59" s="90"/>
    </row>
    <row r="60" spans="1:59" s="106" customFormat="1" ht="108.75" thickBot="1" x14ac:dyDescent="0.3">
      <c r="A60" s="879"/>
      <c r="B60" s="602"/>
      <c r="C60" s="602"/>
      <c r="D60" s="618"/>
      <c r="E60" s="618"/>
      <c r="F60" s="880"/>
      <c r="G60" s="622"/>
      <c r="H60" s="881"/>
      <c r="I60" s="602"/>
      <c r="J60" s="618"/>
      <c r="K60" s="501" t="s">
        <v>1380</v>
      </c>
      <c r="L60" s="377" t="s">
        <v>1381</v>
      </c>
      <c r="M60" s="308">
        <v>0</v>
      </c>
      <c r="N60" s="308">
        <v>4</v>
      </c>
      <c r="O60" s="308"/>
      <c r="P60" s="308"/>
      <c r="Q60" s="308">
        <v>4</v>
      </c>
      <c r="R60" s="308"/>
      <c r="S60" s="310"/>
      <c r="T60" s="310"/>
      <c r="U60" s="310"/>
      <c r="V60" s="310"/>
      <c r="W60" s="310"/>
      <c r="X60" s="310"/>
      <c r="Y60" s="310"/>
      <c r="Z60" s="124">
        <f t="shared" si="3"/>
        <v>0</v>
      </c>
      <c r="AA60" s="310"/>
      <c r="AB60" s="310"/>
      <c r="AC60" s="310"/>
      <c r="AD60" s="310"/>
      <c r="AE60" s="310"/>
      <c r="AF60" s="310"/>
      <c r="AG60" s="310"/>
      <c r="AH60" s="124">
        <f t="shared" si="4"/>
        <v>0</v>
      </c>
      <c r="AI60" s="310"/>
      <c r="AJ60" s="310"/>
      <c r="AK60" s="310"/>
      <c r="AL60" s="310">
        <v>100</v>
      </c>
      <c r="AM60" s="310"/>
      <c r="AN60" s="310"/>
      <c r="AO60" s="310"/>
      <c r="AP60" s="44">
        <f t="shared" si="1"/>
        <v>100</v>
      </c>
      <c r="AQ60" s="44"/>
      <c r="AR60" s="44"/>
      <c r="AS60" s="44"/>
      <c r="AT60" s="44"/>
      <c r="AU60" s="44"/>
      <c r="AV60" s="44"/>
      <c r="AW60" s="44"/>
      <c r="AX60" s="44">
        <f t="shared" si="5"/>
        <v>0</v>
      </c>
      <c r="AY60" s="44">
        <f t="shared" si="2"/>
        <v>0</v>
      </c>
      <c r="AZ60" s="44">
        <f t="shared" si="25"/>
        <v>0</v>
      </c>
      <c r="BA60" s="44">
        <f t="shared" si="25"/>
        <v>0</v>
      </c>
      <c r="BB60" s="44">
        <f t="shared" si="25"/>
        <v>100</v>
      </c>
      <c r="BC60" s="44">
        <f t="shared" si="25"/>
        <v>0</v>
      </c>
      <c r="BD60" s="44">
        <f t="shared" si="25"/>
        <v>0</v>
      </c>
      <c r="BE60" s="44">
        <f t="shared" si="25"/>
        <v>0</v>
      </c>
      <c r="BF60" s="277">
        <f t="shared" si="25"/>
        <v>100</v>
      </c>
      <c r="BG60" s="90"/>
    </row>
    <row r="61" spans="1:59" s="106" customFormat="1" ht="68.25" thickBot="1" x14ac:dyDescent="0.3">
      <c r="A61" s="879"/>
      <c r="B61" s="602"/>
      <c r="C61" s="602"/>
      <c r="D61" s="618"/>
      <c r="E61" s="618"/>
      <c r="F61" s="880"/>
      <c r="G61" s="622"/>
      <c r="H61" s="881"/>
      <c r="I61" s="602"/>
      <c r="J61" s="618"/>
      <c r="K61" s="502" t="s">
        <v>1382</v>
      </c>
      <c r="L61" s="377" t="s">
        <v>1383</v>
      </c>
      <c r="M61" s="308" t="s">
        <v>537</v>
      </c>
      <c r="N61" s="308">
        <v>1</v>
      </c>
      <c r="O61" s="308">
        <v>1</v>
      </c>
      <c r="P61" s="308">
        <v>1</v>
      </c>
      <c r="Q61" s="308">
        <v>1</v>
      </c>
      <c r="R61" s="308">
        <v>1</v>
      </c>
      <c r="S61" s="310"/>
      <c r="T61" s="310"/>
      <c r="U61" s="310"/>
      <c r="V61" s="310">
        <v>60</v>
      </c>
      <c r="W61" s="310"/>
      <c r="X61" s="310"/>
      <c r="Y61" s="310"/>
      <c r="Z61" s="124">
        <f t="shared" si="3"/>
        <v>60</v>
      </c>
      <c r="AA61" s="310"/>
      <c r="AB61" s="310"/>
      <c r="AC61" s="310"/>
      <c r="AD61" s="310"/>
      <c r="AE61" s="310"/>
      <c r="AF61" s="310"/>
      <c r="AG61" s="310"/>
      <c r="AH61" s="124">
        <f t="shared" si="4"/>
        <v>0</v>
      </c>
      <c r="AI61" s="310"/>
      <c r="AJ61" s="310"/>
      <c r="AK61" s="310"/>
      <c r="AL61" s="310"/>
      <c r="AM61" s="310"/>
      <c r="AN61" s="310"/>
      <c r="AO61" s="310"/>
      <c r="AP61" s="44">
        <f t="shared" si="1"/>
        <v>0</v>
      </c>
      <c r="AQ61" s="44"/>
      <c r="AR61" s="44"/>
      <c r="AS61" s="44"/>
      <c r="AT61" s="44"/>
      <c r="AU61" s="44"/>
      <c r="AV61" s="44"/>
      <c r="AW61" s="44"/>
      <c r="AX61" s="44">
        <f t="shared" si="5"/>
        <v>0</v>
      </c>
      <c r="AY61" s="44">
        <f t="shared" si="2"/>
        <v>0</v>
      </c>
      <c r="AZ61" s="44">
        <f t="shared" si="25"/>
        <v>0</v>
      </c>
      <c r="BA61" s="44">
        <f t="shared" si="25"/>
        <v>0</v>
      </c>
      <c r="BB61" s="44">
        <f t="shared" si="25"/>
        <v>60</v>
      </c>
      <c r="BC61" s="44">
        <f t="shared" si="25"/>
        <v>0</v>
      </c>
      <c r="BD61" s="44">
        <f t="shared" si="25"/>
        <v>0</v>
      </c>
      <c r="BE61" s="44">
        <f t="shared" si="25"/>
        <v>0</v>
      </c>
      <c r="BF61" s="277">
        <f t="shared" si="25"/>
        <v>60</v>
      </c>
      <c r="BG61" s="90"/>
    </row>
    <row r="62" spans="1:59" s="106" customFormat="1" ht="54" x14ac:dyDescent="0.25">
      <c r="A62" s="879"/>
      <c r="B62" s="603"/>
      <c r="C62" s="603"/>
      <c r="D62" s="611"/>
      <c r="E62" s="611"/>
      <c r="F62" s="867"/>
      <c r="G62" s="619"/>
      <c r="H62" s="607"/>
      <c r="I62" s="603"/>
      <c r="J62" s="611"/>
      <c r="K62" s="355" t="s">
        <v>1198</v>
      </c>
      <c r="L62" s="379" t="s">
        <v>1196</v>
      </c>
      <c r="M62" s="50"/>
      <c r="N62" s="50">
        <v>4</v>
      </c>
      <c r="O62" s="50">
        <v>1</v>
      </c>
      <c r="P62" s="50">
        <v>2</v>
      </c>
      <c r="Q62" s="50">
        <v>3</v>
      </c>
      <c r="R62" s="50">
        <v>4</v>
      </c>
      <c r="S62" s="44">
        <v>2</v>
      </c>
      <c r="T62" s="44"/>
      <c r="U62" s="44"/>
      <c r="V62" s="44"/>
      <c r="W62" s="44"/>
      <c r="X62" s="44"/>
      <c r="Y62" s="44"/>
      <c r="Z62" s="44">
        <f t="shared" si="3"/>
        <v>2</v>
      </c>
      <c r="AA62" s="44">
        <v>2</v>
      </c>
      <c r="AB62" s="44"/>
      <c r="AC62" s="44"/>
      <c r="AD62" s="44"/>
      <c r="AE62" s="44"/>
      <c r="AF62" s="44"/>
      <c r="AG62" s="44"/>
      <c r="AH62" s="44">
        <f t="shared" si="4"/>
        <v>2</v>
      </c>
      <c r="AI62" s="44">
        <v>5</v>
      </c>
      <c r="AJ62" s="44"/>
      <c r="AK62" s="44"/>
      <c r="AL62" s="44"/>
      <c r="AM62" s="44"/>
      <c r="AN62" s="44"/>
      <c r="AO62" s="44"/>
      <c r="AP62" s="44">
        <f t="shared" si="1"/>
        <v>5</v>
      </c>
      <c r="AQ62" s="44">
        <v>5</v>
      </c>
      <c r="AR62" s="44"/>
      <c r="AS62" s="44"/>
      <c r="AT62" s="44"/>
      <c r="AU62" s="44"/>
      <c r="AV62" s="44"/>
      <c r="AW62" s="44"/>
      <c r="AX62" s="44">
        <f t="shared" si="5"/>
        <v>5</v>
      </c>
      <c r="AY62" s="44">
        <f t="shared" si="2"/>
        <v>14</v>
      </c>
      <c r="AZ62" s="44">
        <f t="shared" si="18"/>
        <v>0</v>
      </c>
      <c r="BA62" s="44">
        <f t="shared" si="19"/>
        <v>0</v>
      </c>
      <c r="BB62" s="44">
        <f t="shared" si="20"/>
        <v>0</v>
      </c>
      <c r="BC62" s="44">
        <f t="shared" si="21"/>
        <v>0</v>
      </c>
      <c r="BD62" s="44">
        <f t="shared" si="22"/>
        <v>0</v>
      </c>
      <c r="BE62" s="44">
        <f t="shared" si="23"/>
        <v>0</v>
      </c>
      <c r="BF62" s="45">
        <f t="shared" si="24"/>
        <v>14</v>
      </c>
      <c r="BG62" s="90"/>
    </row>
    <row r="63" spans="1:59" s="106" customFormat="1" ht="94.5" x14ac:dyDescent="0.25">
      <c r="A63" s="879"/>
      <c r="B63" s="603"/>
      <c r="C63" s="603"/>
      <c r="D63" s="611"/>
      <c r="E63" s="611"/>
      <c r="F63" s="867"/>
      <c r="G63" s="619"/>
      <c r="H63" s="607"/>
      <c r="I63" s="603"/>
      <c r="J63" s="611"/>
      <c r="K63" s="355" t="s">
        <v>1199</v>
      </c>
      <c r="L63" s="379" t="s">
        <v>1200</v>
      </c>
      <c r="M63" s="50"/>
      <c r="N63" s="50">
        <v>30</v>
      </c>
      <c r="O63" s="50">
        <v>5</v>
      </c>
      <c r="P63" s="50">
        <v>15</v>
      </c>
      <c r="Q63" s="50">
        <v>20</v>
      </c>
      <c r="R63" s="50">
        <v>30</v>
      </c>
      <c r="S63" s="44"/>
      <c r="T63" s="44"/>
      <c r="U63" s="44"/>
      <c r="V63" s="44"/>
      <c r="W63" s="44"/>
      <c r="X63" s="44"/>
      <c r="Y63" s="44"/>
      <c r="Z63" s="44">
        <f t="shared" si="3"/>
        <v>0</v>
      </c>
      <c r="AA63" s="44"/>
      <c r="AB63" s="44"/>
      <c r="AC63" s="44"/>
      <c r="AD63" s="44"/>
      <c r="AE63" s="44"/>
      <c r="AF63" s="44"/>
      <c r="AG63" s="44"/>
      <c r="AH63" s="44">
        <f t="shared" si="4"/>
        <v>0</v>
      </c>
      <c r="AI63" s="44"/>
      <c r="AJ63" s="44"/>
      <c r="AK63" s="44"/>
      <c r="AL63" s="44"/>
      <c r="AM63" s="44"/>
      <c r="AN63" s="44"/>
      <c r="AO63" s="44"/>
      <c r="AP63" s="44">
        <f t="shared" si="1"/>
        <v>0</v>
      </c>
      <c r="AQ63" s="44"/>
      <c r="AR63" s="44"/>
      <c r="AS63" s="44"/>
      <c r="AT63" s="44"/>
      <c r="AU63" s="44"/>
      <c r="AV63" s="44"/>
      <c r="AW63" s="44"/>
      <c r="AX63" s="44">
        <f t="shared" si="5"/>
        <v>0</v>
      </c>
      <c r="AY63" s="44">
        <f t="shared" si="2"/>
        <v>0</v>
      </c>
      <c r="AZ63" s="44">
        <f t="shared" si="18"/>
        <v>0</v>
      </c>
      <c r="BA63" s="44">
        <f t="shared" si="19"/>
        <v>0</v>
      </c>
      <c r="BB63" s="44">
        <f t="shared" si="20"/>
        <v>0</v>
      </c>
      <c r="BC63" s="44">
        <f t="shared" si="21"/>
        <v>0</v>
      </c>
      <c r="BD63" s="44">
        <f t="shared" si="22"/>
        <v>0</v>
      </c>
      <c r="BE63" s="44">
        <f t="shared" si="23"/>
        <v>0</v>
      </c>
      <c r="BF63" s="45">
        <f t="shared" si="24"/>
        <v>0</v>
      </c>
      <c r="BG63" s="90"/>
    </row>
    <row r="64" spans="1:59" s="106" customFormat="1" ht="54" x14ac:dyDescent="0.25">
      <c r="A64" s="879"/>
      <c r="B64" s="603"/>
      <c r="C64" s="603"/>
      <c r="D64" s="611"/>
      <c r="E64" s="611"/>
      <c r="F64" s="867"/>
      <c r="G64" s="619"/>
      <c r="H64" s="867" t="s">
        <v>1181</v>
      </c>
      <c r="I64" s="603" t="s">
        <v>1182</v>
      </c>
      <c r="J64" s="611"/>
      <c r="K64" s="355" t="s">
        <v>1201</v>
      </c>
      <c r="L64" s="379" t="s">
        <v>1232</v>
      </c>
      <c r="M64" s="50">
        <v>0</v>
      </c>
      <c r="N64" s="50">
        <v>1</v>
      </c>
      <c r="O64" s="50"/>
      <c r="P64" s="50">
        <v>1</v>
      </c>
      <c r="Q64" s="50"/>
      <c r="R64" s="50"/>
      <c r="S64" s="44"/>
      <c r="T64" s="44"/>
      <c r="U64" s="44"/>
      <c r="V64" s="44"/>
      <c r="W64" s="44"/>
      <c r="X64" s="44"/>
      <c r="Y64" s="44"/>
      <c r="Z64" s="44">
        <f t="shared" si="3"/>
        <v>0</v>
      </c>
      <c r="AA64" s="44"/>
      <c r="AB64" s="44"/>
      <c r="AC64" s="44"/>
      <c r="AD64" s="44">
        <v>100</v>
      </c>
      <c r="AE64" s="44"/>
      <c r="AF64" s="44"/>
      <c r="AG64" s="44"/>
      <c r="AH64" s="44">
        <f t="shared" si="4"/>
        <v>100</v>
      </c>
      <c r="AI64" s="44"/>
      <c r="AJ64" s="44"/>
      <c r="AK64" s="44"/>
      <c r="AL64" s="44"/>
      <c r="AM64" s="44"/>
      <c r="AN64" s="44"/>
      <c r="AO64" s="44"/>
      <c r="AP64" s="44">
        <f t="shared" si="1"/>
        <v>0</v>
      </c>
      <c r="AQ64" s="44"/>
      <c r="AR64" s="44"/>
      <c r="AS64" s="44"/>
      <c r="AT64" s="44"/>
      <c r="AU64" s="44"/>
      <c r="AV64" s="44"/>
      <c r="AW64" s="44"/>
      <c r="AX64" s="44">
        <f t="shared" si="5"/>
        <v>0</v>
      </c>
      <c r="AY64" s="44">
        <f t="shared" si="2"/>
        <v>0</v>
      </c>
      <c r="AZ64" s="44">
        <f t="shared" si="18"/>
        <v>0</v>
      </c>
      <c r="BA64" s="44">
        <f t="shared" si="19"/>
        <v>0</v>
      </c>
      <c r="BB64" s="44">
        <f t="shared" si="20"/>
        <v>100</v>
      </c>
      <c r="BC64" s="44">
        <f t="shared" si="21"/>
        <v>0</v>
      </c>
      <c r="BD64" s="44">
        <f t="shared" si="22"/>
        <v>0</v>
      </c>
      <c r="BE64" s="44">
        <f t="shared" si="23"/>
        <v>0</v>
      </c>
      <c r="BF64" s="45">
        <f t="shared" si="24"/>
        <v>100</v>
      </c>
      <c r="BG64" s="90"/>
    </row>
    <row r="65" spans="1:59" s="106" customFormat="1" ht="54.75" thickBot="1" x14ac:dyDescent="0.3">
      <c r="A65" s="879"/>
      <c r="B65" s="603"/>
      <c r="C65" s="603"/>
      <c r="D65" s="611"/>
      <c r="E65" s="611"/>
      <c r="F65" s="867"/>
      <c r="G65" s="619"/>
      <c r="H65" s="867"/>
      <c r="I65" s="603"/>
      <c r="J65" s="611"/>
      <c r="K65" s="355" t="s">
        <v>1202</v>
      </c>
      <c r="L65" s="379" t="s">
        <v>1214</v>
      </c>
      <c r="M65" s="50">
        <v>0</v>
      </c>
      <c r="N65" s="50">
        <v>1</v>
      </c>
      <c r="O65" s="50"/>
      <c r="P65" s="50"/>
      <c r="Q65" s="50">
        <v>1</v>
      </c>
      <c r="R65" s="50"/>
      <c r="S65" s="44"/>
      <c r="T65" s="44"/>
      <c r="U65" s="44"/>
      <c r="V65" s="44"/>
      <c r="W65" s="44"/>
      <c r="X65" s="44"/>
      <c r="Y65" s="44"/>
      <c r="Z65" s="44">
        <f t="shared" si="3"/>
        <v>0</v>
      </c>
      <c r="AA65" s="44"/>
      <c r="AB65" s="44"/>
      <c r="AC65" s="44"/>
      <c r="AD65" s="44"/>
      <c r="AE65" s="44"/>
      <c r="AF65" s="44"/>
      <c r="AG65" s="44"/>
      <c r="AH65" s="44">
        <f t="shared" si="4"/>
        <v>0</v>
      </c>
      <c r="AI65" s="44"/>
      <c r="AJ65" s="44"/>
      <c r="AK65" s="44"/>
      <c r="AL65" s="44"/>
      <c r="AM65" s="44"/>
      <c r="AN65" s="44"/>
      <c r="AO65" s="44"/>
      <c r="AP65" s="44">
        <f t="shared" si="1"/>
        <v>0</v>
      </c>
      <c r="AQ65" s="44"/>
      <c r="AR65" s="44"/>
      <c r="AS65" s="44"/>
      <c r="AT65" s="44"/>
      <c r="AU65" s="44"/>
      <c r="AV65" s="44"/>
      <c r="AW65" s="44"/>
      <c r="AX65" s="44">
        <f t="shared" si="5"/>
        <v>0</v>
      </c>
      <c r="AY65" s="44">
        <f t="shared" si="2"/>
        <v>0</v>
      </c>
      <c r="AZ65" s="44">
        <f t="shared" si="18"/>
        <v>0</v>
      </c>
      <c r="BA65" s="44">
        <f t="shared" si="19"/>
        <v>0</v>
      </c>
      <c r="BB65" s="44">
        <f t="shared" si="20"/>
        <v>0</v>
      </c>
      <c r="BC65" s="44">
        <f t="shared" si="21"/>
        <v>0</v>
      </c>
      <c r="BD65" s="44">
        <f t="shared" si="22"/>
        <v>0</v>
      </c>
      <c r="BE65" s="44">
        <f t="shared" si="23"/>
        <v>0</v>
      </c>
      <c r="BF65" s="45">
        <f t="shared" si="24"/>
        <v>0</v>
      </c>
      <c r="BG65" s="90"/>
    </row>
    <row r="66" spans="1:59" s="106" customFormat="1" ht="81.75" thickBot="1" x14ac:dyDescent="0.3">
      <c r="A66" s="879"/>
      <c r="B66" s="603"/>
      <c r="C66" s="603"/>
      <c r="D66" s="611"/>
      <c r="E66" s="611"/>
      <c r="F66" s="867"/>
      <c r="G66" s="619"/>
      <c r="H66" s="867"/>
      <c r="I66" s="603"/>
      <c r="J66" s="611"/>
      <c r="K66" s="486" t="s">
        <v>1384</v>
      </c>
      <c r="L66" s="379" t="s">
        <v>300</v>
      </c>
      <c r="M66" s="50">
        <v>0</v>
      </c>
      <c r="N66" s="50">
        <v>1</v>
      </c>
      <c r="O66" s="50"/>
      <c r="P66" s="50">
        <v>1</v>
      </c>
      <c r="Q66" s="50">
        <v>1</v>
      </c>
      <c r="R66" s="50">
        <v>1</v>
      </c>
      <c r="S66" s="44"/>
      <c r="T66" s="44"/>
      <c r="U66" s="44"/>
      <c r="V66" s="44"/>
      <c r="W66" s="44"/>
      <c r="X66" s="44"/>
      <c r="Y66" s="44"/>
      <c r="Z66" s="44">
        <f t="shared" si="3"/>
        <v>0</v>
      </c>
      <c r="AA66" s="44"/>
      <c r="AB66" s="44"/>
      <c r="AC66" s="44"/>
      <c r="AD66" s="44">
        <v>600</v>
      </c>
      <c r="AE66" s="44"/>
      <c r="AF66" s="44"/>
      <c r="AG66" s="44"/>
      <c r="AH66" s="44">
        <f t="shared" si="4"/>
        <v>600</v>
      </c>
      <c r="AI66" s="44"/>
      <c r="AJ66" s="44"/>
      <c r="AK66" s="44"/>
      <c r="AL66" s="44"/>
      <c r="AM66" s="44"/>
      <c r="AN66" s="44"/>
      <c r="AO66" s="44"/>
      <c r="AP66" s="44">
        <f t="shared" si="1"/>
        <v>0</v>
      </c>
      <c r="AQ66" s="44"/>
      <c r="AR66" s="44"/>
      <c r="AS66" s="44"/>
      <c r="AT66" s="44"/>
      <c r="AU66" s="44"/>
      <c r="AV66" s="44"/>
      <c r="AW66" s="44"/>
      <c r="AX66" s="44">
        <f t="shared" si="5"/>
        <v>0</v>
      </c>
      <c r="AY66" s="44">
        <f t="shared" si="2"/>
        <v>0</v>
      </c>
      <c r="AZ66" s="44">
        <f t="shared" si="25"/>
        <v>0</v>
      </c>
      <c r="BA66" s="44">
        <f t="shared" si="25"/>
        <v>0</v>
      </c>
      <c r="BB66" s="44">
        <f t="shared" si="25"/>
        <v>600</v>
      </c>
      <c r="BC66" s="44">
        <f t="shared" si="25"/>
        <v>0</v>
      </c>
      <c r="BD66" s="44">
        <f t="shared" si="25"/>
        <v>0</v>
      </c>
      <c r="BE66" s="44">
        <f t="shared" si="25"/>
        <v>0</v>
      </c>
      <c r="BF66" s="45">
        <f t="shared" si="25"/>
        <v>600</v>
      </c>
      <c r="BG66" s="90"/>
    </row>
    <row r="67" spans="1:59" s="106" customFormat="1" ht="108.75" thickBot="1" x14ac:dyDescent="0.3">
      <c r="A67" s="879"/>
      <c r="B67" s="603"/>
      <c r="C67" s="603"/>
      <c r="D67" s="611"/>
      <c r="E67" s="611"/>
      <c r="F67" s="867"/>
      <c r="G67" s="619"/>
      <c r="H67" s="867"/>
      <c r="I67" s="603"/>
      <c r="J67" s="611"/>
      <c r="K67" s="503" t="s">
        <v>1403</v>
      </c>
      <c r="L67" s="379" t="s">
        <v>1385</v>
      </c>
      <c r="M67" s="50" t="s">
        <v>537</v>
      </c>
      <c r="N67" s="50">
        <v>50</v>
      </c>
      <c r="O67" s="50"/>
      <c r="P67" s="50">
        <v>50</v>
      </c>
      <c r="Q67" s="50"/>
      <c r="R67" s="50"/>
      <c r="S67" s="44"/>
      <c r="T67" s="44"/>
      <c r="U67" s="44"/>
      <c r="V67" s="44"/>
      <c r="W67" s="44"/>
      <c r="X67" s="44"/>
      <c r="Y67" s="44"/>
      <c r="Z67" s="44">
        <f t="shared" si="3"/>
        <v>0</v>
      </c>
      <c r="AA67" s="44"/>
      <c r="AB67" s="44"/>
      <c r="AC67" s="44"/>
      <c r="AD67" s="44"/>
      <c r="AE67" s="44"/>
      <c r="AF67" s="44"/>
      <c r="AG67" s="44">
        <v>50</v>
      </c>
      <c r="AH67" s="44">
        <f t="shared" si="4"/>
        <v>50</v>
      </c>
      <c r="AI67" s="44"/>
      <c r="AJ67" s="44"/>
      <c r="AK67" s="44"/>
      <c r="AL67" s="44"/>
      <c r="AM67" s="44"/>
      <c r="AN67" s="44"/>
      <c r="AO67" s="44"/>
      <c r="AP67" s="44">
        <f t="shared" si="1"/>
        <v>0</v>
      </c>
      <c r="AQ67" s="44"/>
      <c r="AR67" s="44"/>
      <c r="AS67" s="44"/>
      <c r="AT67" s="44"/>
      <c r="AU67" s="44"/>
      <c r="AV67" s="44"/>
      <c r="AW67" s="44"/>
      <c r="AX67" s="44">
        <f t="shared" si="5"/>
        <v>0</v>
      </c>
      <c r="AY67" s="44">
        <f t="shared" si="2"/>
        <v>0</v>
      </c>
      <c r="AZ67" s="44">
        <f t="shared" si="25"/>
        <v>0</v>
      </c>
      <c r="BA67" s="44">
        <f t="shared" si="25"/>
        <v>0</v>
      </c>
      <c r="BB67" s="44">
        <f t="shared" si="25"/>
        <v>0</v>
      </c>
      <c r="BC67" s="44">
        <f t="shared" si="25"/>
        <v>0</v>
      </c>
      <c r="BD67" s="44">
        <f t="shared" si="25"/>
        <v>0</v>
      </c>
      <c r="BE67" s="44">
        <f t="shared" si="25"/>
        <v>50</v>
      </c>
      <c r="BF67" s="45">
        <f t="shared" si="25"/>
        <v>50</v>
      </c>
      <c r="BG67" s="90"/>
    </row>
    <row r="68" spans="1:59" s="106" customFormat="1" ht="108.75" thickBot="1" x14ac:dyDescent="0.3">
      <c r="A68" s="879"/>
      <c r="B68" s="603"/>
      <c r="C68" s="603"/>
      <c r="D68" s="611"/>
      <c r="E68" s="611"/>
      <c r="F68" s="867"/>
      <c r="G68" s="619"/>
      <c r="H68" s="867"/>
      <c r="I68" s="603"/>
      <c r="J68" s="611"/>
      <c r="K68" s="503" t="s">
        <v>1386</v>
      </c>
      <c r="L68" s="379" t="s">
        <v>1387</v>
      </c>
      <c r="M68" s="50" t="s">
        <v>537</v>
      </c>
      <c r="N68" s="50">
        <v>500</v>
      </c>
      <c r="O68" s="50">
        <v>125</v>
      </c>
      <c r="P68" s="50">
        <v>250</v>
      </c>
      <c r="Q68" s="50">
        <v>375</v>
      </c>
      <c r="R68" s="50">
        <v>500</v>
      </c>
      <c r="S68" s="44">
        <v>40</v>
      </c>
      <c r="T68" s="44"/>
      <c r="U68" s="44"/>
      <c r="V68" s="44"/>
      <c r="W68" s="44"/>
      <c r="X68" s="44"/>
      <c r="Y68" s="44"/>
      <c r="Z68" s="44">
        <f t="shared" si="3"/>
        <v>40</v>
      </c>
      <c r="AA68" s="44">
        <v>50</v>
      </c>
      <c r="AB68" s="44"/>
      <c r="AC68" s="44"/>
      <c r="AD68" s="44"/>
      <c r="AE68" s="44"/>
      <c r="AF68" s="44"/>
      <c r="AG68" s="44"/>
      <c r="AH68" s="44">
        <f t="shared" si="4"/>
        <v>50</v>
      </c>
      <c r="AI68" s="44">
        <v>50</v>
      </c>
      <c r="AJ68" s="44"/>
      <c r="AK68" s="44"/>
      <c r="AL68" s="44"/>
      <c r="AM68" s="44"/>
      <c r="AN68" s="44"/>
      <c r="AO68" s="44"/>
      <c r="AP68" s="44">
        <f t="shared" si="1"/>
        <v>50</v>
      </c>
      <c r="AQ68" s="44">
        <v>50</v>
      </c>
      <c r="AR68" s="44"/>
      <c r="AS68" s="44"/>
      <c r="AT68" s="44"/>
      <c r="AU68" s="44"/>
      <c r="AV68" s="44"/>
      <c r="AW68" s="44"/>
      <c r="AX68" s="44">
        <f t="shared" si="5"/>
        <v>50</v>
      </c>
      <c r="AY68" s="44">
        <f t="shared" si="2"/>
        <v>190</v>
      </c>
      <c r="AZ68" s="44">
        <f t="shared" si="25"/>
        <v>0</v>
      </c>
      <c r="BA68" s="44">
        <f t="shared" si="25"/>
        <v>0</v>
      </c>
      <c r="BB68" s="44">
        <f t="shared" si="25"/>
        <v>0</v>
      </c>
      <c r="BC68" s="44">
        <f t="shared" si="25"/>
        <v>0</v>
      </c>
      <c r="BD68" s="44">
        <f t="shared" si="25"/>
        <v>0</v>
      </c>
      <c r="BE68" s="44">
        <f t="shared" si="25"/>
        <v>0</v>
      </c>
      <c r="BF68" s="45">
        <f t="shared" si="25"/>
        <v>190</v>
      </c>
      <c r="BG68" s="90"/>
    </row>
    <row r="69" spans="1:59" s="106" customFormat="1" ht="81.75" thickBot="1" x14ac:dyDescent="0.3">
      <c r="A69" s="879"/>
      <c r="B69" s="603"/>
      <c r="C69" s="603"/>
      <c r="D69" s="611"/>
      <c r="E69" s="611"/>
      <c r="F69" s="867"/>
      <c r="G69" s="619"/>
      <c r="H69" s="867"/>
      <c r="I69" s="603"/>
      <c r="J69" s="611"/>
      <c r="K69" s="503" t="s">
        <v>1388</v>
      </c>
      <c r="L69" s="379" t="s">
        <v>1389</v>
      </c>
      <c r="M69" s="50" t="s">
        <v>537</v>
      </c>
      <c r="N69" s="50">
        <v>4</v>
      </c>
      <c r="O69" s="50"/>
      <c r="P69" s="50">
        <v>1</v>
      </c>
      <c r="Q69" s="50">
        <v>3</v>
      </c>
      <c r="R69" s="50">
        <v>4</v>
      </c>
      <c r="S69" s="44"/>
      <c r="T69" s="44"/>
      <c r="U69" s="44"/>
      <c r="V69" s="44"/>
      <c r="W69" s="44"/>
      <c r="X69" s="44"/>
      <c r="Y69" s="44"/>
      <c r="Z69" s="44">
        <f t="shared" si="3"/>
        <v>0</v>
      </c>
      <c r="AA69" s="44">
        <v>50</v>
      </c>
      <c r="AB69" s="44"/>
      <c r="AC69" s="44"/>
      <c r="AD69" s="44">
        <v>50</v>
      </c>
      <c r="AE69" s="44"/>
      <c r="AF69" s="44"/>
      <c r="AG69" s="44"/>
      <c r="AH69" s="44">
        <f t="shared" si="4"/>
        <v>100</v>
      </c>
      <c r="AI69" s="44">
        <v>100</v>
      </c>
      <c r="AJ69" s="44"/>
      <c r="AK69" s="44"/>
      <c r="AL69" s="44">
        <v>300</v>
      </c>
      <c r="AM69" s="44"/>
      <c r="AN69" s="44"/>
      <c r="AO69" s="44"/>
      <c r="AP69" s="44">
        <f t="shared" si="1"/>
        <v>400</v>
      </c>
      <c r="AQ69" s="44">
        <v>100</v>
      </c>
      <c r="AR69" s="44"/>
      <c r="AS69" s="44"/>
      <c r="AT69" s="44">
        <v>300</v>
      </c>
      <c r="AU69" s="44"/>
      <c r="AV69" s="44"/>
      <c r="AW69" s="44"/>
      <c r="AX69" s="44">
        <f t="shared" si="5"/>
        <v>400</v>
      </c>
      <c r="AY69" s="44">
        <f t="shared" si="2"/>
        <v>250</v>
      </c>
      <c r="AZ69" s="44">
        <f t="shared" si="25"/>
        <v>0</v>
      </c>
      <c r="BA69" s="44">
        <f t="shared" si="25"/>
        <v>0</v>
      </c>
      <c r="BB69" s="44">
        <f t="shared" si="25"/>
        <v>650</v>
      </c>
      <c r="BC69" s="44">
        <f t="shared" si="25"/>
        <v>0</v>
      </c>
      <c r="BD69" s="44">
        <f t="shared" si="25"/>
        <v>0</v>
      </c>
      <c r="BE69" s="44">
        <f t="shared" si="25"/>
        <v>0</v>
      </c>
      <c r="BF69" s="45">
        <f t="shared" si="25"/>
        <v>900</v>
      </c>
      <c r="BG69" s="90"/>
    </row>
    <row r="70" spans="1:59" s="106" customFormat="1" ht="95.25" thickBot="1" x14ac:dyDescent="0.3">
      <c r="A70" s="879"/>
      <c r="B70" s="603"/>
      <c r="C70" s="603"/>
      <c r="D70" s="611"/>
      <c r="E70" s="611"/>
      <c r="F70" s="867"/>
      <c r="G70" s="619"/>
      <c r="H70" s="867"/>
      <c r="I70" s="603"/>
      <c r="J70" s="611"/>
      <c r="K70" s="503" t="s">
        <v>1390</v>
      </c>
      <c r="L70" s="379" t="s">
        <v>1391</v>
      </c>
      <c r="M70" s="50" t="s">
        <v>537</v>
      </c>
      <c r="N70" s="50">
        <v>15</v>
      </c>
      <c r="O70" s="50"/>
      <c r="P70" s="50">
        <v>10</v>
      </c>
      <c r="Q70" s="50">
        <v>15</v>
      </c>
      <c r="R70" s="50"/>
      <c r="S70" s="44"/>
      <c r="T70" s="44"/>
      <c r="U70" s="44"/>
      <c r="V70" s="44"/>
      <c r="W70" s="44"/>
      <c r="X70" s="44"/>
      <c r="Y70" s="44"/>
      <c r="Z70" s="44">
        <f t="shared" si="3"/>
        <v>0</v>
      </c>
      <c r="AA70" s="44"/>
      <c r="AB70" s="44"/>
      <c r="AC70" s="44"/>
      <c r="AD70" s="44">
        <f>10*30</f>
        <v>300</v>
      </c>
      <c r="AE70" s="44"/>
      <c r="AF70" s="44"/>
      <c r="AG70" s="44"/>
      <c r="AH70" s="44">
        <f t="shared" si="4"/>
        <v>300</v>
      </c>
      <c r="AI70" s="44"/>
      <c r="AJ70" s="44"/>
      <c r="AK70" s="44"/>
      <c r="AL70" s="44">
        <v>150</v>
      </c>
      <c r="AM70" s="44"/>
      <c r="AN70" s="44"/>
      <c r="AO70" s="44"/>
      <c r="AP70" s="44">
        <f t="shared" ref="AP70:AP72" si="26">SUM(AI70:AO70)</f>
        <v>150</v>
      </c>
      <c r="AQ70" s="44"/>
      <c r="AR70" s="44"/>
      <c r="AS70" s="44"/>
      <c r="AT70" s="44"/>
      <c r="AU70" s="44"/>
      <c r="AV70" s="44"/>
      <c r="AW70" s="44"/>
      <c r="AX70" s="44">
        <f t="shared" si="5"/>
        <v>0</v>
      </c>
      <c r="AY70" s="44">
        <f t="shared" ref="AY70:AY79" si="27">+S70+AA70+AI70+AQ70</f>
        <v>0</v>
      </c>
      <c r="AZ70" s="44">
        <f t="shared" si="25"/>
        <v>0</v>
      </c>
      <c r="BA70" s="44">
        <f t="shared" si="25"/>
        <v>0</v>
      </c>
      <c r="BB70" s="44">
        <f t="shared" si="25"/>
        <v>450</v>
      </c>
      <c r="BC70" s="44">
        <f t="shared" si="25"/>
        <v>0</v>
      </c>
      <c r="BD70" s="44">
        <f t="shared" si="25"/>
        <v>0</v>
      </c>
      <c r="BE70" s="44">
        <f t="shared" si="25"/>
        <v>0</v>
      </c>
      <c r="BF70" s="45">
        <f t="shared" si="25"/>
        <v>450</v>
      </c>
      <c r="BG70" s="90"/>
    </row>
    <row r="71" spans="1:59" s="106" customFormat="1" ht="54" x14ac:dyDescent="0.25">
      <c r="A71" s="879"/>
      <c r="B71" s="603"/>
      <c r="C71" s="603"/>
      <c r="D71" s="611"/>
      <c r="E71" s="611"/>
      <c r="F71" s="867"/>
      <c r="G71" s="619"/>
      <c r="H71" s="867"/>
      <c r="I71" s="603"/>
      <c r="J71" s="611"/>
      <c r="K71" s="355" t="s">
        <v>1203</v>
      </c>
      <c r="L71" s="379" t="s">
        <v>1214</v>
      </c>
      <c r="M71" s="50">
        <v>0</v>
      </c>
      <c r="N71" s="50">
        <v>1</v>
      </c>
      <c r="O71" s="50"/>
      <c r="P71" s="50"/>
      <c r="Q71" s="50">
        <v>1</v>
      </c>
      <c r="R71" s="50"/>
      <c r="S71" s="44"/>
      <c r="T71" s="44"/>
      <c r="U71" s="44"/>
      <c r="V71" s="44"/>
      <c r="W71" s="44"/>
      <c r="X71" s="44"/>
      <c r="Y71" s="44"/>
      <c r="Z71" s="44">
        <f t="shared" si="3"/>
        <v>0</v>
      </c>
      <c r="AA71" s="44"/>
      <c r="AB71" s="44"/>
      <c r="AC71" s="44"/>
      <c r="AD71" s="44"/>
      <c r="AE71" s="44"/>
      <c r="AF71" s="44"/>
      <c r="AG71" s="44"/>
      <c r="AH71" s="44">
        <f t="shared" si="4"/>
        <v>0</v>
      </c>
      <c r="AI71" s="44"/>
      <c r="AJ71" s="44"/>
      <c r="AK71" s="44"/>
      <c r="AL71" s="44"/>
      <c r="AM71" s="44"/>
      <c r="AN71" s="44"/>
      <c r="AO71" s="44"/>
      <c r="AP71" s="44">
        <f t="shared" si="26"/>
        <v>0</v>
      </c>
      <c r="AQ71" s="44"/>
      <c r="AR71" s="44"/>
      <c r="AS71" s="44"/>
      <c r="AT71" s="44"/>
      <c r="AU71" s="44"/>
      <c r="AV71" s="44"/>
      <c r="AW71" s="44"/>
      <c r="AX71" s="44">
        <f t="shared" si="5"/>
        <v>0</v>
      </c>
      <c r="AY71" s="44">
        <f t="shared" si="27"/>
        <v>0</v>
      </c>
      <c r="AZ71" s="44">
        <f t="shared" si="18"/>
        <v>0</v>
      </c>
      <c r="BA71" s="44">
        <f t="shared" si="19"/>
        <v>0</v>
      </c>
      <c r="BB71" s="44">
        <f t="shared" si="20"/>
        <v>0</v>
      </c>
      <c r="BC71" s="44">
        <f t="shared" si="21"/>
        <v>0</v>
      </c>
      <c r="BD71" s="44">
        <f t="shared" si="22"/>
        <v>0</v>
      </c>
      <c r="BE71" s="44">
        <f t="shared" si="23"/>
        <v>0</v>
      </c>
      <c r="BF71" s="45">
        <f t="shared" si="24"/>
        <v>0</v>
      </c>
      <c r="BG71" s="90"/>
    </row>
    <row r="72" spans="1:59" s="106" customFormat="1" ht="121.5" x14ac:dyDescent="0.25">
      <c r="A72" s="879"/>
      <c r="B72" s="603"/>
      <c r="C72" s="603"/>
      <c r="D72" s="611"/>
      <c r="E72" s="611"/>
      <c r="F72" s="867"/>
      <c r="G72" s="619"/>
      <c r="H72" s="867"/>
      <c r="I72" s="603"/>
      <c r="J72" s="611"/>
      <c r="K72" s="355" t="s">
        <v>1204</v>
      </c>
      <c r="L72" s="379" t="s">
        <v>1215</v>
      </c>
      <c r="M72" s="50">
        <v>0</v>
      </c>
      <c r="N72" s="50">
        <v>100</v>
      </c>
      <c r="O72" s="50">
        <v>100</v>
      </c>
      <c r="P72" s="50">
        <v>100</v>
      </c>
      <c r="Q72" s="50">
        <v>100</v>
      </c>
      <c r="R72" s="50">
        <v>100</v>
      </c>
      <c r="S72" s="44"/>
      <c r="T72" s="44"/>
      <c r="U72" s="44"/>
      <c r="V72" s="44">
        <v>100</v>
      </c>
      <c r="W72" s="44"/>
      <c r="X72" s="44"/>
      <c r="Y72" s="44"/>
      <c r="Z72" s="44">
        <f t="shared" si="3"/>
        <v>100</v>
      </c>
      <c r="AA72" s="44"/>
      <c r="AB72" s="44"/>
      <c r="AC72" s="44"/>
      <c r="AD72" s="44">
        <v>100</v>
      </c>
      <c r="AE72" s="44"/>
      <c r="AF72" s="44"/>
      <c r="AG72" s="44"/>
      <c r="AH72" s="44">
        <f t="shared" si="4"/>
        <v>100</v>
      </c>
      <c r="AI72" s="44"/>
      <c r="AJ72" s="44"/>
      <c r="AK72" s="44"/>
      <c r="AL72" s="44">
        <v>100</v>
      </c>
      <c r="AM72" s="44"/>
      <c r="AN72" s="44"/>
      <c r="AO72" s="44"/>
      <c r="AP72" s="44">
        <f t="shared" si="26"/>
        <v>100</v>
      </c>
      <c r="AQ72" s="44"/>
      <c r="AR72" s="44"/>
      <c r="AS72" s="44"/>
      <c r="AT72" s="44">
        <v>100</v>
      </c>
      <c r="AU72" s="44"/>
      <c r="AV72" s="44"/>
      <c r="AW72" s="44"/>
      <c r="AX72" s="44">
        <f t="shared" si="5"/>
        <v>100</v>
      </c>
      <c r="AY72" s="44">
        <f t="shared" si="27"/>
        <v>0</v>
      </c>
      <c r="AZ72" s="44">
        <f t="shared" si="18"/>
        <v>0</v>
      </c>
      <c r="BA72" s="44">
        <f t="shared" si="19"/>
        <v>0</v>
      </c>
      <c r="BB72" s="44">
        <f t="shared" si="20"/>
        <v>400</v>
      </c>
      <c r="BC72" s="44">
        <f t="shared" si="21"/>
        <v>0</v>
      </c>
      <c r="BD72" s="44">
        <f t="shared" si="22"/>
        <v>0</v>
      </c>
      <c r="BE72" s="44">
        <f t="shared" si="23"/>
        <v>0</v>
      </c>
      <c r="BF72" s="45">
        <f t="shared" si="24"/>
        <v>400</v>
      </c>
      <c r="BG72" s="90"/>
    </row>
    <row r="73" spans="1:59" s="106" customFormat="1" ht="81" x14ac:dyDescent="0.25">
      <c r="A73" s="879"/>
      <c r="B73" s="603"/>
      <c r="C73" s="603"/>
      <c r="D73" s="611"/>
      <c r="E73" s="611"/>
      <c r="F73" s="867"/>
      <c r="G73" s="619"/>
      <c r="H73" s="867"/>
      <c r="I73" s="603"/>
      <c r="J73" s="611"/>
      <c r="K73" s="355" t="s">
        <v>1205</v>
      </c>
      <c r="L73" s="379" t="s">
        <v>1216</v>
      </c>
      <c r="M73" s="50"/>
      <c r="N73" s="50">
        <v>2</v>
      </c>
      <c r="O73" s="50"/>
      <c r="P73" s="50">
        <v>1</v>
      </c>
      <c r="Q73" s="50">
        <v>2</v>
      </c>
      <c r="R73" s="50"/>
      <c r="S73" s="44"/>
      <c r="T73" s="44"/>
      <c r="U73" s="44"/>
      <c r="V73" s="44"/>
      <c r="W73" s="44"/>
      <c r="X73" s="44"/>
      <c r="Y73" s="44"/>
      <c r="Z73" s="44">
        <f t="shared" si="3"/>
        <v>0</v>
      </c>
      <c r="AA73" s="44"/>
      <c r="AB73" s="44"/>
      <c r="AC73" s="44"/>
      <c r="AD73" s="44"/>
      <c r="AE73" s="44"/>
      <c r="AF73" s="44"/>
      <c r="AG73" s="44"/>
      <c r="AH73" s="44">
        <f t="shared" si="4"/>
        <v>0</v>
      </c>
      <c r="AI73" s="44"/>
      <c r="AJ73" s="44"/>
      <c r="AK73" s="44"/>
      <c r="AL73" s="44"/>
      <c r="AM73" s="44"/>
      <c r="AN73" s="44"/>
      <c r="AO73" s="44"/>
      <c r="AP73" s="44">
        <f>SUM(AI73:AO73)</f>
        <v>0</v>
      </c>
      <c r="AQ73" s="44"/>
      <c r="AR73" s="44"/>
      <c r="AS73" s="44"/>
      <c r="AT73" s="44"/>
      <c r="AU73" s="44"/>
      <c r="AV73" s="44"/>
      <c r="AW73" s="44"/>
      <c r="AX73" s="44">
        <f t="shared" si="5"/>
        <v>0</v>
      </c>
      <c r="AY73" s="44">
        <f t="shared" si="27"/>
        <v>0</v>
      </c>
      <c r="AZ73" s="44">
        <f t="shared" si="18"/>
        <v>0</v>
      </c>
      <c r="BA73" s="44">
        <f t="shared" si="19"/>
        <v>0</v>
      </c>
      <c r="BB73" s="44">
        <f t="shared" si="20"/>
        <v>0</v>
      </c>
      <c r="BC73" s="44">
        <f t="shared" si="21"/>
        <v>0</v>
      </c>
      <c r="BD73" s="44">
        <f t="shared" si="22"/>
        <v>0</v>
      </c>
      <c r="BE73" s="44">
        <f t="shared" si="23"/>
        <v>0</v>
      </c>
      <c r="BF73" s="45">
        <f t="shared" si="24"/>
        <v>0</v>
      </c>
      <c r="BG73" s="90"/>
    </row>
    <row r="74" spans="1:59" s="106" customFormat="1" ht="81.75" thickBot="1" x14ac:dyDescent="0.3">
      <c r="A74" s="879"/>
      <c r="B74" s="603"/>
      <c r="C74" s="603"/>
      <c r="D74" s="611"/>
      <c r="E74" s="611"/>
      <c r="F74" s="867"/>
      <c r="G74" s="619"/>
      <c r="H74" s="607" t="s">
        <v>1189</v>
      </c>
      <c r="I74" s="603" t="s">
        <v>1190</v>
      </c>
      <c r="J74" s="611"/>
      <c r="K74" s="355" t="s">
        <v>1217</v>
      </c>
      <c r="L74" s="379" t="s">
        <v>1218</v>
      </c>
      <c r="M74" s="50">
        <v>0</v>
      </c>
      <c r="N74" s="50">
        <v>1</v>
      </c>
      <c r="O74" s="50">
        <v>1</v>
      </c>
      <c r="P74" s="50"/>
      <c r="Q74" s="50"/>
      <c r="R74" s="50"/>
      <c r="S74" s="44"/>
      <c r="T74" s="44"/>
      <c r="U74" s="44"/>
      <c r="V74" s="44"/>
      <c r="W74" s="44"/>
      <c r="X74" s="44"/>
      <c r="Y74" s="44"/>
      <c r="Z74" s="44">
        <f t="shared" si="3"/>
        <v>0</v>
      </c>
      <c r="AA74" s="44"/>
      <c r="AB74" s="44"/>
      <c r="AC74" s="44"/>
      <c r="AD74" s="44"/>
      <c r="AE74" s="44"/>
      <c r="AF74" s="44"/>
      <c r="AG74" s="44"/>
      <c r="AH74" s="44">
        <f t="shared" si="4"/>
        <v>0</v>
      </c>
      <c r="AI74" s="44"/>
      <c r="AJ74" s="44"/>
      <c r="AK74" s="44"/>
      <c r="AL74" s="44"/>
      <c r="AM74" s="44"/>
      <c r="AN74" s="44"/>
      <c r="AO74" s="44"/>
      <c r="AP74" s="44">
        <f t="shared" ref="AP74:AP82" si="28">SUM(AI74:AO74)</f>
        <v>0</v>
      </c>
      <c r="AQ74" s="44"/>
      <c r="AR74" s="44"/>
      <c r="AS74" s="44"/>
      <c r="AT74" s="44"/>
      <c r="AU74" s="44"/>
      <c r="AV74" s="44"/>
      <c r="AW74" s="44"/>
      <c r="AX74" s="44">
        <f t="shared" si="5"/>
        <v>0</v>
      </c>
      <c r="AY74" s="44">
        <f t="shared" si="27"/>
        <v>0</v>
      </c>
      <c r="AZ74" s="44">
        <f t="shared" si="18"/>
        <v>0</v>
      </c>
      <c r="BA74" s="44">
        <f t="shared" si="19"/>
        <v>0</v>
      </c>
      <c r="BB74" s="44">
        <f t="shared" si="20"/>
        <v>0</v>
      </c>
      <c r="BC74" s="44">
        <f t="shared" si="21"/>
        <v>0</v>
      </c>
      <c r="BD74" s="44">
        <f t="shared" si="22"/>
        <v>0</v>
      </c>
      <c r="BE74" s="44">
        <f t="shared" si="23"/>
        <v>0</v>
      </c>
      <c r="BF74" s="45">
        <f t="shared" si="24"/>
        <v>0</v>
      </c>
      <c r="BG74" s="90"/>
    </row>
    <row r="75" spans="1:59" s="106" customFormat="1" ht="189.75" thickBot="1" x14ac:dyDescent="0.3">
      <c r="A75" s="879"/>
      <c r="B75" s="603"/>
      <c r="C75" s="603"/>
      <c r="D75" s="611"/>
      <c r="E75" s="611"/>
      <c r="F75" s="867"/>
      <c r="G75" s="619"/>
      <c r="H75" s="607"/>
      <c r="I75" s="603"/>
      <c r="J75" s="611"/>
      <c r="K75" s="486" t="s">
        <v>1405</v>
      </c>
      <c r="L75" s="379" t="s">
        <v>1392</v>
      </c>
      <c r="M75" s="50">
        <v>0</v>
      </c>
      <c r="N75" s="50">
        <v>1</v>
      </c>
      <c r="O75" s="50"/>
      <c r="P75" s="50">
        <v>1</v>
      </c>
      <c r="Q75" s="50"/>
      <c r="R75" s="50"/>
      <c r="S75" s="44"/>
      <c r="T75" s="44"/>
      <c r="U75" s="44"/>
      <c r="V75" s="44"/>
      <c r="W75" s="44"/>
      <c r="X75" s="44"/>
      <c r="Y75" s="44"/>
      <c r="Z75" s="44">
        <f t="shared" si="3"/>
        <v>0</v>
      </c>
      <c r="AA75" s="44"/>
      <c r="AB75" s="44"/>
      <c r="AC75" s="44"/>
      <c r="AD75" s="44"/>
      <c r="AE75" s="44"/>
      <c r="AF75" s="44"/>
      <c r="AG75" s="44"/>
      <c r="AH75" s="44">
        <f t="shared" si="4"/>
        <v>0</v>
      </c>
      <c r="AI75" s="44"/>
      <c r="AJ75" s="44"/>
      <c r="AK75" s="44"/>
      <c r="AL75" s="44"/>
      <c r="AM75" s="44"/>
      <c r="AN75" s="44"/>
      <c r="AO75" s="44"/>
      <c r="AP75" s="44">
        <f t="shared" si="28"/>
        <v>0</v>
      </c>
      <c r="AQ75" s="44"/>
      <c r="AR75" s="44"/>
      <c r="AS75" s="44"/>
      <c r="AT75" s="44"/>
      <c r="AU75" s="44"/>
      <c r="AV75" s="44"/>
      <c r="AW75" s="44"/>
      <c r="AX75" s="44">
        <f t="shared" si="5"/>
        <v>0</v>
      </c>
      <c r="AY75" s="44">
        <f t="shared" si="27"/>
        <v>0</v>
      </c>
      <c r="AZ75" s="44">
        <f t="shared" si="25"/>
        <v>0</v>
      </c>
      <c r="BA75" s="44">
        <f t="shared" si="25"/>
        <v>0</v>
      </c>
      <c r="BB75" s="44">
        <f t="shared" si="25"/>
        <v>0</v>
      </c>
      <c r="BC75" s="44">
        <f t="shared" si="25"/>
        <v>0</v>
      </c>
      <c r="BD75" s="44">
        <f t="shared" si="25"/>
        <v>0</v>
      </c>
      <c r="BE75" s="44">
        <f t="shared" si="25"/>
        <v>0</v>
      </c>
      <c r="BF75" s="45">
        <f t="shared" si="25"/>
        <v>0</v>
      </c>
      <c r="BG75" s="90"/>
    </row>
    <row r="76" spans="1:59" s="106" customFormat="1" ht="68.25" thickBot="1" x14ac:dyDescent="0.3">
      <c r="A76" s="879"/>
      <c r="B76" s="603"/>
      <c r="C76" s="603"/>
      <c r="D76" s="611"/>
      <c r="E76" s="611"/>
      <c r="F76" s="867"/>
      <c r="G76" s="619"/>
      <c r="H76" s="607"/>
      <c r="I76" s="603"/>
      <c r="J76" s="611"/>
      <c r="K76" s="503" t="s">
        <v>1393</v>
      </c>
      <c r="L76" s="379" t="s">
        <v>517</v>
      </c>
      <c r="M76" s="50">
        <v>0</v>
      </c>
      <c r="N76" s="50">
        <v>2</v>
      </c>
      <c r="O76" s="50"/>
      <c r="P76" s="50">
        <v>1</v>
      </c>
      <c r="Q76" s="50">
        <v>1</v>
      </c>
      <c r="R76" s="50"/>
      <c r="S76" s="44"/>
      <c r="T76" s="44"/>
      <c r="U76" s="44"/>
      <c r="V76" s="44"/>
      <c r="W76" s="44"/>
      <c r="X76" s="44"/>
      <c r="Y76" s="44"/>
      <c r="Z76" s="44">
        <f t="shared" si="3"/>
        <v>0</v>
      </c>
      <c r="AA76" s="44">
        <v>50</v>
      </c>
      <c r="AB76" s="44"/>
      <c r="AC76" s="44"/>
      <c r="AD76" s="44"/>
      <c r="AE76" s="44"/>
      <c r="AF76" s="44"/>
      <c r="AG76" s="44">
        <v>3000</v>
      </c>
      <c r="AH76" s="44">
        <f t="shared" si="4"/>
        <v>3050</v>
      </c>
      <c r="AI76" s="44">
        <v>100</v>
      </c>
      <c r="AJ76" s="44"/>
      <c r="AK76" s="44"/>
      <c r="AL76" s="44"/>
      <c r="AM76" s="44"/>
      <c r="AN76" s="44"/>
      <c r="AO76" s="44">
        <v>3000</v>
      </c>
      <c r="AP76" s="44">
        <f t="shared" si="28"/>
        <v>3100</v>
      </c>
      <c r="AQ76" s="44"/>
      <c r="AR76" s="44"/>
      <c r="AS76" s="44"/>
      <c r="AT76" s="44"/>
      <c r="AU76" s="44"/>
      <c r="AV76" s="44"/>
      <c r="AW76" s="44"/>
      <c r="AX76" s="44">
        <f t="shared" si="5"/>
        <v>0</v>
      </c>
      <c r="AY76" s="44">
        <f t="shared" si="27"/>
        <v>150</v>
      </c>
      <c r="AZ76" s="44">
        <f t="shared" si="25"/>
        <v>0</v>
      </c>
      <c r="BA76" s="44">
        <f t="shared" si="25"/>
        <v>0</v>
      </c>
      <c r="BB76" s="44">
        <f t="shared" si="25"/>
        <v>0</v>
      </c>
      <c r="BC76" s="44">
        <f t="shared" si="25"/>
        <v>0</v>
      </c>
      <c r="BD76" s="44">
        <f t="shared" si="25"/>
        <v>0</v>
      </c>
      <c r="BE76" s="44">
        <f t="shared" si="25"/>
        <v>6000</v>
      </c>
      <c r="BF76" s="45">
        <f t="shared" si="25"/>
        <v>6150</v>
      </c>
      <c r="BG76" s="90"/>
    </row>
    <row r="77" spans="1:59" s="106" customFormat="1" ht="54" x14ac:dyDescent="0.25">
      <c r="A77" s="879"/>
      <c r="B77" s="603"/>
      <c r="C77" s="603"/>
      <c r="D77" s="611"/>
      <c r="E77" s="611"/>
      <c r="F77" s="867"/>
      <c r="G77" s="619"/>
      <c r="H77" s="607"/>
      <c r="I77" s="603"/>
      <c r="J77" s="611"/>
      <c r="K77" s="355" t="s">
        <v>1206</v>
      </c>
      <c r="L77" s="379" t="s">
        <v>1219</v>
      </c>
      <c r="M77" s="50"/>
      <c r="N77" s="50">
        <v>3</v>
      </c>
      <c r="O77" s="50">
        <v>1</v>
      </c>
      <c r="P77" s="50">
        <v>2</v>
      </c>
      <c r="Q77" s="50">
        <v>3</v>
      </c>
      <c r="R77" s="50"/>
      <c r="S77" s="44"/>
      <c r="T77" s="44"/>
      <c r="U77" s="44"/>
      <c r="V77" s="44"/>
      <c r="W77" s="44"/>
      <c r="X77" s="44"/>
      <c r="Y77" s="44"/>
      <c r="Z77" s="44">
        <f t="shared" si="3"/>
        <v>0</v>
      </c>
      <c r="AA77" s="44"/>
      <c r="AB77" s="44"/>
      <c r="AC77" s="44"/>
      <c r="AD77" s="44"/>
      <c r="AE77" s="44"/>
      <c r="AF77" s="44"/>
      <c r="AG77" s="44"/>
      <c r="AH77" s="44">
        <f t="shared" si="4"/>
        <v>0</v>
      </c>
      <c r="AI77" s="44"/>
      <c r="AJ77" s="44"/>
      <c r="AK77" s="44"/>
      <c r="AL77" s="44"/>
      <c r="AM77" s="44"/>
      <c r="AN77" s="44"/>
      <c r="AO77" s="44"/>
      <c r="AP77" s="44">
        <f t="shared" si="28"/>
        <v>0</v>
      </c>
      <c r="AQ77" s="44"/>
      <c r="AR77" s="44"/>
      <c r="AS77" s="44"/>
      <c r="AT77" s="44"/>
      <c r="AU77" s="44"/>
      <c r="AV77" s="44"/>
      <c r="AW77" s="44"/>
      <c r="AX77" s="44">
        <f t="shared" si="5"/>
        <v>0</v>
      </c>
      <c r="AY77" s="44">
        <f t="shared" si="27"/>
        <v>0</v>
      </c>
      <c r="AZ77" s="44">
        <f t="shared" si="18"/>
        <v>0</v>
      </c>
      <c r="BA77" s="44">
        <f t="shared" si="19"/>
        <v>0</v>
      </c>
      <c r="BB77" s="44">
        <f t="shared" si="20"/>
        <v>0</v>
      </c>
      <c r="BC77" s="44">
        <f t="shared" si="21"/>
        <v>0</v>
      </c>
      <c r="BD77" s="44">
        <f t="shared" si="22"/>
        <v>0</v>
      </c>
      <c r="BE77" s="44">
        <f t="shared" si="23"/>
        <v>0</v>
      </c>
      <c r="BF77" s="45">
        <f t="shared" si="24"/>
        <v>0</v>
      </c>
      <c r="BG77" s="90"/>
    </row>
    <row r="78" spans="1:59" s="106" customFormat="1" ht="189" x14ac:dyDescent="0.25">
      <c r="A78" s="879"/>
      <c r="B78" s="603"/>
      <c r="C78" s="603"/>
      <c r="D78" s="611"/>
      <c r="E78" s="611"/>
      <c r="F78" s="867"/>
      <c r="G78" s="619"/>
      <c r="H78" s="383" t="s">
        <v>1191</v>
      </c>
      <c r="I78" s="355" t="s">
        <v>1192</v>
      </c>
      <c r="J78" s="379"/>
      <c r="K78" s="355" t="s">
        <v>1207</v>
      </c>
      <c r="L78" s="379" t="s">
        <v>1220</v>
      </c>
      <c r="M78" s="50">
        <v>0</v>
      </c>
      <c r="N78" s="50">
        <v>1</v>
      </c>
      <c r="O78" s="50"/>
      <c r="P78" s="50">
        <v>1</v>
      </c>
      <c r="Q78" s="50"/>
      <c r="R78" s="50"/>
      <c r="S78" s="44"/>
      <c r="T78" s="44"/>
      <c r="U78" s="44"/>
      <c r="V78" s="44"/>
      <c r="W78" s="44"/>
      <c r="X78" s="44"/>
      <c r="Y78" s="44"/>
      <c r="Z78" s="44">
        <f t="shared" si="3"/>
        <v>0</v>
      </c>
      <c r="AA78" s="44"/>
      <c r="AB78" s="44"/>
      <c r="AC78" s="44"/>
      <c r="AD78" s="44">
        <v>50</v>
      </c>
      <c r="AE78" s="44"/>
      <c r="AF78" s="44"/>
      <c r="AG78" s="44"/>
      <c r="AH78" s="44">
        <f t="shared" si="4"/>
        <v>50</v>
      </c>
      <c r="AI78" s="44"/>
      <c r="AJ78" s="44"/>
      <c r="AK78" s="44"/>
      <c r="AL78" s="44"/>
      <c r="AM78" s="44"/>
      <c r="AN78" s="44"/>
      <c r="AO78" s="44"/>
      <c r="AP78" s="44">
        <f t="shared" si="28"/>
        <v>0</v>
      </c>
      <c r="AQ78" s="44"/>
      <c r="AR78" s="44"/>
      <c r="AS78" s="44"/>
      <c r="AT78" s="44"/>
      <c r="AU78" s="44"/>
      <c r="AV78" s="44"/>
      <c r="AW78" s="44"/>
      <c r="AX78" s="44">
        <f t="shared" si="5"/>
        <v>0</v>
      </c>
      <c r="AY78" s="44">
        <f t="shared" si="27"/>
        <v>0</v>
      </c>
      <c r="AZ78" s="44">
        <f t="shared" si="18"/>
        <v>0</v>
      </c>
      <c r="BA78" s="44">
        <f t="shared" si="19"/>
        <v>0</v>
      </c>
      <c r="BB78" s="44">
        <f t="shared" si="20"/>
        <v>50</v>
      </c>
      <c r="BC78" s="44">
        <f t="shared" si="21"/>
        <v>0</v>
      </c>
      <c r="BD78" s="44">
        <f t="shared" si="22"/>
        <v>0</v>
      </c>
      <c r="BE78" s="44">
        <f t="shared" si="23"/>
        <v>0</v>
      </c>
      <c r="BF78" s="45">
        <f t="shared" si="24"/>
        <v>50</v>
      </c>
      <c r="BG78" s="90"/>
    </row>
    <row r="79" spans="1:59" s="106" customFormat="1" ht="45" customHeight="1" x14ac:dyDescent="0.25">
      <c r="A79" s="879"/>
      <c r="B79" s="603"/>
      <c r="C79" s="603"/>
      <c r="D79" s="611"/>
      <c r="E79" s="611"/>
      <c r="F79" s="867"/>
      <c r="G79" s="619"/>
      <c r="H79" s="607" t="s">
        <v>1193</v>
      </c>
      <c r="I79" s="603" t="s">
        <v>1194</v>
      </c>
      <c r="J79" s="611"/>
      <c r="K79" s="603" t="s">
        <v>1210</v>
      </c>
      <c r="L79" s="379" t="s">
        <v>1208</v>
      </c>
      <c r="M79" s="50">
        <v>35</v>
      </c>
      <c r="N79" s="50">
        <v>222</v>
      </c>
      <c r="O79" s="50">
        <v>60</v>
      </c>
      <c r="P79" s="50">
        <v>100</v>
      </c>
      <c r="Q79" s="50">
        <v>150</v>
      </c>
      <c r="R79" s="50">
        <v>222</v>
      </c>
      <c r="S79" s="623"/>
      <c r="T79" s="623"/>
      <c r="U79" s="623"/>
      <c r="V79" s="623">
        <v>100</v>
      </c>
      <c r="W79" s="623"/>
      <c r="X79" s="623"/>
      <c r="Y79" s="623"/>
      <c r="Z79" s="623">
        <f t="shared" si="3"/>
        <v>100</v>
      </c>
      <c r="AA79" s="623"/>
      <c r="AB79" s="623"/>
      <c r="AC79" s="623"/>
      <c r="AD79" s="623">
        <v>100</v>
      </c>
      <c r="AE79" s="623"/>
      <c r="AF79" s="623"/>
      <c r="AG79" s="623"/>
      <c r="AH79" s="623">
        <f t="shared" si="4"/>
        <v>100</v>
      </c>
      <c r="AI79" s="623"/>
      <c r="AJ79" s="623"/>
      <c r="AK79" s="623"/>
      <c r="AL79" s="623">
        <v>100</v>
      </c>
      <c r="AM79" s="623"/>
      <c r="AN79" s="623"/>
      <c r="AO79" s="623"/>
      <c r="AP79" s="623">
        <f t="shared" si="28"/>
        <v>100</v>
      </c>
      <c r="AQ79" s="623"/>
      <c r="AR79" s="623"/>
      <c r="AS79" s="623"/>
      <c r="AT79" s="623">
        <v>100</v>
      </c>
      <c r="AU79" s="623"/>
      <c r="AV79" s="623"/>
      <c r="AW79" s="623"/>
      <c r="AX79" s="623">
        <f t="shared" si="5"/>
        <v>100</v>
      </c>
      <c r="AY79" s="623">
        <f t="shared" si="27"/>
        <v>0</v>
      </c>
      <c r="AZ79" s="623">
        <f t="shared" si="18"/>
        <v>0</v>
      </c>
      <c r="BA79" s="623">
        <f t="shared" si="19"/>
        <v>0</v>
      </c>
      <c r="BB79" s="623">
        <f t="shared" si="20"/>
        <v>400</v>
      </c>
      <c r="BC79" s="623">
        <f t="shared" si="21"/>
        <v>0</v>
      </c>
      <c r="BD79" s="623">
        <f t="shared" si="22"/>
        <v>0</v>
      </c>
      <c r="BE79" s="623">
        <f t="shared" si="23"/>
        <v>0</v>
      </c>
      <c r="BF79" s="891">
        <f t="shared" si="24"/>
        <v>400</v>
      </c>
      <c r="BG79" s="90"/>
    </row>
    <row r="80" spans="1:59" s="106" customFormat="1" ht="42.75" customHeight="1" x14ac:dyDescent="0.25">
      <c r="A80" s="879"/>
      <c r="B80" s="603"/>
      <c r="C80" s="603"/>
      <c r="D80" s="611"/>
      <c r="E80" s="611"/>
      <c r="F80" s="867"/>
      <c r="G80" s="619"/>
      <c r="H80" s="607"/>
      <c r="I80" s="603"/>
      <c r="J80" s="611"/>
      <c r="K80" s="603"/>
      <c r="L80" s="379" t="s">
        <v>1209</v>
      </c>
      <c r="M80" s="50">
        <v>6</v>
      </c>
      <c r="N80" s="50">
        <v>124</v>
      </c>
      <c r="O80" s="50">
        <v>30</v>
      </c>
      <c r="P80" s="50">
        <v>60</v>
      </c>
      <c r="Q80" s="50">
        <v>90</v>
      </c>
      <c r="R80" s="50">
        <v>124</v>
      </c>
      <c r="S80" s="623"/>
      <c r="T80" s="623"/>
      <c r="U80" s="623"/>
      <c r="V80" s="623"/>
      <c r="W80" s="623"/>
      <c r="X80" s="623"/>
      <c r="Y80" s="623"/>
      <c r="Z80" s="623"/>
      <c r="AA80" s="623"/>
      <c r="AB80" s="623"/>
      <c r="AC80" s="623"/>
      <c r="AD80" s="623"/>
      <c r="AE80" s="623"/>
      <c r="AF80" s="623"/>
      <c r="AG80" s="623"/>
      <c r="AH80" s="623"/>
      <c r="AI80" s="623"/>
      <c r="AJ80" s="623"/>
      <c r="AK80" s="623"/>
      <c r="AL80" s="623"/>
      <c r="AM80" s="623"/>
      <c r="AN80" s="623"/>
      <c r="AO80" s="623"/>
      <c r="AP80" s="623"/>
      <c r="AQ80" s="623"/>
      <c r="AR80" s="623"/>
      <c r="AS80" s="623"/>
      <c r="AT80" s="623"/>
      <c r="AU80" s="623"/>
      <c r="AV80" s="623"/>
      <c r="AW80" s="623"/>
      <c r="AX80" s="623"/>
      <c r="AY80" s="623"/>
      <c r="AZ80" s="623"/>
      <c r="BA80" s="623"/>
      <c r="BB80" s="623"/>
      <c r="BC80" s="623"/>
      <c r="BD80" s="623"/>
      <c r="BE80" s="623"/>
      <c r="BF80" s="891"/>
      <c r="BG80" s="90"/>
    </row>
    <row r="81" spans="1:59" s="106" customFormat="1" ht="94.5" x14ac:dyDescent="0.25">
      <c r="A81" s="879"/>
      <c r="B81" s="603"/>
      <c r="C81" s="603"/>
      <c r="D81" s="611"/>
      <c r="E81" s="611"/>
      <c r="F81" s="867"/>
      <c r="G81" s="619"/>
      <c r="H81" s="607"/>
      <c r="I81" s="603"/>
      <c r="J81" s="611"/>
      <c r="K81" s="355" t="s">
        <v>1211</v>
      </c>
      <c r="L81" s="379" t="s">
        <v>1212</v>
      </c>
      <c r="M81" s="50">
        <v>108</v>
      </c>
      <c r="N81" s="50">
        <v>836</v>
      </c>
      <c r="O81" s="50">
        <v>200</v>
      </c>
      <c r="P81" s="50">
        <v>400</v>
      </c>
      <c r="Q81" s="50">
        <v>600</v>
      </c>
      <c r="R81" s="50">
        <v>836</v>
      </c>
      <c r="S81" s="44"/>
      <c r="T81" s="44"/>
      <c r="U81" s="44"/>
      <c r="V81" s="44">
        <v>50</v>
      </c>
      <c r="W81" s="44"/>
      <c r="X81" s="44"/>
      <c r="Y81" s="44"/>
      <c r="Z81" s="44">
        <f t="shared" si="3"/>
        <v>50</v>
      </c>
      <c r="AA81" s="44"/>
      <c r="AB81" s="44"/>
      <c r="AC81" s="44"/>
      <c r="AD81" s="44">
        <v>50</v>
      </c>
      <c r="AE81" s="44"/>
      <c r="AF81" s="44"/>
      <c r="AG81" s="44"/>
      <c r="AH81" s="44">
        <f t="shared" si="4"/>
        <v>50</v>
      </c>
      <c r="AI81" s="44"/>
      <c r="AJ81" s="44"/>
      <c r="AK81" s="44"/>
      <c r="AL81" s="44">
        <v>50</v>
      </c>
      <c r="AM81" s="44"/>
      <c r="AN81" s="44"/>
      <c r="AO81" s="44"/>
      <c r="AP81" s="44">
        <f t="shared" si="28"/>
        <v>50</v>
      </c>
      <c r="AQ81" s="44"/>
      <c r="AR81" s="44"/>
      <c r="AS81" s="44"/>
      <c r="AT81" s="44">
        <v>50</v>
      </c>
      <c r="AU81" s="44"/>
      <c r="AV81" s="44"/>
      <c r="AW81" s="44"/>
      <c r="AX81" s="44">
        <f t="shared" si="5"/>
        <v>50</v>
      </c>
      <c r="AY81" s="44">
        <f>+S81+AA81+AI81+AQ81</f>
        <v>0</v>
      </c>
      <c r="AZ81" s="44">
        <f t="shared" si="18"/>
        <v>0</v>
      </c>
      <c r="BA81" s="44">
        <f t="shared" si="19"/>
        <v>0</v>
      </c>
      <c r="BB81" s="44">
        <f t="shared" si="20"/>
        <v>200</v>
      </c>
      <c r="BC81" s="44">
        <f t="shared" si="21"/>
        <v>0</v>
      </c>
      <c r="BD81" s="44">
        <f t="shared" si="22"/>
        <v>0</v>
      </c>
      <c r="BE81" s="44">
        <f t="shared" si="23"/>
        <v>0</v>
      </c>
      <c r="BF81" s="45">
        <f t="shared" si="24"/>
        <v>200</v>
      </c>
      <c r="BG81" s="90"/>
    </row>
    <row r="82" spans="1:59" s="106" customFormat="1" ht="81.75" thickBot="1" x14ac:dyDescent="0.3">
      <c r="A82" s="879"/>
      <c r="B82" s="604"/>
      <c r="C82" s="604"/>
      <c r="D82" s="655"/>
      <c r="E82" s="655"/>
      <c r="F82" s="874"/>
      <c r="G82" s="876"/>
      <c r="H82" s="872"/>
      <c r="I82" s="604"/>
      <c r="J82" s="655"/>
      <c r="K82" s="356" t="s">
        <v>1213</v>
      </c>
      <c r="L82" s="380" t="s">
        <v>1221</v>
      </c>
      <c r="M82" s="156"/>
      <c r="N82" s="156">
        <v>2</v>
      </c>
      <c r="O82" s="156">
        <v>1</v>
      </c>
      <c r="P82" s="156">
        <v>2</v>
      </c>
      <c r="Q82" s="156"/>
      <c r="R82" s="156"/>
      <c r="S82" s="123"/>
      <c r="T82" s="123"/>
      <c r="U82" s="123"/>
      <c r="V82" s="123"/>
      <c r="W82" s="123"/>
      <c r="X82" s="123"/>
      <c r="Y82" s="123"/>
      <c r="Z82" s="123">
        <f>SUM(S82:Y82)</f>
        <v>0</v>
      </c>
      <c r="AA82" s="123"/>
      <c r="AB82" s="123"/>
      <c r="AC82" s="123"/>
      <c r="AD82" s="123"/>
      <c r="AE82" s="123"/>
      <c r="AF82" s="123"/>
      <c r="AG82" s="123"/>
      <c r="AH82" s="123">
        <f>SUM(AA82:AG82)</f>
        <v>0</v>
      </c>
      <c r="AI82" s="123"/>
      <c r="AJ82" s="123"/>
      <c r="AK82" s="123"/>
      <c r="AL82" s="123"/>
      <c r="AM82" s="123"/>
      <c r="AN82" s="123"/>
      <c r="AO82" s="123"/>
      <c r="AP82" s="310">
        <f t="shared" si="28"/>
        <v>0</v>
      </c>
      <c r="AQ82" s="352"/>
      <c r="AR82" s="352"/>
      <c r="AS82" s="352"/>
      <c r="AT82" s="352"/>
      <c r="AU82" s="352"/>
      <c r="AV82" s="352"/>
      <c r="AW82" s="352"/>
      <c r="AX82" s="352">
        <f>SUM(AQ82:AW82)</f>
        <v>0</v>
      </c>
      <c r="AY82" s="310">
        <f>+S82+AA82+AI82+AQ82</f>
        <v>0</v>
      </c>
      <c r="AZ82" s="352">
        <f t="shared" si="18"/>
        <v>0</v>
      </c>
      <c r="BA82" s="352">
        <f t="shared" si="19"/>
        <v>0</v>
      </c>
      <c r="BB82" s="352">
        <f t="shared" si="20"/>
        <v>0</v>
      </c>
      <c r="BC82" s="352">
        <f t="shared" si="21"/>
        <v>0</v>
      </c>
      <c r="BD82" s="352">
        <f t="shared" si="22"/>
        <v>0</v>
      </c>
      <c r="BE82" s="352">
        <f t="shared" si="23"/>
        <v>0</v>
      </c>
      <c r="BF82" s="199">
        <f t="shared" si="24"/>
        <v>0</v>
      </c>
      <c r="BG82" s="90"/>
    </row>
    <row r="83" spans="1:59" ht="14.25" thickBot="1" x14ac:dyDescent="0.3">
      <c r="A83" s="870" t="s">
        <v>1226</v>
      </c>
      <c r="B83" s="871"/>
      <c r="C83" s="871"/>
      <c r="D83" s="153"/>
      <c r="E83" s="871" t="s">
        <v>1225</v>
      </c>
      <c r="F83" s="871"/>
      <c r="G83" s="871"/>
      <c r="H83" s="871" t="s">
        <v>1227</v>
      </c>
      <c r="I83" s="871"/>
      <c r="J83" s="871"/>
      <c r="K83" s="837" t="s">
        <v>1513</v>
      </c>
      <c r="L83" s="837"/>
      <c r="M83" s="837"/>
      <c r="N83" s="837"/>
      <c r="O83" s="837"/>
      <c r="P83" s="837"/>
      <c r="Q83" s="837"/>
      <c r="R83" s="838"/>
      <c r="S83" s="154">
        <f>+S4+S5+S6+S7+S8+S9+S10+S19+S20+S21+S22+S23+S24+S25+S26+S27+S28+S29+S30+S31+S32+S33+S34+S35+S36+S37+S38+S39+S40+S41+S42+S43+S44+S45+S46+S47+S48+S49+S50+S51+S52+S53+S54+S55+S56+S62+S63+S64+S65+S71+S72+S73+S74+S77+S78+S79+S81+S82+S57+S58+S59+S61+S66+S67+S68+S69+S70+S75+S76+S11</f>
        <v>12251</v>
      </c>
      <c r="T83" s="154">
        <f t="shared" ref="T83:BE83" si="29">+T4+T5+T6+T7+T8+T9+T10+T19+T20+T21+T22+T23+T24+T25+T26+T27+T28+T29+T30+T31+T32+T33+T34+T35+T36+T37+T38+T39+T40+T41+T42+T43+T44+T45+T46+T47+T48+T49+T50+T51+T52+T53+T54+T55+T56+T62+T63+T64+T65+T71+T72+T73+T74+T77+T78+T79+T81+T82+T57+T58+T59+T61+T66+T67+T68+T69+T70+T75+T76+T11</f>
        <v>60</v>
      </c>
      <c r="U83" s="154">
        <f t="shared" si="29"/>
        <v>4977</v>
      </c>
      <c r="V83" s="154">
        <f t="shared" si="29"/>
        <v>810</v>
      </c>
      <c r="W83" s="154">
        <f t="shared" si="29"/>
        <v>0</v>
      </c>
      <c r="X83" s="154">
        <f t="shared" si="29"/>
        <v>0</v>
      </c>
      <c r="Y83" s="154">
        <f t="shared" si="29"/>
        <v>1040</v>
      </c>
      <c r="Z83" s="154">
        <f t="shared" si="29"/>
        <v>19138</v>
      </c>
      <c r="AA83" s="154">
        <f t="shared" si="29"/>
        <v>14842</v>
      </c>
      <c r="AB83" s="154">
        <f t="shared" si="29"/>
        <v>140</v>
      </c>
      <c r="AC83" s="154">
        <f t="shared" si="29"/>
        <v>5888</v>
      </c>
      <c r="AD83" s="154">
        <f t="shared" si="29"/>
        <v>3750</v>
      </c>
      <c r="AE83" s="154">
        <f t="shared" si="29"/>
        <v>0</v>
      </c>
      <c r="AF83" s="154">
        <f t="shared" si="29"/>
        <v>0</v>
      </c>
      <c r="AG83" s="154">
        <f t="shared" si="29"/>
        <v>3090</v>
      </c>
      <c r="AH83" s="154">
        <f t="shared" si="29"/>
        <v>27710</v>
      </c>
      <c r="AI83" s="154">
        <f t="shared" si="29"/>
        <v>15483</v>
      </c>
      <c r="AJ83" s="154">
        <f t="shared" si="29"/>
        <v>15</v>
      </c>
      <c r="AK83" s="154">
        <f t="shared" si="29"/>
        <v>7860</v>
      </c>
      <c r="AL83" s="154">
        <f>+AL4+AL5+AL6+AL7+AL8+AL9+AL10+AL19+AL20+AL21+AL22+AL23+AL24+AL25+AL26+AL27+AL28+AL29+AL30+AL31+AL32+AL33+AL34+AL35+AL36+AL37+AL38+AL39+AL40+AL41+AL42+AL43+AL44+AL45+AL46+AL47+AL48+AL49+AL50+AL51+AL52+AL53+AL54+AL55+AL56+AL62+AL63+AL64+AL65+AL71+AL72+AL73+AL74+AL77+AL78+AL79+AL81+AL82+AL57+AL58+AL59+AL61+AL66+AL67+AL68+AL69+AL70+AL75+AL76+AL11+AL60</f>
        <v>1800</v>
      </c>
      <c r="AM83" s="154">
        <f t="shared" si="29"/>
        <v>0</v>
      </c>
      <c r="AN83" s="154">
        <f t="shared" si="29"/>
        <v>0</v>
      </c>
      <c r="AO83" s="154">
        <f t="shared" si="29"/>
        <v>3040</v>
      </c>
      <c r="AP83" s="154">
        <f>+AP4+AP5+AP6+AP7+AP8+AP9+AP10+AP19+AP20+AP21+AP22+AP23+AP24+AP25+AP26+AP27+AP28+AP29+AP30+AP31+AP32+AP33+AP34+AP35+AP36+AP37+AP38+AP39+AP40+AP41+AP42+AP43+AP44+AP45+AP46+AP47+AP48+AP49+AP50+AP51+AP52+AP53+AP54+AP55+AP56+AP62+AP63+AP64+AP65+AP71+AP72+AP73+AP74+AP77+AP78+AP79+AP81+AP82+AP57+AP58+AP59+AP61+AP66+AP67+AP68+AP69+AP70+AP75+AP76+AP11+AP60</f>
        <v>28198</v>
      </c>
      <c r="AQ83" s="154">
        <f t="shared" si="29"/>
        <v>17773</v>
      </c>
      <c r="AR83" s="154">
        <f t="shared" si="29"/>
        <v>15</v>
      </c>
      <c r="AS83" s="154">
        <f t="shared" si="29"/>
        <v>9505</v>
      </c>
      <c r="AT83" s="154">
        <f>+AT4+AT5+AT6+AT7+AT8+AT9+AT10+AT19+AT20+AT21+AT22+AT23+AT24+AT25+AT26+AT27+AT28+AT29+AT30+AT31+AT32+AT33+AT34+AT35+AT36+AT37+AT38+AT39+AT40+AT41+AT42+AT43+AT44+AT45+AT46+AT47+AT48+AT49+AT50+AT51+AT52+AT53+AT54+AT55+AT56+AT62+AT63+AT64+AT65+AT71+AT72+AT73+AT74+AT77+AT78+AT79+AT81+AT82+AT57+AT58+AT59+AT61+AT66+AT67+AT68+AT69+AT70+AT75+AT76+AT11+AT60</f>
        <v>1450</v>
      </c>
      <c r="AU83" s="154">
        <f t="shared" si="29"/>
        <v>0</v>
      </c>
      <c r="AV83" s="154">
        <f t="shared" si="29"/>
        <v>0</v>
      </c>
      <c r="AW83" s="154">
        <f t="shared" si="29"/>
        <v>40</v>
      </c>
      <c r="AX83" s="154">
        <f t="shared" si="29"/>
        <v>28783</v>
      </c>
      <c r="AY83" s="154">
        <f t="shared" si="29"/>
        <v>60349</v>
      </c>
      <c r="AZ83" s="154">
        <f t="shared" si="29"/>
        <v>230</v>
      </c>
      <c r="BA83" s="154">
        <f t="shared" si="29"/>
        <v>28230</v>
      </c>
      <c r="BB83" s="154">
        <f>+BB4+BB5+BB6+BB7+BB8+BB9+BB10+BB19+BB20+BB21+BB22+BB23+BB24+BB25+BB26+BB27+BB28+BB29+BB30+BB31+BB32+BB33+BB34+BB35+BB36+BB37+BB38+BB39+BB40+BB41+BB42+BB43+BB44+BB45+BB46+BB47+BB48+BB49+BB50+BB51+BB52+BB53+BB54+BB55+BB56+BB62+BB63+BB64+BB65+BB71+BB72+BB73+BB74+BB77+BB78+BB79+BB81+BB82+BB57+BB58+BB59+BB61+BB66+BB67+BB68+BB69+BB70+BB75+BB76+BB11+BB60</f>
        <v>7810</v>
      </c>
      <c r="BC83" s="154">
        <f t="shared" si="29"/>
        <v>0</v>
      </c>
      <c r="BD83" s="154">
        <f t="shared" si="29"/>
        <v>0</v>
      </c>
      <c r="BE83" s="154">
        <f t="shared" si="29"/>
        <v>7210</v>
      </c>
      <c r="BF83" s="154">
        <f>+BF4+BF5+BF6+BF7+BF8+BF9+BF10+BF19+BF20+BF21+BF22+BF23+BF24+BF25+BF26+BF27+BF28+BF29+BF30+BF31+BF32+BF33+BF34+BF35+BF36+BF37+BF38+BF39+BF40+BF41+BF42+BF43+BF44+BF45+BF46+BF47+BF48+BF49+BF50+BF51+BF52+BF53+BF54+BF55+BF56+BF62+BF63+BF64+BF65+BF71+BF72+BF73+BF74+BF77+BF78+BF79+BF81+BF82+BF57+BF58+BF59+BF61+BF66+BF67+BF68+BF69+BF70+BF75+BF76+BF11+BF60</f>
        <v>103829</v>
      </c>
      <c r="BG83" s="43"/>
    </row>
    <row r="84" spans="1:59" x14ac:dyDescent="0.25"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</row>
    <row r="85" spans="1:59" ht="14.25" thickBot="1" x14ac:dyDescent="0.3"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</row>
    <row r="86" spans="1:59" ht="13.5" customHeight="1" x14ac:dyDescent="0.25">
      <c r="M86" s="892" t="s">
        <v>1222</v>
      </c>
      <c r="N86" s="893"/>
      <c r="O86" s="893"/>
      <c r="P86" s="893"/>
      <c r="Q86" s="893"/>
      <c r="R86" s="894"/>
      <c r="S86" s="898"/>
      <c r="T86" s="899"/>
      <c r="U86" s="899"/>
      <c r="V86" s="899"/>
      <c r="W86" s="899"/>
      <c r="X86" s="899"/>
      <c r="Y86" s="899"/>
      <c r="Z86" s="899"/>
      <c r="AA86" s="899"/>
      <c r="AB86" s="899"/>
      <c r="AC86" s="899"/>
      <c r="AD86" s="899"/>
      <c r="AE86" s="899"/>
      <c r="AF86" s="899"/>
      <c r="AG86" s="899"/>
      <c r="AH86" s="899"/>
      <c r="AI86" s="899"/>
      <c r="AJ86" s="899"/>
      <c r="AK86" s="899"/>
      <c r="AL86" s="899"/>
      <c r="AM86" s="899"/>
      <c r="AN86" s="899"/>
      <c r="AO86" s="899"/>
      <c r="AP86" s="899"/>
      <c r="AQ86" s="899"/>
      <c r="AR86" s="899"/>
      <c r="AS86" s="899"/>
      <c r="AT86" s="899"/>
      <c r="AU86" s="899"/>
      <c r="AV86" s="899"/>
      <c r="AW86" s="899"/>
      <c r="AX86" s="899"/>
      <c r="AY86" s="899"/>
      <c r="AZ86" s="899"/>
      <c r="BA86" s="899"/>
      <c r="BB86" s="899"/>
      <c r="BC86" s="899"/>
      <c r="BD86" s="899"/>
      <c r="BE86" s="900"/>
      <c r="BF86" s="901"/>
    </row>
    <row r="87" spans="1:59" ht="13.5" customHeight="1" x14ac:dyDescent="0.25">
      <c r="M87" s="895"/>
      <c r="N87" s="896"/>
      <c r="O87" s="896"/>
      <c r="P87" s="896"/>
      <c r="Q87" s="896"/>
      <c r="R87" s="897"/>
      <c r="S87" s="902">
        <v>2012</v>
      </c>
      <c r="T87" s="903"/>
      <c r="U87" s="903"/>
      <c r="V87" s="903"/>
      <c r="W87" s="903"/>
      <c r="X87" s="903"/>
      <c r="Y87" s="903"/>
      <c r="Z87" s="903"/>
      <c r="AA87" s="903">
        <v>2013</v>
      </c>
      <c r="AB87" s="903"/>
      <c r="AC87" s="903"/>
      <c r="AD87" s="903"/>
      <c r="AE87" s="903"/>
      <c r="AF87" s="903"/>
      <c r="AG87" s="903"/>
      <c r="AH87" s="903"/>
      <c r="AI87" s="903">
        <v>2014</v>
      </c>
      <c r="AJ87" s="903"/>
      <c r="AK87" s="903"/>
      <c r="AL87" s="903"/>
      <c r="AM87" s="903"/>
      <c r="AN87" s="903"/>
      <c r="AO87" s="903"/>
      <c r="AP87" s="903"/>
      <c r="AQ87" s="903">
        <v>2015</v>
      </c>
      <c r="AR87" s="903"/>
      <c r="AS87" s="903"/>
      <c r="AT87" s="903"/>
      <c r="AU87" s="903"/>
      <c r="AV87" s="903"/>
      <c r="AW87" s="903"/>
      <c r="AX87" s="903"/>
      <c r="AY87" s="903" t="s">
        <v>734</v>
      </c>
      <c r="AZ87" s="903"/>
      <c r="BA87" s="903"/>
      <c r="BB87" s="903"/>
      <c r="BC87" s="903"/>
      <c r="BD87" s="903"/>
      <c r="BE87" s="904"/>
      <c r="BF87" s="905"/>
    </row>
    <row r="88" spans="1:59" ht="27.75" customHeight="1" thickBot="1" x14ac:dyDescent="0.3">
      <c r="M88" s="882" t="s">
        <v>826</v>
      </c>
      <c r="N88" s="883"/>
      <c r="O88" s="883"/>
      <c r="P88" s="883"/>
      <c r="Q88" s="883"/>
      <c r="R88" s="884"/>
      <c r="S88" s="107" t="s">
        <v>1400</v>
      </c>
      <c r="T88" s="108" t="s">
        <v>728</v>
      </c>
      <c r="U88" s="108" t="s">
        <v>729</v>
      </c>
      <c r="V88" s="37" t="s">
        <v>937</v>
      </c>
      <c r="W88" s="108" t="s">
        <v>730</v>
      </c>
      <c r="X88" s="108" t="s">
        <v>731</v>
      </c>
      <c r="Y88" s="108" t="s">
        <v>732</v>
      </c>
      <c r="Z88" s="108" t="s">
        <v>733</v>
      </c>
      <c r="AA88" s="108" t="s">
        <v>1400</v>
      </c>
      <c r="AB88" s="108" t="s">
        <v>728</v>
      </c>
      <c r="AC88" s="108" t="s">
        <v>729</v>
      </c>
      <c r="AD88" s="37" t="s">
        <v>937</v>
      </c>
      <c r="AE88" s="108" t="s">
        <v>730</v>
      </c>
      <c r="AF88" s="108" t="s">
        <v>731</v>
      </c>
      <c r="AG88" s="108" t="s">
        <v>732</v>
      </c>
      <c r="AH88" s="108" t="s">
        <v>733</v>
      </c>
      <c r="AI88" s="108" t="s">
        <v>1400</v>
      </c>
      <c r="AJ88" s="108" t="s">
        <v>728</v>
      </c>
      <c r="AK88" s="108" t="s">
        <v>729</v>
      </c>
      <c r="AL88" s="37" t="s">
        <v>937</v>
      </c>
      <c r="AM88" s="108" t="s">
        <v>730</v>
      </c>
      <c r="AN88" s="108" t="s">
        <v>731</v>
      </c>
      <c r="AO88" s="108" t="s">
        <v>732</v>
      </c>
      <c r="AP88" s="108" t="s">
        <v>733</v>
      </c>
      <c r="AQ88" s="108" t="s">
        <v>1400</v>
      </c>
      <c r="AR88" s="108" t="s">
        <v>728</v>
      </c>
      <c r="AS88" s="108" t="s">
        <v>729</v>
      </c>
      <c r="AT88" s="37" t="s">
        <v>937</v>
      </c>
      <c r="AU88" s="108" t="s">
        <v>730</v>
      </c>
      <c r="AV88" s="108" t="s">
        <v>731</v>
      </c>
      <c r="AW88" s="108" t="s">
        <v>732</v>
      </c>
      <c r="AX88" s="108" t="s">
        <v>733</v>
      </c>
      <c r="AY88" s="108" t="s">
        <v>1400</v>
      </c>
      <c r="AZ88" s="108" t="s">
        <v>728</v>
      </c>
      <c r="BA88" s="108" t="s">
        <v>729</v>
      </c>
      <c r="BB88" s="37" t="s">
        <v>937</v>
      </c>
      <c r="BC88" s="108" t="s">
        <v>730</v>
      </c>
      <c r="BD88" s="108" t="s">
        <v>731</v>
      </c>
      <c r="BE88" s="109" t="s">
        <v>732</v>
      </c>
      <c r="BF88" s="110" t="s">
        <v>825</v>
      </c>
    </row>
    <row r="89" spans="1:59" ht="13.5" customHeight="1" x14ac:dyDescent="0.25">
      <c r="L89" s="111" t="s">
        <v>940</v>
      </c>
      <c r="M89" s="846" t="s">
        <v>271</v>
      </c>
      <c r="N89" s="847"/>
      <c r="O89" s="847"/>
      <c r="P89" s="847"/>
      <c r="Q89" s="847"/>
      <c r="R89" s="848"/>
      <c r="S89" s="112">
        <f>+S4+S5+S6+S7+S8+S9+S10+S19+S20+S21+S22+S23+S24+S25+S26+S27+S28+S29+S30+S31+S32+S33+S34+S35+S36+S37+S38+S39+S40+S41+S42+S43+S44+S45+S46+S47+S48+S49+S50+S51+S11</f>
        <v>12160</v>
      </c>
      <c r="T89" s="112">
        <f t="shared" ref="T89:BF89" si="30">+T4+T5+T6+T7+T8+T9+T10+T19+T20+T21+T22+T23+T24+T25+T26+T27+T28+T29+T30+T31+T32+T33+T34+T35+T36+T37+T38+T39+T40+T41+T42+T43+T44+T45+T46+T47+T48+T49+T50+T51+T11</f>
        <v>55</v>
      </c>
      <c r="U89" s="112">
        <f t="shared" si="30"/>
        <v>4977</v>
      </c>
      <c r="V89" s="112">
        <f t="shared" si="30"/>
        <v>500</v>
      </c>
      <c r="W89" s="112">
        <f t="shared" si="30"/>
        <v>0</v>
      </c>
      <c r="X89" s="112">
        <f t="shared" si="30"/>
        <v>0</v>
      </c>
      <c r="Y89" s="112">
        <f t="shared" si="30"/>
        <v>1040</v>
      </c>
      <c r="Z89" s="112">
        <f t="shared" si="30"/>
        <v>18732</v>
      </c>
      <c r="AA89" s="112">
        <f t="shared" si="30"/>
        <v>14575</v>
      </c>
      <c r="AB89" s="112">
        <f t="shared" si="30"/>
        <v>135</v>
      </c>
      <c r="AC89" s="112">
        <f t="shared" si="30"/>
        <v>5888</v>
      </c>
      <c r="AD89" s="112">
        <f t="shared" si="30"/>
        <v>2400</v>
      </c>
      <c r="AE89" s="112">
        <f t="shared" si="30"/>
        <v>0</v>
      </c>
      <c r="AF89" s="112">
        <f t="shared" si="30"/>
        <v>0</v>
      </c>
      <c r="AG89" s="112">
        <f t="shared" si="30"/>
        <v>40</v>
      </c>
      <c r="AH89" s="112">
        <f t="shared" si="30"/>
        <v>23038</v>
      </c>
      <c r="AI89" s="112">
        <f t="shared" si="30"/>
        <v>15088</v>
      </c>
      <c r="AJ89" s="112">
        <f t="shared" si="30"/>
        <v>10</v>
      </c>
      <c r="AK89" s="112">
        <f t="shared" si="30"/>
        <v>7860</v>
      </c>
      <c r="AL89" s="112">
        <f t="shared" si="30"/>
        <v>1000</v>
      </c>
      <c r="AM89" s="112">
        <f t="shared" si="30"/>
        <v>0</v>
      </c>
      <c r="AN89" s="112">
        <f t="shared" si="30"/>
        <v>0</v>
      </c>
      <c r="AO89" s="112">
        <f t="shared" si="30"/>
        <v>40</v>
      </c>
      <c r="AP89" s="112">
        <f t="shared" si="30"/>
        <v>23998</v>
      </c>
      <c r="AQ89" s="112">
        <f t="shared" si="30"/>
        <v>17478</v>
      </c>
      <c r="AR89" s="112">
        <f t="shared" si="30"/>
        <v>10</v>
      </c>
      <c r="AS89" s="112">
        <f t="shared" si="30"/>
        <v>9505</v>
      </c>
      <c r="AT89" s="112">
        <f t="shared" si="30"/>
        <v>900</v>
      </c>
      <c r="AU89" s="112">
        <f t="shared" si="30"/>
        <v>0</v>
      </c>
      <c r="AV89" s="112">
        <f t="shared" si="30"/>
        <v>0</v>
      </c>
      <c r="AW89" s="112">
        <f t="shared" si="30"/>
        <v>40</v>
      </c>
      <c r="AX89" s="112">
        <f t="shared" si="30"/>
        <v>27933</v>
      </c>
      <c r="AY89" s="112">
        <f t="shared" si="30"/>
        <v>59301</v>
      </c>
      <c r="AZ89" s="112">
        <f t="shared" si="30"/>
        <v>210</v>
      </c>
      <c r="BA89" s="112">
        <f t="shared" si="30"/>
        <v>28230</v>
      </c>
      <c r="BB89" s="112">
        <f t="shared" si="30"/>
        <v>4800</v>
      </c>
      <c r="BC89" s="112">
        <f t="shared" si="30"/>
        <v>0</v>
      </c>
      <c r="BD89" s="112">
        <f t="shared" si="30"/>
        <v>0</v>
      </c>
      <c r="BE89" s="112">
        <f t="shared" si="30"/>
        <v>1160</v>
      </c>
      <c r="BF89" s="112">
        <f t="shared" si="30"/>
        <v>93701</v>
      </c>
    </row>
    <row r="90" spans="1:59" ht="13.5" customHeight="1" thickBot="1" x14ac:dyDescent="0.3">
      <c r="L90" s="111" t="s">
        <v>941</v>
      </c>
      <c r="M90" s="885" t="s">
        <v>293</v>
      </c>
      <c r="N90" s="886"/>
      <c r="O90" s="886"/>
      <c r="P90" s="886"/>
      <c r="Q90" s="886"/>
      <c r="R90" s="887"/>
      <c r="S90" s="157">
        <f>+S52+S53+S54+S55</f>
        <v>15</v>
      </c>
      <c r="T90" s="157">
        <f t="shared" ref="T90:BF90" si="31">+T52+T53+T54+T55</f>
        <v>0</v>
      </c>
      <c r="U90" s="157">
        <f t="shared" si="31"/>
        <v>0</v>
      </c>
      <c r="V90" s="157">
        <f t="shared" si="31"/>
        <v>0</v>
      </c>
      <c r="W90" s="157">
        <f t="shared" si="31"/>
        <v>0</v>
      </c>
      <c r="X90" s="157">
        <f t="shared" si="31"/>
        <v>0</v>
      </c>
      <c r="Y90" s="157">
        <f t="shared" si="31"/>
        <v>0</v>
      </c>
      <c r="Z90" s="157">
        <f t="shared" si="31"/>
        <v>15</v>
      </c>
      <c r="AA90" s="157">
        <f t="shared" si="31"/>
        <v>75</v>
      </c>
      <c r="AB90" s="157">
        <f t="shared" si="31"/>
        <v>0</v>
      </c>
      <c r="AC90" s="157">
        <f t="shared" si="31"/>
        <v>0</v>
      </c>
      <c r="AD90" s="157">
        <f t="shared" si="31"/>
        <v>0</v>
      </c>
      <c r="AE90" s="157">
        <f t="shared" si="31"/>
        <v>0</v>
      </c>
      <c r="AF90" s="157">
        <f t="shared" si="31"/>
        <v>0</v>
      </c>
      <c r="AG90" s="157">
        <f t="shared" si="31"/>
        <v>0</v>
      </c>
      <c r="AH90" s="157">
        <f t="shared" si="31"/>
        <v>75</v>
      </c>
      <c r="AI90" s="157">
        <f t="shared" si="31"/>
        <v>65</v>
      </c>
      <c r="AJ90" s="157">
        <f t="shared" si="31"/>
        <v>0</v>
      </c>
      <c r="AK90" s="157">
        <f t="shared" si="31"/>
        <v>0</v>
      </c>
      <c r="AL90" s="157">
        <f t="shared" si="31"/>
        <v>0</v>
      </c>
      <c r="AM90" s="157">
        <f t="shared" si="31"/>
        <v>0</v>
      </c>
      <c r="AN90" s="157">
        <f t="shared" si="31"/>
        <v>0</v>
      </c>
      <c r="AO90" s="157">
        <f t="shared" si="31"/>
        <v>0</v>
      </c>
      <c r="AP90" s="157">
        <f t="shared" si="31"/>
        <v>65</v>
      </c>
      <c r="AQ90" s="157">
        <f t="shared" si="31"/>
        <v>65</v>
      </c>
      <c r="AR90" s="157">
        <f t="shared" si="31"/>
        <v>0</v>
      </c>
      <c r="AS90" s="157">
        <f t="shared" si="31"/>
        <v>0</v>
      </c>
      <c r="AT90" s="157">
        <f t="shared" si="31"/>
        <v>0</v>
      </c>
      <c r="AU90" s="157">
        <f t="shared" si="31"/>
        <v>0</v>
      </c>
      <c r="AV90" s="157">
        <f t="shared" si="31"/>
        <v>0</v>
      </c>
      <c r="AW90" s="157">
        <f t="shared" si="31"/>
        <v>0</v>
      </c>
      <c r="AX90" s="157">
        <f t="shared" si="31"/>
        <v>65</v>
      </c>
      <c r="AY90" s="157">
        <f t="shared" si="31"/>
        <v>220</v>
      </c>
      <c r="AZ90" s="157">
        <f t="shared" si="31"/>
        <v>0</v>
      </c>
      <c r="BA90" s="157">
        <f t="shared" si="31"/>
        <v>0</v>
      </c>
      <c r="BB90" s="157">
        <f t="shared" si="31"/>
        <v>0</v>
      </c>
      <c r="BC90" s="157">
        <f t="shared" si="31"/>
        <v>0</v>
      </c>
      <c r="BD90" s="157">
        <f t="shared" si="31"/>
        <v>0</v>
      </c>
      <c r="BE90" s="157">
        <f t="shared" si="31"/>
        <v>0</v>
      </c>
      <c r="BF90" s="157">
        <f t="shared" si="31"/>
        <v>220</v>
      </c>
    </row>
    <row r="91" spans="1:59" ht="13.5" customHeight="1" thickBot="1" x14ac:dyDescent="0.3">
      <c r="L91" s="111">
        <v>4.3</v>
      </c>
      <c r="M91" s="888" t="s">
        <v>1223</v>
      </c>
      <c r="N91" s="889"/>
      <c r="O91" s="889"/>
      <c r="P91" s="889"/>
      <c r="Q91" s="889"/>
      <c r="R91" s="890"/>
      <c r="S91" s="158">
        <f t="shared" ref="S91:BF91" si="32">+S56+S57+S58+S59+S60+S61+S62+S63+S64+S65+S66+S67+S68+S69+S70+S71+S72+S73+S74+S75+S76+S77+S78+S79+S81+S82</f>
        <v>76</v>
      </c>
      <c r="T91" s="158">
        <f t="shared" si="32"/>
        <v>5</v>
      </c>
      <c r="U91" s="158">
        <f t="shared" si="32"/>
        <v>0</v>
      </c>
      <c r="V91" s="158">
        <f t="shared" si="32"/>
        <v>310</v>
      </c>
      <c r="W91" s="158">
        <f t="shared" si="32"/>
        <v>0</v>
      </c>
      <c r="X91" s="158">
        <f t="shared" si="32"/>
        <v>0</v>
      </c>
      <c r="Y91" s="158">
        <f t="shared" si="32"/>
        <v>0</v>
      </c>
      <c r="Z91" s="158">
        <f t="shared" si="32"/>
        <v>391</v>
      </c>
      <c r="AA91" s="158">
        <f t="shared" si="32"/>
        <v>192</v>
      </c>
      <c r="AB91" s="158">
        <f t="shared" si="32"/>
        <v>5</v>
      </c>
      <c r="AC91" s="158">
        <f t="shared" si="32"/>
        <v>0</v>
      </c>
      <c r="AD91" s="158">
        <f t="shared" si="32"/>
        <v>1350</v>
      </c>
      <c r="AE91" s="158">
        <f t="shared" si="32"/>
        <v>0</v>
      </c>
      <c r="AF91" s="158">
        <f t="shared" si="32"/>
        <v>0</v>
      </c>
      <c r="AG91" s="158">
        <f t="shared" si="32"/>
        <v>3050</v>
      </c>
      <c r="AH91" s="158">
        <f t="shared" si="32"/>
        <v>4597</v>
      </c>
      <c r="AI91" s="158">
        <f t="shared" si="32"/>
        <v>330</v>
      </c>
      <c r="AJ91" s="158">
        <f t="shared" si="32"/>
        <v>5</v>
      </c>
      <c r="AK91" s="158">
        <f t="shared" si="32"/>
        <v>0</v>
      </c>
      <c r="AL91" s="158">
        <f t="shared" si="32"/>
        <v>800</v>
      </c>
      <c r="AM91" s="158">
        <f t="shared" si="32"/>
        <v>0</v>
      </c>
      <c r="AN91" s="158">
        <f t="shared" si="32"/>
        <v>0</v>
      </c>
      <c r="AO91" s="158">
        <f t="shared" si="32"/>
        <v>3000</v>
      </c>
      <c r="AP91" s="158">
        <f t="shared" si="32"/>
        <v>4135</v>
      </c>
      <c r="AQ91" s="158">
        <f t="shared" si="32"/>
        <v>230</v>
      </c>
      <c r="AR91" s="158">
        <f t="shared" si="32"/>
        <v>5</v>
      </c>
      <c r="AS91" s="158">
        <f t="shared" si="32"/>
        <v>0</v>
      </c>
      <c r="AT91" s="158">
        <f t="shared" si="32"/>
        <v>550</v>
      </c>
      <c r="AU91" s="158">
        <f t="shared" si="32"/>
        <v>0</v>
      </c>
      <c r="AV91" s="158">
        <f t="shared" si="32"/>
        <v>0</v>
      </c>
      <c r="AW91" s="158">
        <f t="shared" si="32"/>
        <v>0</v>
      </c>
      <c r="AX91" s="158">
        <f t="shared" si="32"/>
        <v>785</v>
      </c>
      <c r="AY91" s="158">
        <f t="shared" si="32"/>
        <v>828</v>
      </c>
      <c r="AZ91" s="158">
        <f t="shared" si="32"/>
        <v>20</v>
      </c>
      <c r="BA91" s="158">
        <f t="shared" si="32"/>
        <v>0</v>
      </c>
      <c r="BB91" s="158">
        <f t="shared" si="32"/>
        <v>3010</v>
      </c>
      <c r="BC91" s="158">
        <f t="shared" si="32"/>
        <v>0</v>
      </c>
      <c r="BD91" s="158">
        <f t="shared" si="32"/>
        <v>0</v>
      </c>
      <c r="BE91" s="158">
        <f t="shared" si="32"/>
        <v>6050</v>
      </c>
      <c r="BF91" s="158">
        <f t="shared" si="32"/>
        <v>9908</v>
      </c>
    </row>
    <row r="92" spans="1:59" ht="14.25" thickBot="1" x14ac:dyDescent="0.3">
      <c r="M92" s="836" t="s">
        <v>823</v>
      </c>
      <c r="N92" s="837"/>
      <c r="O92" s="837"/>
      <c r="P92" s="837"/>
      <c r="Q92" s="837"/>
      <c r="R92" s="838"/>
      <c r="S92" s="113">
        <f>SUM(S89:S91)</f>
        <v>12251</v>
      </c>
      <c r="T92" s="114">
        <f t="shared" ref="T92:BF92" si="33">SUM(T89:T91)</f>
        <v>60</v>
      </c>
      <c r="U92" s="114">
        <f t="shared" si="33"/>
        <v>4977</v>
      </c>
      <c r="V92" s="114">
        <f t="shared" si="33"/>
        <v>810</v>
      </c>
      <c r="W92" s="114">
        <f t="shared" si="33"/>
        <v>0</v>
      </c>
      <c r="X92" s="114">
        <f t="shared" si="33"/>
        <v>0</v>
      </c>
      <c r="Y92" s="114">
        <f t="shared" si="33"/>
        <v>1040</v>
      </c>
      <c r="Z92" s="114">
        <f t="shared" si="33"/>
        <v>19138</v>
      </c>
      <c r="AA92" s="114">
        <f t="shared" si="33"/>
        <v>14842</v>
      </c>
      <c r="AB92" s="114">
        <f t="shared" si="33"/>
        <v>140</v>
      </c>
      <c r="AC92" s="114">
        <f t="shared" si="33"/>
        <v>5888</v>
      </c>
      <c r="AD92" s="114">
        <f t="shared" si="33"/>
        <v>3750</v>
      </c>
      <c r="AE92" s="114">
        <f t="shared" si="33"/>
        <v>0</v>
      </c>
      <c r="AF92" s="114">
        <f t="shared" si="33"/>
        <v>0</v>
      </c>
      <c r="AG92" s="114">
        <f t="shared" si="33"/>
        <v>3090</v>
      </c>
      <c r="AH92" s="114">
        <f t="shared" si="33"/>
        <v>27710</v>
      </c>
      <c r="AI92" s="114">
        <f t="shared" si="33"/>
        <v>15483</v>
      </c>
      <c r="AJ92" s="114">
        <f t="shared" si="33"/>
        <v>15</v>
      </c>
      <c r="AK92" s="114">
        <f t="shared" si="33"/>
        <v>7860</v>
      </c>
      <c r="AL92" s="114">
        <f t="shared" si="33"/>
        <v>1800</v>
      </c>
      <c r="AM92" s="114">
        <f t="shared" si="33"/>
        <v>0</v>
      </c>
      <c r="AN92" s="114">
        <f t="shared" si="33"/>
        <v>0</v>
      </c>
      <c r="AO92" s="114">
        <f t="shared" si="33"/>
        <v>3040</v>
      </c>
      <c r="AP92" s="114">
        <f t="shared" si="33"/>
        <v>28198</v>
      </c>
      <c r="AQ92" s="114">
        <f t="shared" si="33"/>
        <v>17773</v>
      </c>
      <c r="AR92" s="114">
        <f t="shared" si="33"/>
        <v>15</v>
      </c>
      <c r="AS92" s="114">
        <f t="shared" si="33"/>
        <v>9505</v>
      </c>
      <c r="AT92" s="114">
        <f t="shared" si="33"/>
        <v>1450</v>
      </c>
      <c r="AU92" s="114">
        <f t="shared" si="33"/>
        <v>0</v>
      </c>
      <c r="AV92" s="114">
        <f t="shared" si="33"/>
        <v>0</v>
      </c>
      <c r="AW92" s="114">
        <f t="shared" si="33"/>
        <v>40</v>
      </c>
      <c r="AX92" s="114">
        <f t="shared" si="33"/>
        <v>28783</v>
      </c>
      <c r="AY92" s="114">
        <f t="shared" si="33"/>
        <v>60349</v>
      </c>
      <c r="AZ92" s="114">
        <f t="shared" si="33"/>
        <v>230</v>
      </c>
      <c r="BA92" s="114">
        <f t="shared" si="33"/>
        <v>28230</v>
      </c>
      <c r="BB92" s="114">
        <f t="shared" si="33"/>
        <v>7810</v>
      </c>
      <c r="BC92" s="114">
        <f t="shared" si="33"/>
        <v>0</v>
      </c>
      <c r="BD92" s="114">
        <f t="shared" si="33"/>
        <v>0</v>
      </c>
      <c r="BE92" s="114">
        <f t="shared" si="33"/>
        <v>7210</v>
      </c>
      <c r="BF92" s="115">
        <f t="shared" si="33"/>
        <v>103829</v>
      </c>
    </row>
    <row r="93" spans="1:59" x14ac:dyDescent="0.25">
      <c r="S93" s="80">
        <f>+S83-S92</f>
        <v>0</v>
      </c>
      <c r="T93" s="80">
        <f t="shared" ref="T93:BF93" si="34">+T83-T92</f>
        <v>0</v>
      </c>
      <c r="U93" s="80">
        <f t="shared" si="34"/>
        <v>0</v>
      </c>
      <c r="V93" s="80">
        <f t="shared" si="34"/>
        <v>0</v>
      </c>
      <c r="W93" s="80">
        <f t="shared" si="34"/>
        <v>0</v>
      </c>
      <c r="X93" s="80">
        <f t="shared" si="34"/>
        <v>0</v>
      </c>
      <c r="Y93" s="80">
        <f t="shared" si="34"/>
        <v>0</v>
      </c>
      <c r="Z93" s="80">
        <f t="shared" si="34"/>
        <v>0</v>
      </c>
      <c r="AA93" s="80">
        <f t="shared" si="34"/>
        <v>0</v>
      </c>
      <c r="AB93" s="80">
        <f t="shared" si="34"/>
        <v>0</v>
      </c>
      <c r="AC93" s="80">
        <f t="shared" si="34"/>
        <v>0</v>
      </c>
      <c r="AD93" s="80">
        <f t="shared" si="34"/>
        <v>0</v>
      </c>
      <c r="AE93" s="80">
        <f t="shared" si="34"/>
        <v>0</v>
      </c>
      <c r="AF93" s="80">
        <f t="shared" si="34"/>
        <v>0</v>
      </c>
      <c r="AG93" s="80">
        <f t="shared" si="34"/>
        <v>0</v>
      </c>
      <c r="AH93" s="80">
        <f t="shared" si="34"/>
        <v>0</v>
      </c>
      <c r="AI93" s="80"/>
      <c r="AJ93" s="80">
        <f t="shared" si="34"/>
        <v>0</v>
      </c>
      <c r="AK93" s="80">
        <f t="shared" si="34"/>
        <v>0</v>
      </c>
      <c r="AL93" s="80">
        <f t="shared" si="34"/>
        <v>0</v>
      </c>
      <c r="AM93" s="80">
        <f t="shared" si="34"/>
        <v>0</v>
      </c>
      <c r="AN93" s="80">
        <f t="shared" si="34"/>
        <v>0</v>
      </c>
      <c r="AO93" s="80">
        <f t="shared" si="34"/>
        <v>0</v>
      </c>
      <c r="AP93" s="80">
        <f t="shared" si="34"/>
        <v>0</v>
      </c>
      <c r="AQ93" s="80">
        <f t="shared" si="34"/>
        <v>0</v>
      </c>
      <c r="AR93" s="80">
        <f t="shared" si="34"/>
        <v>0</v>
      </c>
      <c r="AS93" s="80">
        <f t="shared" si="34"/>
        <v>0</v>
      </c>
      <c r="AT93" s="80">
        <f t="shared" si="34"/>
        <v>0</v>
      </c>
      <c r="AU93" s="80">
        <f t="shared" si="34"/>
        <v>0</v>
      </c>
      <c r="AV93" s="80">
        <f t="shared" si="34"/>
        <v>0</v>
      </c>
      <c r="AW93" s="80">
        <f t="shared" si="34"/>
        <v>0</v>
      </c>
      <c r="AX93" s="80">
        <f t="shared" si="34"/>
        <v>0</v>
      </c>
      <c r="AY93" s="80">
        <f t="shared" si="34"/>
        <v>0</v>
      </c>
      <c r="AZ93" s="80">
        <f t="shared" si="34"/>
        <v>0</v>
      </c>
      <c r="BA93" s="80">
        <f t="shared" si="34"/>
        <v>0</v>
      </c>
      <c r="BB93" s="80">
        <f t="shared" si="34"/>
        <v>0</v>
      </c>
      <c r="BC93" s="80">
        <f t="shared" si="34"/>
        <v>0</v>
      </c>
      <c r="BD93" s="80">
        <f t="shared" si="34"/>
        <v>0</v>
      </c>
      <c r="BE93" s="80">
        <f t="shared" si="34"/>
        <v>0</v>
      </c>
      <c r="BF93" s="80">
        <f t="shared" si="34"/>
        <v>0</v>
      </c>
    </row>
    <row r="94" spans="1:59" x14ac:dyDescent="0.25"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</row>
    <row r="95" spans="1:59" x14ac:dyDescent="0.25"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</row>
    <row r="96" spans="1:59" x14ac:dyDescent="0.25"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81"/>
      <c r="BF96" s="81"/>
    </row>
  </sheetData>
  <mergeCells count="141">
    <mergeCell ref="M88:R88"/>
    <mergeCell ref="M89:R89"/>
    <mergeCell ref="M90:R90"/>
    <mergeCell ref="M92:R92"/>
    <mergeCell ref="M91:R91"/>
    <mergeCell ref="BC79:BC80"/>
    <mergeCell ref="BD79:BD80"/>
    <mergeCell ref="BE79:BE80"/>
    <mergeCell ref="BF79:BF80"/>
    <mergeCell ref="M86:R87"/>
    <mergeCell ref="S86:BF86"/>
    <mergeCell ref="S87:Z87"/>
    <mergeCell ref="AA87:AH87"/>
    <mergeCell ref="AI87:AP87"/>
    <mergeCell ref="AQ87:AX87"/>
    <mergeCell ref="AY87:BF87"/>
    <mergeCell ref="AX79:AX80"/>
    <mergeCell ref="AY79:AY80"/>
    <mergeCell ref="AZ79:AZ80"/>
    <mergeCell ref="BA79:BA80"/>
    <mergeCell ref="BB79:BB80"/>
    <mergeCell ref="AS79:AS80"/>
    <mergeCell ref="AT79:AT80"/>
    <mergeCell ref="AU79:AU80"/>
    <mergeCell ref="AV79:AV80"/>
    <mergeCell ref="AW79:AW80"/>
    <mergeCell ref="AN79:AN80"/>
    <mergeCell ref="AO79:AO80"/>
    <mergeCell ref="AP79:AP80"/>
    <mergeCell ref="AQ79:AQ80"/>
    <mergeCell ref="AR79:AR80"/>
    <mergeCell ref="AI79:AI80"/>
    <mergeCell ref="AJ79:AJ80"/>
    <mergeCell ref="AK79:AK80"/>
    <mergeCell ref="AL79:AL80"/>
    <mergeCell ref="AM79:AM80"/>
    <mergeCell ref="AD79:AD80"/>
    <mergeCell ref="AE79:AE80"/>
    <mergeCell ref="AF79:AF80"/>
    <mergeCell ref="AG79:AG80"/>
    <mergeCell ref="AH79:AH80"/>
    <mergeCell ref="Y79:Y80"/>
    <mergeCell ref="Z79:Z80"/>
    <mergeCell ref="AA79:AA80"/>
    <mergeCell ref="AB79:AB80"/>
    <mergeCell ref="AC79:AC80"/>
    <mergeCell ref="G19:G22"/>
    <mergeCell ref="F19:F22"/>
    <mergeCell ref="E4:E8"/>
    <mergeCell ref="H4:H8"/>
    <mergeCell ref="T79:T80"/>
    <mergeCell ref="U79:U80"/>
    <mergeCell ref="V79:V80"/>
    <mergeCell ref="W79:W80"/>
    <mergeCell ref="X79:X80"/>
    <mergeCell ref="J79:J82"/>
    <mergeCell ref="H74:H77"/>
    <mergeCell ref="I74:I77"/>
    <mergeCell ref="J74:J77"/>
    <mergeCell ref="S79:S80"/>
    <mergeCell ref="I56:I63"/>
    <mergeCell ref="J56:J63"/>
    <mergeCell ref="H64:H73"/>
    <mergeCell ref="I64:I73"/>
    <mergeCell ref="J64:J73"/>
    <mergeCell ref="H79:H82"/>
    <mergeCell ref="I79:I82"/>
    <mergeCell ref="I19:I22"/>
    <mergeCell ref="H19:H22"/>
    <mergeCell ref="A83:C83"/>
    <mergeCell ref="E83:G83"/>
    <mergeCell ref="H83:J83"/>
    <mergeCell ref="J38:J40"/>
    <mergeCell ref="J23:J37"/>
    <mergeCell ref="D28:D46"/>
    <mergeCell ref="E28:E46"/>
    <mergeCell ref="F28:F46"/>
    <mergeCell ref="G28:G46"/>
    <mergeCell ref="J41:J46"/>
    <mergeCell ref="H47:H51"/>
    <mergeCell ref="I47:I51"/>
    <mergeCell ref="F52:F55"/>
    <mergeCell ref="G52:G55"/>
    <mergeCell ref="H52:H54"/>
    <mergeCell ref="I52:I54"/>
    <mergeCell ref="A4:A82"/>
    <mergeCell ref="B56:B82"/>
    <mergeCell ref="C56:C82"/>
    <mergeCell ref="D56:D82"/>
    <mergeCell ref="E56:E82"/>
    <mergeCell ref="F56:F82"/>
    <mergeCell ref="G56:G82"/>
    <mergeCell ref="H56:H63"/>
    <mergeCell ref="K83:R83"/>
    <mergeCell ref="K29:K30"/>
    <mergeCell ref="K31:K32"/>
    <mergeCell ref="K33:K34"/>
    <mergeCell ref="K35:K36"/>
    <mergeCell ref="K79:K80"/>
    <mergeCell ref="B52:B55"/>
    <mergeCell ref="C52:C55"/>
    <mergeCell ref="D52:D55"/>
    <mergeCell ref="E52:E55"/>
    <mergeCell ref="B4:B51"/>
    <mergeCell ref="C4:C51"/>
    <mergeCell ref="D9:D18"/>
    <mergeCell ref="E9:E18"/>
    <mergeCell ref="D23:D26"/>
    <mergeCell ref="E23:E26"/>
    <mergeCell ref="D49:D51"/>
    <mergeCell ref="E19:E22"/>
    <mergeCell ref="D19:D22"/>
    <mergeCell ref="H9:H18"/>
    <mergeCell ref="I9:I18"/>
    <mergeCell ref="D4:D8"/>
    <mergeCell ref="J4:J8"/>
    <mergeCell ref="I4:I8"/>
    <mergeCell ref="S1:BF1"/>
    <mergeCell ref="A1:R1"/>
    <mergeCell ref="A2:A3"/>
    <mergeCell ref="J9:J18"/>
    <mergeCell ref="G23:G26"/>
    <mergeCell ref="H23:H46"/>
    <mergeCell ref="I23:I46"/>
    <mergeCell ref="F4:F8"/>
    <mergeCell ref="G4:G8"/>
    <mergeCell ref="F9:F18"/>
    <mergeCell ref="F23:F26"/>
    <mergeCell ref="G9:G18"/>
    <mergeCell ref="B2:C3"/>
    <mergeCell ref="H2:I3"/>
    <mergeCell ref="J2:J3"/>
    <mergeCell ref="K2:N2"/>
    <mergeCell ref="AY2:BF2"/>
    <mergeCell ref="AQ2:AX2"/>
    <mergeCell ref="AA2:AH2"/>
    <mergeCell ref="AI2:AP2"/>
    <mergeCell ref="O2:R2"/>
    <mergeCell ref="S2:Z2"/>
    <mergeCell ref="D2:G2"/>
    <mergeCell ref="J19:J22"/>
  </mergeCells>
  <phoneticPr fontId="3" type="noConversion"/>
  <printOptions horizontalCentered="1"/>
  <pageMargins left="0.70866141732283472" right="0.70866141732283472" top="0.94488188976377963" bottom="0.74803149606299213" header="0.31496062992125984" footer="0.31496062992125984"/>
  <pageSetup paperSize="5" orientation="landscape" r:id="rId1"/>
  <headerFooter>
    <oddHeader>&amp;L&amp;"Arial Narrow,Normal"&amp;10DEPARTAMENTO DEL MAGDALENA&amp;C&amp;"Arial Narrow,Normal"&amp;10PLAN DE DESARROLLO 2012 - 2015&amp;R&amp;"Arial Narrow,Normal"&amp;10PLAN PLURIANUAL DE INVERSIONES (en millones $)</oddHeader>
    <oddFooter>&amp;C&amp;P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topLeftCell="A7" zoomScale="90" zoomScaleNormal="90" workbookViewId="0">
      <selection activeCell="G15" sqref="G15"/>
    </sheetView>
  </sheetViews>
  <sheetFormatPr baseColWidth="10" defaultColWidth="11.42578125" defaultRowHeight="15.75" x14ac:dyDescent="0.25"/>
  <cols>
    <col min="1" max="1" width="25.7109375" style="160" customWidth="1"/>
    <col min="2" max="5" width="11.5703125" style="159" bestFit="1" customWidth="1"/>
    <col min="6" max="6" width="15.7109375" style="159" bestFit="1" customWidth="1"/>
    <col min="7" max="7" width="13" style="159" bestFit="1" customWidth="1"/>
    <col min="8" max="9" width="11.5703125" style="159" bestFit="1" customWidth="1"/>
    <col min="10" max="13" width="11.42578125" style="159"/>
    <col min="14" max="17" width="11.5703125" style="159" bestFit="1" customWidth="1"/>
    <col min="18" max="18" width="13" style="159" customWidth="1"/>
    <col min="19" max="20" width="11.5703125" style="159" bestFit="1" customWidth="1"/>
    <col min="21" max="21" width="12.85546875" style="159" customWidth="1"/>
    <col min="22" max="22" width="12.85546875" style="159" bestFit="1" customWidth="1"/>
    <col min="23" max="16384" width="11.42578125" style="159"/>
  </cols>
  <sheetData>
    <row r="1" spans="1:10" x14ac:dyDescent="0.25">
      <c r="A1" s="161" t="s">
        <v>1341</v>
      </c>
      <c r="B1" s="161" t="s">
        <v>1280</v>
      </c>
      <c r="C1" s="161" t="s">
        <v>1281</v>
      </c>
      <c r="D1" s="161" t="s">
        <v>1282</v>
      </c>
      <c r="E1" s="161" t="s">
        <v>1283</v>
      </c>
      <c r="F1" s="161" t="s">
        <v>1285</v>
      </c>
      <c r="G1" s="168"/>
      <c r="H1" s="168"/>
      <c r="I1" s="168"/>
      <c r="J1" s="168"/>
    </row>
    <row r="2" spans="1:10" ht="16.5" x14ac:dyDescent="0.25">
      <c r="A2" s="162" t="s">
        <v>1400</v>
      </c>
      <c r="B2" s="163">
        <f>+'O1 POBLACION'!AY334</f>
        <v>3094</v>
      </c>
      <c r="C2" s="164">
        <f>+'O2 TERRITORIO'!AY117</f>
        <v>3606</v>
      </c>
      <c r="D2" s="163">
        <f>+'O3 ECONOMIA'!AX58</f>
        <v>3510</v>
      </c>
      <c r="E2" s="165">
        <f>+'O4 INSTITUCIONALIDAD'!AY92</f>
        <v>60349</v>
      </c>
      <c r="F2" s="166">
        <f>SUM(B2:E2)</f>
        <v>70559</v>
      </c>
      <c r="G2" s="168"/>
      <c r="H2" s="168"/>
      <c r="I2" s="168"/>
      <c r="J2" s="168"/>
    </row>
    <row r="3" spans="1:10" ht="16.5" x14ac:dyDescent="0.25">
      <c r="A3" s="162" t="s">
        <v>728</v>
      </c>
      <c r="B3" s="163">
        <f>+'O1 POBLACION'!AZ334</f>
        <v>1381519.183888</v>
      </c>
      <c r="C3" s="164">
        <f>+'O2 TERRITORIO'!AZ117</f>
        <v>6705.1999999999989</v>
      </c>
      <c r="D3" s="163">
        <f>+'O3 ECONOMIA'!AY69</f>
        <v>0</v>
      </c>
      <c r="E3" s="165">
        <f>+'O4 INSTITUCIONALIDAD'!AZ92</f>
        <v>230</v>
      </c>
      <c r="F3" s="166">
        <f t="shared" ref="F3:F9" si="0">SUM(B3:E3)</f>
        <v>1388454.3838879999</v>
      </c>
      <c r="G3" s="168"/>
      <c r="H3" s="168"/>
      <c r="I3" s="168"/>
      <c r="J3" s="168"/>
    </row>
    <row r="4" spans="1:10" ht="16.5" x14ac:dyDescent="0.25">
      <c r="A4" s="162" t="s">
        <v>729</v>
      </c>
      <c r="B4" s="163">
        <f>+'O1 POBLACION'!BA334</f>
        <v>35727</v>
      </c>
      <c r="C4" s="164">
        <f>+'O2 TERRITORIO'!BA117</f>
        <v>84</v>
      </c>
      <c r="D4" s="163">
        <f>+'O3 ECONOMIA'!AZ69</f>
        <v>0</v>
      </c>
      <c r="E4" s="165">
        <f>+'O4 INSTITUCIONALIDAD'!BA92</f>
        <v>28230</v>
      </c>
      <c r="F4" s="166">
        <f t="shared" si="0"/>
        <v>64041</v>
      </c>
      <c r="G4" s="168"/>
      <c r="H4" s="168"/>
      <c r="I4" s="168"/>
      <c r="J4" s="168"/>
    </row>
    <row r="5" spans="1:10" ht="16.5" x14ac:dyDescent="0.25">
      <c r="A5" s="167" t="s">
        <v>937</v>
      </c>
      <c r="B5" s="163">
        <f>+'O1 POBLACION'!BB334</f>
        <v>108378.39999999998</v>
      </c>
      <c r="C5" s="164">
        <f>+'O2 TERRITORIO'!BB117</f>
        <v>383076.48</v>
      </c>
      <c r="D5" s="163">
        <f>+'O3 ECONOMIA'!BA69</f>
        <v>1028389</v>
      </c>
      <c r="E5" s="165">
        <f>+'O4 INSTITUCIONALIDAD'!BB92</f>
        <v>7810</v>
      </c>
      <c r="F5" s="166">
        <f t="shared" si="0"/>
        <v>1527653.88</v>
      </c>
      <c r="G5" s="168"/>
      <c r="H5" s="168"/>
      <c r="I5" s="168"/>
      <c r="J5" s="168"/>
    </row>
    <row r="6" spans="1:10" ht="16.5" x14ac:dyDescent="0.25">
      <c r="A6" s="162" t="s">
        <v>730</v>
      </c>
      <c r="B6" s="163">
        <f>+'O1 POBLACION'!BC334</f>
        <v>2980</v>
      </c>
      <c r="C6" s="164">
        <f>+'O2 TERRITORIO'!BC117</f>
        <v>2642</v>
      </c>
      <c r="D6" s="163">
        <f>+'O3 ECONOMIA'!BB69</f>
        <v>0</v>
      </c>
      <c r="E6" s="165">
        <f>+'O4 INSTITUCIONALIDAD'!BC92</f>
        <v>0</v>
      </c>
      <c r="F6" s="166">
        <f t="shared" si="0"/>
        <v>5622</v>
      </c>
      <c r="G6" s="168"/>
      <c r="H6" s="168"/>
      <c r="I6" s="168"/>
      <c r="J6" s="168"/>
    </row>
    <row r="7" spans="1:10" ht="16.5" x14ac:dyDescent="0.25">
      <c r="A7" s="162" t="s">
        <v>731</v>
      </c>
      <c r="B7" s="163">
        <f>+'O1 POBLACION'!BD334</f>
        <v>114734.29999999997</v>
      </c>
      <c r="C7" s="164">
        <f>+'O2 TERRITORIO'!BD117</f>
        <v>14377</v>
      </c>
      <c r="D7" s="163">
        <f>+'O3 ECONOMIA'!BC69</f>
        <v>347004</v>
      </c>
      <c r="E7" s="165">
        <f>+'O4 INSTITUCIONALIDAD'!BD92</f>
        <v>0</v>
      </c>
      <c r="F7" s="166">
        <f t="shared" si="0"/>
        <v>476115.3</v>
      </c>
      <c r="G7" s="168"/>
      <c r="H7" s="168"/>
      <c r="I7" s="168"/>
      <c r="J7" s="168"/>
    </row>
    <row r="8" spans="1:10" ht="16.5" x14ac:dyDescent="0.25">
      <c r="A8" s="162" t="s">
        <v>732</v>
      </c>
      <c r="B8" s="163">
        <f>+'O1 POBLACION'!BE334</f>
        <v>367663.3</v>
      </c>
      <c r="C8" s="164">
        <f>+'O2 TERRITORIO'!BE117</f>
        <v>107716</v>
      </c>
      <c r="D8" s="163">
        <f>+'O3 ECONOMIA'!BD69</f>
        <v>271680</v>
      </c>
      <c r="E8" s="165">
        <f>+'O4 INSTITUCIONALIDAD'!BE92</f>
        <v>7210</v>
      </c>
      <c r="F8" s="166">
        <f t="shared" si="0"/>
        <v>754269.3</v>
      </c>
      <c r="G8" s="168"/>
      <c r="H8" s="168"/>
      <c r="I8" s="168"/>
      <c r="J8" s="168"/>
    </row>
    <row r="9" spans="1:10" x14ac:dyDescent="0.25">
      <c r="A9" s="162" t="s">
        <v>1284</v>
      </c>
      <c r="B9" s="166">
        <f>SUM(B2:B8)</f>
        <v>2014096.183888</v>
      </c>
      <c r="C9" s="166">
        <f>SUM(C2:C8)</f>
        <v>518206.68</v>
      </c>
      <c r="D9" s="166">
        <f>SUM(D2:D8)</f>
        <v>1650583</v>
      </c>
      <c r="E9" s="166">
        <f>SUM(E2:E8)</f>
        <v>103829</v>
      </c>
      <c r="F9" s="166">
        <f t="shared" si="0"/>
        <v>4286714.8638880001</v>
      </c>
      <c r="G9" s="168"/>
      <c r="H9" s="168"/>
      <c r="I9" s="168"/>
      <c r="J9" s="168"/>
    </row>
    <row r="10" spans="1:10" x14ac:dyDescent="0.25">
      <c r="G10" s="168"/>
      <c r="H10" s="168"/>
      <c r="I10" s="168"/>
      <c r="J10" s="168"/>
    </row>
    <row r="11" spans="1:10" x14ac:dyDescent="0.25">
      <c r="G11" s="168"/>
      <c r="H11" s="168"/>
      <c r="I11" s="168"/>
      <c r="J11" s="168"/>
    </row>
    <row r="12" spans="1:10" x14ac:dyDescent="0.25">
      <c r="F12" s="170"/>
      <c r="G12" s="168"/>
      <c r="H12" s="168"/>
      <c r="I12" s="168"/>
      <c r="J12" s="168"/>
    </row>
    <row r="13" spans="1:10" x14ac:dyDescent="0.25">
      <c r="G13" s="168"/>
      <c r="H13" s="168"/>
      <c r="I13" s="168"/>
      <c r="J13" s="168"/>
    </row>
    <row r="14" spans="1:10" x14ac:dyDescent="0.25">
      <c r="G14" s="168"/>
      <c r="H14" s="168"/>
      <c r="I14" s="168"/>
      <c r="J14" s="168"/>
    </row>
    <row r="15" spans="1:10" x14ac:dyDescent="0.25">
      <c r="G15" s="168"/>
      <c r="H15" s="168"/>
      <c r="I15" s="168"/>
      <c r="J15" s="168"/>
    </row>
    <row r="16" spans="1:10" x14ac:dyDescent="0.25">
      <c r="G16" s="168"/>
      <c r="H16" s="168"/>
      <c r="I16" s="168"/>
      <c r="J16" s="168"/>
    </row>
    <row r="18" spans="1:25" x14ac:dyDescent="0.25">
      <c r="G18" s="170"/>
      <c r="H18" s="170"/>
    </row>
    <row r="19" spans="1:25" x14ac:dyDescent="0.25">
      <c r="F19" s="169"/>
      <c r="G19" s="170"/>
    </row>
    <row r="20" spans="1:25" x14ac:dyDescent="0.25">
      <c r="G20" s="170"/>
    </row>
    <row r="21" spans="1:25" x14ac:dyDescent="0.25">
      <c r="F21" s="169"/>
      <c r="G21" s="168"/>
      <c r="H21" s="170"/>
    </row>
    <row r="25" spans="1:25" x14ac:dyDescent="0.25">
      <c r="B25" s="168"/>
      <c r="C25" s="168"/>
      <c r="D25" s="168"/>
      <c r="E25" s="168"/>
    </row>
    <row r="26" spans="1:25" x14ac:dyDescent="0.25">
      <c r="B26" s="170"/>
      <c r="C26" s="170"/>
      <c r="D26" s="170"/>
      <c r="E26" s="170"/>
    </row>
    <row r="27" spans="1:25" x14ac:dyDescent="0.25">
      <c r="A27" s="906" t="s">
        <v>1402</v>
      </c>
      <c r="B27" s="906" t="s">
        <v>1280</v>
      </c>
      <c r="C27" s="906"/>
      <c r="D27" s="906"/>
      <c r="E27" s="906"/>
      <c r="F27" s="906" t="s">
        <v>1281</v>
      </c>
      <c r="G27" s="906"/>
      <c r="H27" s="906"/>
      <c r="I27" s="906"/>
      <c r="J27" s="906" t="s">
        <v>1282</v>
      </c>
      <c r="K27" s="906"/>
      <c r="L27" s="906"/>
      <c r="M27" s="906"/>
      <c r="N27" s="906" t="s">
        <v>1283</v>
      </c>
      <c r="O27" s="906"/>
      <c r="P27" s="906"/>
      <c r="Q27" s="907"/>
      <c r="R27" s="906" t="s">
        <v>823</v>
      </c>
      <c r="S27" s="906"/>
      <c r="T27" s="906"/>
      <c r="U27" s="906"/>
      <c r="V27" s="906" t="s">
        <v>823</v>
      </c>
    </row>
    <row r="28" spans="1:25" x14ac:dyDescent="0.25">
      <c r="A28" s="906"/>
      <c r="B28" s="211">
        <v>2012</v>
      </c>
      <c r="C28" s="211">
        <v>2013</v>
      </c>
      <c r="D28" s="211">
        <v>2014</v>
      </c>
      <c r="E28" s="211">
        <v>2015</v>
      </c>
      <c r="F28" s="211">
        <v>2012</v>
      </c>
      <c r="G28" s="211">
        <v>2013</v>
      </c>
      <c r="H28" s="211">
        <v>2014</v>
      </c>
      <c r="I28" s="211">
        <v>2015</v>
      </c>
      <c r="J28" s="211">
        <v>2012</v>
      </c>
      <c r="K28" s="211">
        <v>2013</v>
      </c>
      <c r="L28" s="211">
        <v>2014</v>
      </c>
      <c r="M28" s="211">
        <v>2015</v>
      </c>
      <c r="N28" s="211">
        <v>2012</v>
      </c>
      <c r="O28" s="211">
        <v>2013</v>
      </c>
      <c r="P28" s="211">
        <v>2014</v>
      </c>
      <c r="Q28" s="212">
        <v>2015</v>
      </c>
      <c r="R28" s="211">
        <v>2012</v>
      </c>
      <c r="S28" s="211">
        <v>2013</v>
      </c>
      <c r="T28" s="211">
        <v>2014</v>
      </c>
      <c r="U28" s="211">
        <v>2015</v>
      </c>
      <c r="V28" s="906"/>
    </row>
    <row r="29" spans="1:25" x14ac:dyDescent="0.25">
      <c r="A29" s="162" t="s">
        <v>1400</v>
      </c>
      <c r="B29" s="210">
        <f>+'O1 POBLACION'!S318</f>
        <v>238</v>
      </c>
      <c r="C29" s="210">
        <f>+'O1 POBLACION'!AA318</f>
        <v>579</v>
      </c>
      <c r="D29" s="210">
        <f>+'O1 POBLACION'!AI318</f>
        <v>1120</v>
      </c>
      <c r="E29" s="210">
        <f>+'O1 POBLACION'!AQ318</f>
        <v>1157</v>
      </c>
      <c r="F29" s="214">
        <f>+'O2 TERRITORIO'!S105</f>
        <v>265</v>
      </c>
      <c r="G29" s="214">
        <f>+'O2 TERRITORIO'!AA105</f>
        <v>1077</v>
      </c>
      <c r="H29" s="214">
        <f>+'O2 TERRITORIO'!AI105</f>
        <v>1142</v>
      </c>
      <c r="I29" s="214">
        <f>+'O2 TERRITORIO'!AQ105</f>
        <v>1122</v>
      </c>
      <c r="J29" s="214">
        <f>+'O3 ECONOMIA'!R58</f>
        <v>485</v>
      </c>
      <c r="K29" s="214">
        <f>+'O3 ECONOMIA'!Z58</f>
        <v>450</v>
      </c>
      <c r="L29" s="214">
        <f>+'O3 ECONOMIA'!AH58</f>
        <v>1175</v>
      </c>
      <c r="M29" s="214">
        <f>+'O3 ECONOMIA'!AP58</f>
        <v>1400</v>
      </c>
      <c r="N29" s="214">
        <f>+'O4 INSTITUCIONALIDAD'!S83</f>
        <v>12251</v>
      </c>
      <c r="O29" s="214">
        <f>+'O4 INSTITUCIONALIDAD'!AA83</f>
        <v>14842</v>
      </c>
      <c r="P29" s="214">
        <f>+'O4 INSTITUCIONALIDAD'!AI83</f>
        <v>15483</v>
      </c>
      <c r="Q29" s="214">
        <f>+'O4 INSTITUCIONALIDAD'!AQ83</f>
        <v>17773</v>
      </c>
      <c r="R29" s="213">
        <f t="shared" ref="R29:R35" si="1">+B29+F29+J29+N29</f>
        <v>13239</v>
      </c>
      <c r="S29" s="213">
        <f t="shared" ref="S29:U31" si="2">+C29+G29+K29+O29</f>
        <v>16948</v>
      </c>
      <c r="T29" s="213">
        <f t="shared" si="2"/>
        <v>18920</v>
      </c>
      <c r="U29" s="213">
        <f t="shared" si="2"/>
        <v>21452</v>
      </c>
      <c r="V29" s="242">
        <f t="shared" ref="V29:V35" si="3">+R29+S29+T29+U29</f>
        <v>70559</v>
      </c>
    </row>
    <row r="30" spans="1:25" x14ac:dyDescent="0.25">
      <c r="A30" s="162" t="s">
        <v>728</v>
      </c>
      <c r="B30" s="213">
        <f>+'O1 POBLACION'!T334</f>
        <v>357938.92</v>
      </c>
      <c r="C30" s="213">
        <f>+'O1 POBLACION'!AB334</f>
        <v>341989.05440000002</v>
      </c>
      <c r="D30" s="213">
        <f>+'O1 POBLACION'!AJ334</f>
        <v>339843.50948800001</v>
      </c>
      <c r="E30" s="213">
        <f>+'O1 POBLACION'!AR334</f>
        <v>341747.7</v>
      </c>
      <c r="F30" s="213">
        <f>+'O2 TERRITORIO'!T117</f>
        <v>1676.2999999999997</v>
      </c>
      <c r="G30" s="213">
        <f>+'O2 TERRITORIO'!AB117</f>
        <v>1676.2999999999997</v>
      </c>
      <c r="H30" s="213">
        <f>+'O2 TERRITORIO'!AJ117</f>
        <v>1676.2999999999997</v>
      </c>
      <c r="I30" s="213">
        <f>+'O2 TERRITORIO'!AR117</f>
        <v>1676.2999999999997</v>
      </c>
      <c r="J30" s="213"/>
      <c r="K30" s="213"/>
      <c r="L30" s="213"/>
      <c r="M30" s="213"/>
      <c r="N30" s="213">
        <f>+'O4 INSTITUCIONALIDAD'!T92</f>
        <v>60</v>
      </c>
      <c r="O30" s="213">
        <f>+'O4 INSTITUCIONALIDAD'!AB92</f>
        <v>140</v>
      </c>
      <c r="P30" s="213">
        <f>+'O4 INSTITUCIONALIDAD'!AJ92</f>
        <v>15</v>
      </c>
      <c r="Q30" s="213">
        <f>+'O4 INSTITUCIONALIDAD'!AR92</f>
        <v>15</v>
      </c>
      <c r="R30" s="213">
        <f t="shared" si="1"/>
        <v>359675.22</v>
      </c>
      <c r="S30" s="213">
        <f t="shared" si="2"/>
        <v>343805.35440000001</v>
      </c>
      <c r="T30" s="213">
        <f t="shared" si="2"/>
        <v>341534.809488</v>
      </c>
      <c r="U30" s="213">
        <f t="shared" si="2"/>
        <v>343439</v>
      </c>
      <c r="V30" s="213">
        <f t="shared" si="3"/>
        <v>1388454.3838880002</v>
      </c>
      <c r="W30" s="217"/>
      <c r="X30" s="170"/>
    </row>
    <row r="31" spans="1:25" x14ac:dyDescent="0.25">
      <c r="A31" s="162" t="s">
        <v>729</v>
      </c>
      <c r="B31" s="214">
        <f>+'O1 POBLACION'!U334</f>
        <v>8801</v>
      </c>
      <c r="C31" s="214">
        <f>+'O1 POBLACION'!AC334</f>
        <v>9270</v>
      </c>
      <c r="D31" s="214">
        <f>+'O1 POBLACION'!AK334</f>
        <v>8816</v>
      </c>
      <c r="E31" s="214">
        <f>+'O1 POBLACION'!AS334</f>
        <v>8840</v>
      </c>
      <c r="F31" s="218">
        <f>+'O2 TERRITORIO'!U117</f>
        <v>21</v>
      </c>
      <c r="G31" s="218">
        <f>+'O2 TERRITORIO'!AC117</f>
        <v>21</v>
      </c>
      <c r="H31" s="218">
        <f>+'O2 TERRITORIO'!AK117</f>
        <v>21</v>
      </c>
      <c r="I31" s="218">
        <f>+'O2 TERRITORIO'!AS117</f>
        <v>21</v>
      </c>
      <c r="J31" s="214"/>
      <c r="K31" s="214"/>
      <c r="L31" s="214"/>
      <c r="M31" s="214"/>
      <c r="N31" s="214">
        <f>+'O4 INSTITUCIONALIDAD'!U92</f>
        <v>4977</v>
      </c>
      <c r="O31" s="214">
        <f>+'O4 INSTITUCIONALIDAD'!AC92</f>
        <v>5888</v>
      </c>
      <c r="P31" s="214">
        <f>+'O4 INSTITUCIONALIDAD'!AK92</f>
        <v>7860</v>
      </c>
      <c r="Q31" s="214">
        <f>+'O4 INSTITUCIONALIDAD'!AS92</f>
        <v>9505</v>
      </c>
      <c r="R31" s="213">
        <f t="shared" si="1"/>
        <v>13799</v>
      </c>
      <c r="S31" s="213">
        <f t="shared" si="2"/>
        <v>15179</v>
      </c>
      <c r="T31" s="213">
        <f t="shared" si="2"/>
        <v>16697</v>
      </c>
      <c r="U31" s="213">
        <f t="shared" si="2"/>
        <v>18366</v>
      </c>
      <c r="V31" s="243">
        <f t="shared" si="3"/>
        <v>64041</v>
      </c>
      <c r="W31" s="217"/>
      <c r="X31" s="217"/>
      <c r="Y31" s="217"/>
    </row>
    <row r="32" spans="1:25" x14ac:dyDescent="0.25">
      <c r="A32" s="167" t="s">
        <v>937</v>
      </c>
      <c r="B32" s="213">
        <f>+'O1 POBLACION'!V334</f>
        <v>93142.39999999998</v>
      </c>
      <c r="C32" s="213">
        <f>+'O1 POBLACION'!AD334</f>
        <v>4844</v>
      </c>
      <c r="D32" s="213">
        <f>+'O1 POBLACION'!AL334</f>
        <v>5911</v>
      </c>
      <c r="E32" s="213">
        <f>+'O1 POBLACION'!AT334</f>
        <v>4481</v>
      </c>
      <c r="F32" s="213">
        <f>+'O2 TERRITORIO'!V117</f>
        <v>287834.18</v>
      </c>
      <c r="G32" s="213">
        <f>+'O2 TERRITORIO'!AD117</f>
        <v>73700.100000000006</v>
      </c>
      <c r="H32" s="213">
        <f>+'O2 TERRITORIO'!AL117</f>
        <v>21269.1</v>
      </c>
      <c r="I32" s="213">
        <f>+'O2 TERRITORIO'!AT117</f>
        <v>273.10000000000002</v>
      </c>
      <c r="J32" s="213">
        <f>+'O3 ECONOMIA'!U69</f>
        <v>447859</v>
      </c>
      <c r="K32" s="213">
        <f>+'O3 ECONOMIA'!AC69</f>
        <v>463441</v>
      </c>
      <c r="L32" s="213">
        <f>+'O3 ECONOMIA'!AK69</f>
        <v>58669</v>
      </c>
      <c r="M32" s="213">
        <f>+'O3 ECONOMIA'!AS69</f>
        <v>58420</v>
      </c>
      <c r="N32" s="213">
        <f>+'O4 INSTITUCIONALIDAD'!V92</f>
        <v>810</v>
      </c>
      <c r="O32" s="213">
        <f>+'O4 INSTITUCIONALIDAD'!AD92</f>
        <v>3750</v>
      </c>
      <c r="P32" s="213">
        <f>+'O4 INSTITUCIONALIDAD'!AL92</f>
        <v>1800</v>
      </c>
      <c r="Q32" s="213">
        <f>+'O4 INSTITUCIONALIDAD'!AT83</f>
        <v>1450</v>
      </c>
      <c r="R32" s="213">
        <f t="shared" si="1"/>
        <v>829645.58</v>
      </c>
      <c r="S32" s="213">
        <f t="shared" ref="S32:S33" si="4">+C32+G32+K32+O32</f>
        <v>545735.1</v>
      </c>
      <c r="T32" s="213">
        <f t="shared" ref="T32:T33" si="5">+D32+H32+L32+P32</f>
        <v>87649.1</v>
      </c>
      <c r="U32" s="213">
        <f t="shared" ref="U32:U33" si="6">+E32+I32+M32+Q32</f>
        <v>64624.1</v>
      </c>
      <c r="V32" s="213">
        <f t="shared" si="3"/>
        <v>1527653.8800000001</v>
      </c>
    </row>
    <row r="33" spans="1:22" x14ac:dyDescent="0.25">
      <c r="A33" s="162" t="s">
        <v>730</v>
      </c>
      <c r="B33" s="213">
        <f>+'O1 POBLACION'!W334</f>
        <v>702</v>
      </c>
      <c r="C33" s="213">
        <f>+'O1 POBLACION'!AE334</f>
        <v>729</v>
      </c>
      <c r="D33" s="213">
        <f>+'O1 POBLACION'!AM334</f>
        <v>759</v>
      </c>
      <c r="E33" s="213">
        <f>+'O1 POBLACION'!AU334</f>
        <v>790</v>
      </c>
      <c r="F33" s="218">
        <f>+'O2 TERRITORIO'!W117</f>
        <v>622</v>
      </c>
      <c r="G33" s="218">
        <f>+'O2 TERRITORIO'!AE117</f>
        <v>647</v>
      </c>
      <c r="H33" s="218">
        <f>+'O2 TERRITORIO'!AM117</f>
        <v>673</v>
      </c>
      <c r="I33" s="215">
        <f>+'O2 TERRITORIO'!AU117</f>
        <v>700</v>
      </c>
      <c r="J33" s="214"/>
      <c r="K33" s="214"/>
      <c r="L33" s="214"/>
      <c r="M33" s="215"/>
      <c r="N33" s="214"/>
      <c r="O33" s="214"/>
      <c r="P33" s="214"/>
      <c r="Q33" s="215"/>
      <c r="R33" s="213">
        <f t="shared" si="1"/>
        <v>1324</v>
      </c>
      <c r="S33" s="213">
        <f t="shared" si="4"/>
        <v>1376</v>
      </c>
      <c r="T33" s="213">
        <f t="shared" si="5"/>
        <v>1432</v>
      </c>
      <c r="U33" s="213">
        <f t="shared" si="6"/>
        <v>1490</v>
      </c>
      <c r="V33" s="243">
        <f t="shared" si="3"/>
        <v>5622</v>
      </c>
    </row>
    <row r="34" spans="1:22" x14ac:dyDescent="0.25">
      <c r="A34" s="162" t="s">
        <v>731</v>
      </c>
      <c r="B34" s="213">
        <f>+'O1 POBLACION'!X334</f>
        <v>580</v>
      </c>
      <c r="C34" s="213">
        <f>+'O1 POBLACION'!AF334</f>
        <v>66177.8</v>
      </c>
      <c r="D34" s="213">
        <f>+'O1 POBLACION'!AN334</f>
        <v>44176.5</v>
      </c>
      <c r="E34" s="213">
        <f>+'O1 POBLACION'!AV334</f>
        <v>3800</v>
      </c>
      <c r="F34" s="218">
        <f>+'O2 TERRITORIO'!X117</f>
        <v>8087</v>
      </c>
      <c r="G34" s="218">
        <f>+'O2 TERRITORIO'!AF117</f>
        <v>4000</v>
      </c>
      <c r="H34" s="218">
        <f>+'O2 TERRITORIO'!AN117</f>
        <v>1790</v>
      </c>
      <c r="I34" s="218">
        <f>+'O2 TERRITORIO'!AV117</f>
        <v>500</v>
      </c>
      <c r="J34" s="214">
        <f>+'O3 ECONOMIA'!W69</f>
        <v>110362</v>
      </c>
      <c r="K34" s="214">
        <f>+'O3 ECONOMIA'!AE69</f>
        <v>48851</v>
      </c>
      <c r="L34" s="214">
        <f>+'O3 ECONOMIA'!AM69</f>
        <v>73062</v>
      </c>
      <c r="M34" s="214">
        <f>+'O3 ECONOMIA'!AU69</f>
        <v>114729</v>
      </c>
      <c r="N34" s="214">
        <f>+'O4 INSTITUCIONALIDAD'!X83</f>
        <v>0</v>
      </c>
      <c r="O34" s="214">
        <f>+'O4 INSTITUCIONALIDAD'!AF83</f>
        <v>0</v>
      </c>
      <c r="P34" s="214">
        <f>+'O4 INSTITUCIONALIDAD'!AN83</f>
        <v>0</v>
      </c>
      <c r="Q34" s="214">
        <f>+'O4 INSTITUCIONALIDAD'!AV83</f>
        <v>0</v>
      </c>
      <c r="R34" s="213">
        <f t="shared" si="1"/>
        <v>119029</v>
      </c>
      <c r="S34" s="213">
        <f t="shared" ref="S34" si="7">+C34+G34+K34+O34</f>
        <v>119028.8</v>
      </c>
      <c r="T34" s="213">
        <f t="shared" ref="T34" si="8">+D34+H34+L34+P34</f>
        <v>119028.5</v>
      </c>
      <c r="U34" s="213">
        <f t="shared" ref="U34" si="9">+E34+I34+M34+Q34</f>
        <v>119029</v>
      </c>
      <c r="V34" s="243">
        <f t="shared" si="3"/>
        <v>476115.3</v>
      </c>
    </row>
    <row r="35" spans="1:22" x14ac:dyDescent="0.25">
      <c r="A35" s="162" t="s">
        <v>732</v>
      </c>
      <c r="B35" s="213">
        <f>+'O1 POBLACION'!Y334</f>
        <v>71801.600000000006</v>
      </c>
      <c r="C35" s="213">
        <f>+'O1 POBLACION'!AG334</f>
        <v>91512.7</v>
      </c>
      <c r="D35" s="213">
        <f>+'O1 POBLACION'!AO334</f>
        <v>101180</v>
      </c>
      <c r="E35" s="213">
        <f>+'O1 POBLACION'!AW334</f>
        <v>103169</v>
      </c>
      <c r="F35" s="213">
        <f>+'O2 TERRITORIO'!Y117</f>
        <v>42267</v>
      </c>
      <c r="G35" s="213">
        <f>+'O2 TERRITORIO'!AG117</f>
        <v>18258</v>
      </c>
      <c r="H35" s="213">
        <f>+'O2 TERRITORIO'!AO117</f>
        <v>29133</v>
      </c>
      <c r="I35" s="213">
        <f>+'O2 TERRITORIO'!AW117</f>
        <v>18058</v>
      </c>
      <c r="J35" s="213">
        <f>+'O3 ECONOMIA'!X69</f>
        <v>16770</v>
      </c>
      <c r="K35" s="213">
        <f>+'O3 ECONOMIA'!AF69</f>
        <v>87280</v>
      </c>
      <c r="L35" s="213">
        <f>+'O3 ECONOMIA'!AN69</f>
        <v>83240</v>
      </c>
      <c r="M35" s="213">
        <f>+'O3 ECONOMIA'!AV69</f>
        <v>84390</v>
      </c>
      <c r="N35" s="213">
        <f>+'O4 INSTITUCIONALIDAD'!Y92</f>
        <v>1040</v>
      </c>
      <c r="O35" s="213">
        <f>+'O4 INSTITUCIONALIDAD'!AG92</f>
        <v>3090</v>
      </c>
      <c r="P35" s="213">
        <f>+'O4 INSTITUCIONALIDAD'!AO92</f>
        <v>3040</v>
      </c>
      <c r="Q35" s="213">
        <f>+'O4 INSTITUCIONALIDAD'!AW92</f>
        <v>40</v>
      </c>
      <c r="R35" s="213">
        <f t="shared" si="1"/>
        <v>131878.6</v>
      </c>
      <c r="S35" s="213">
        <f t="shared" ref="S35" si="10">+C35+G35+K35+O35</f>
        <v>200140.7</v>
      </c>
      <c r="T35" s="213">
        <f t="shared" ref="T35" si="11">+D35+H35+L35+P35</f>
        <v>216593</v>
      </c>
      <c r="U35" s="213">
        <f t="shared" ref="U35" si="12">+E35+I35+M35+Q35</f>
        <v>205657</v>
      </c>
      <c r="V35" s="213">
        <f t="shared" si="3"/>
        <v>754269.3</v>
      </c>
    </row>
    <row r="36" spans="1:22" x14ac:dyDescent="0.25">
      <c r="A36" s="162" t="s">
        <v>1284</v>
      </c>
      <c r="B36" s="213">
        <f>SUM(B29:B35)</f>
        <v>533203.91999999993</v>
      </c>
      <c r="C36" s="213">
        <f t="shared" ref="C36:U36" si="13">SUM(C29:C35)</f>
        <v>515101.55440000002</v>
      </c>
      <c r="D36" s="213">
        <f t="shared" si="13"/>
        <v>501806.00948800001</v>
      </c>
      <c r="E36" s="213">
        <f t="shared" si="13"/>
        <v>463984.7</v>
      </c>
      <c r="F36" s="213">
        <f t="shared" si="13"/>
        <v>340772.48</v>
      </c>
      <c r="G36" s="213">
        <f t="shared" si="13"/>
        <v>99379.400000000009</v>
      </c>
      <c r="H36" s="213">
        <f t="shared" si="13"/>
        <v>55704.399999999994</v>
      </c>
      <c r="I36" s="213">
        <f t="shared" si="13"/>
        <v>22350.400000000001</v>
      </c>
      <c r="J36" s="213">
        <f t="shared" si="13"/>
        <v>575476</v>
      </c>
      <c r="K36" s="213">
        <f t="shared" si="13"/>
        <v>600022</v>
      </c>
      <c r="L36" s="213">
        <f t="shared" si="13"/>
        <v>216146</v>
      </c>
      <c r="M36" s="213">
        <f t="shared" si="13"/>
        <v>258939</v>
      </c>
      <c r="N36" s="213">
        <f t="shared" si="13"/>
        <v>19138</v>
      </c>
      <c r="O36" s="213">
        <f t="shared" si="13"/>
        <v>27710</v>
      </c>
      <c r="P36" s="213">
        <f t="shared" si="13"/>
        <v>28198</v>
      </c>
      <c r="Q36" s="213">
        <f t="shared" si="13"/>
        <v>28783</v>
      </c>
      <c r="R36" s="213">
        <f t="shared" si="13"/>
        <v>1468590.4</v>
      </c>
      <c r="S36" s="213">
        <f t="shared" si="13"/>
        <v>1242212.9543999999</v>
      </c>
      <c r="T36" s="213">
        <f t="shared" si="13"/>
        <v>801854.40948799998</v>
      </c>
      <c r="U36" s="213">
        <f t="shared" si="13"/>
        <v>774057.1</v>
      </c>
      <c r="V36" s="222">
        <f>SUM(V29:V35)</f>
        <v>4286714.8638880001</v>
      </c>
    </row>
    <row r="37" spans="1:22" x14ac:dyDescent="0.25">
      <c r="B37" s="170"/>
      <c r="R37" s="217"/>
      <c r="S37" s="217"/>
      <c r="T37" s="217"/>
      <c r="U37" s="217"/>
      <c r="V37" s="217"/>
    </row>
    <row r="38" spans="1:22" x14ac:dyDescent="0.25">
      <c r="R38" s="170"/>
      <c r="S38" s="170"/>
      <c r="T38" s="170"/>
      <c r="U38" s="170"/>
    </row>
    <row r="39" spans="1:22" x14ac:dyDescent="0.25">
      <c r="R39" s="168"/>
      <c r="S39" s="168"/>
      <c r="T39" s="168"/>
      <c r="U39" s="168"/>
      <c r="V39" s="168"/>
    </row>
    <row r="40" spans="1:22" x14ac:dyDescent="0.25">
      <c r="R40" s="168"/>
      <c r="S40" s="168"/>
      <c r="T40" s="168"/>
      <c r="U40" s="168"/>
    </row>
    <row r="41" spans="1:22" x14ac:dyDescent="0.25">
      <c r="R41" s="168"/>
      <c r="S41" s="168"/>
      <c r="T41" s="168"/>
      <c r="U41" s="168"/>
    </row>
    <row r="43" spans="1:22" x14ac:dyDescent="0.25">
      <c r="R43" s="217"/>
      <c r="S43" s="217"/>
      <c r="T43" s="217"/>
      <c r="U43" s="217"/>
    </row>
    <row r="45" spans="1:22" x14ac:dyDescent="0.25">
      <c r="R45" s="217"/>
    </row>
  </sheetData>
  <mergeCells count="7">
    <mergeCell ref="V27:V28"/>
    <mergeCell ref="B27:E27"/>
    <mergeCell ref="F27:I27"/>
    <mergeCell ref="A27:A28"/>
    <mergeCell ref="J27:M27"/>
    <mergeCell ref="N27:Q27"/>
    <mergeCell ref="R27:U27"/>
  </mergeCells>
  <phoneticPr fontId="3" type="noConversion"/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9"/>
  <sheetViews>
    <sheetView topLeftCell="A55" zoomScale="89" zoomScaleNormal="89" workbookViewId="0">
      <selection activeCell="I69" sqref="I69"/>
    </sheetView>
  </sheetViews>
  <sheetFormatPr baseColWidth="10" defaultRowHeight="12.75" x14ac:dyDescent="0.2"/>
  <cols>
    <col min="1" max="1" width="55.7109375" style="318" customWidth="1"/>
    <col min="2" max="2" width="14" style="318" bestFit="1" customWidth="1"/>
    <col min="3" max="3" width="13.42578125" style="318" customWidth="1"/>
    <col min="4" max="5" width="11.7109375" style="318" bestFit="1" customWidth="1"/>
    <col min="6" max="6" width="14" style="318" bestFit="1" customWidth="1"/>
    <col min="7" max="7" width="12.42578125" style="319" bestFit="1" customWidth="1"/>
    <col min="8" max="8" width="12.85546875" style="318" bestFit="1" customWidth="1"/>
    <col min="9" max="9" width="16.5703125" style="318" bestFit="1" customWidth="1"/>
    <col min="10" max="10" width="11.42578125" style="318"/>
    <col min="11" max="11" width="32" style="318" customWidth="1"/>
    <col min="12" max="12" width="15.85546875" style="318" customWidth="1"/>
    <col min="13" max="15" width="11.42578125" style="318"/>
    <col min="16" max="16" width="13.42578125" style="318" customWidth="1"/>
    <col min="17" max="16384" width="11.42578125" style="318"/>
  </cols>
  <sheetData>
    <row r="1" spans="1:14" x14ac:dyDescent="0.2">
      <c r="K1" s="320"/>
    </row>
    <row r="2" spans="1:14" x14ac:dyDescent="0.2">
      <c r="K2" s="301"/>
      <c r="L2" s="301"/>
      <c r="M2" s="321"/>
    </row>
    <row r="3" spans="1:14" x14ac:dyDescent="0.2">
      <c r="A3" s="351" t="s">
        <v>1435</v>
      </c>
      <c r="B3" s="351" t="s">
        <v>1436</v>
      </c>
      <c r="K3" s="302"/>
      <c r="L3" s="303"/>
      <c r="M3" s="321"/>
    </row>
    <row r="4" spans="1:14" x14ac:dyDescent="0.2">
      <c r="A4" s="231" t="s">
        <v>1437</v>
      </c>
      <c r="B4" s="232">
        <f>+'Resumen Inversión'!V29</f>
        <v>70559</v>
      </c>
      <c r="K4" s="302"/>
      <c r="L4" s="303"/>
      <c r="M4" s="321"/>
    </row>
    <row r="5" spans="1:14" x14ac:dyDescent="0.2">
      <c r="A5" s="231" t="s">
        <v>728</v>
      </c>
      <c r="B5" s="232">
        <f>+'Resumen Inversión'!V30</f>
        <v>1388454.3838880002</v>
      </c>
      <c r="K5" s="302"/>
      <c r="L5" s="303"/>
      <c r="M5" s="321"/>
    </row>
    <row r="6" spans="1:14" x14ac:dyDescent="0.2">
      <c r="A6" s="231" t="s">
        <v>731</v>
      </c>
      <c r="B6" s="232">
        <f>+'Resumen Inversión'!V34</f>
        <v>476115.3</v>
      </c>
      <c r="K6" s="302"/>
      <c r="L6" s="303"/>
      <c r="M6" s="321"/>
    </row>
    <row r="7" spans="1:14" x14ac:dyDescent="0.2">
      <c r="A7" s="231" t="s">
        <v>1438</v>
      </c>
      <c r="B7" s="232">
        <f>+'Resumen Inversión'!V31</f>
        <v>64041</v>
      </c>
      <c r="K7" s="302"/>
      <c r="L7" s="303"/>
      <c r="M7" s="321"/>
    </row>
    <row r="8" spans="1:14" x14ac:dyDescent="0.2">
      <c r="A8" s="231" t="s">
        <v>1439</v>
      </c>
      <c r="B8" s="232">
        <f>+'Resumen Inversión'!V33</f>
        <v>5622</v>
      </c>
      <c r="K8" s="302"/>
      <c r="L8" s="303"/>
      <c r="M8" s="322"/>
    </row>
    <row r="9" spans="1:14" x14ac:dyDescent="0.2">
      <c r="A9" s="231" t="s">
        <v>1440</v>
      </c>
      <c r="B9" s="232">
        <f>+'Resumen Inversión'!V32</f>
        <v>1527653.8800000001</v>
      </c>
      <c r="K9" s="302"/>
      <c r="L9" s="303"/>
      <c r="M9" s="321"/>
    </row>
    <row r="10" spans="1:14" x14ac:dyDescent="0.2">
      <c r="A10" s="231" t="s">
        <v>732</v>
      </c>
      <c r="B10" s="232">
        <f>+'Resumen Inversión'!V35</f>
        <v>754269.3</v>
      </c>
      <c r="K10" s="302"/>
      <c r="L10" s="303"/>
      <c r="M10" s="321"/>
      <c r="N10" s="323"/>
    </row>
    <row r="11" spans="1:14" x14ac:dyDescent="0.2">
      <c r="A11" s="344" t="s">
        <v>823</v>
      </c>
      <c r="B11" s="350">
        <f>SUM(B4:B10)</f>
        <v>4286714.8638880001</v>
      </c>
      <c r="K11" s="321"/>
      <c r="L11" s="322"/>
      <c r="M11" s="321"/>
    </row>
    <row r="12" spans="1:14" x14ac:dyDescent="0.2">
      <c r="B12" s="323"/>
      <c r="K12" s="322"/>
      <c r="L12" s="322"/>
      <c r="M12" s="321"/>
    </row>
    <row r="13" spans="1:14" x14ac:dyDescent="0.2">
      <c r="A13" s="344" t="s">
        <v>1488</v>
      </c>
      <c r="B13" s="345">
        <f>+B4+B5+B6+B7+B8+F170</f>
        <v>2633479.6838880004</v>
      </c>
      <c r="K13" s="321"/>
      <c r="L13" s="321"/>
      <c r="M13" s="321"/>
    </row>
    <row r="14" spans="1:14" x14ac:dyDescent="0.2">
      <c r="A14" s="344" t="s">
        <v>1489</v>
      </c>
      <c r="B14" s="345">
        <f>+B11-B13</f>
        <v>1653235.1799999997</v>
      </c>
      <c r="K14" s="321"/>
      <c r="L14" s="321"/>
      <c r="M14" s="321"/>
    </row>
    <row r="15" spans="1:14" x14ac:dyDescent="0.2">
      <c r="A15" s="346" t="s">
        <v>1496</v>
      </c>
      <c r="B15" s="345">
        <v>4286714.8638880001</v>
      </c>
      <c r="K15" s="321"/>
      <c r="L15" s="324"/>
      <c r="M15" s="321"/>
    </row>
    <row r="16" spans="1:14" x14ac:dyDescent="0.2">
      <c r="A16" s="325"/>
      <c r="B16" s="320"/>
      <c r="K16" s="321"/>
      <c r="L16" s="324"/>
      <c r="M16" s="321"/>
    </row>
    <row r="17" spans="1:13" x14ac:dyDescent="0.2">
      <c r="A17" s="347" t="s">
        <v>1497</v>
      </c>
      <c r="B17" s="348">
        <f>+B13/B15</f>
        <v>0.61433516515709308</v>
      </c>
      <c r="K17" s="321"/>
      <c r="L17" s="324"/>
      <c r="M17" s="321"/>
    </row>
    <row r="18" spans="1:13" x14ac:dyDescent="0.2">
      <c r="A18" s="346" t="s">
        <v>1498</v>
      </c>
      <c r="B18" s="349">
        <v>0.39</v>
      </c>
      <c r="K18" s="321"/>
      <c r="L18" s="324"/>
      <c r="M18" s="321"/>
    </row>
    <row r="19" spans="1:13" x14ac:dyDescent="0.2">
      <c r="A19" s="323"/>
      <c r="K19" s="321"/>
      <c r="L19" s="326"/>
      <c r="M19" s="321"/>
    </row>
    <row r="20" spans="1:13" x14ac:dyDescent="0.2">
      <c r="A20" s="323"/>
    </row>
    <row r="21" spans="1:13" x14ac:dyDescent="0.2">
      <c r="A21" s="323"/>
    </row>
    <row r="22" spans="1:13" x14ac:dyDescent="0.2">
      <c r="A22" s="908" t="s">
        <v>1548</v>
      </c>
      <c r="B22" s="908"/>
      <c r="C22" s="908"/>
      <c r="D22" s="908"/>
      <c r="E22" s="908"/>
      <c r="F22" s="908"/>
    </row>
    <row r="23" spans="1:13" x14ac:dyDescent="0.2">
      <c r="A23" s="908" t="s">
        <v>1412</v>
      </c>
      <c r="B23" s="908"/>
      <c r="C23" s="908"/>
      <c r="D23" s="908"/>
      <c r="E23" s="908"/>
      <c r="F23" s="908"/>
    </row>
    <row r="24" spans="1:13" ht="13.5" thickBot="1" x14ac:dyDescent="0.25">
      <c r="B24" s="327">
        <f>+B43-'Resumen Inversión'!R100</f>
        <v>13799</v>
      </c>
      <c r="C24" s="327">
        <f>+C43-'Resumen Inversión'!S100</f>
        <v>15178.900000000001</v>
      </c>
      <c r="D24" s="327">
        <f>+D43-'Resumen Inversión'!T100</f>
        <v>16696.790000000005</v>
      </c>
      <c r="E24" s="327">
        <f>+E43-'Resumen Inversión'!U100</f>
        <v>18366.469000000008</v>
      </c>
      <c r="F24" s="327"/>
    </row>
    <row r="25" spans="1:13" x14ac:dyDescent="0.2">
      <c r="A25" s="223" t="s">
        <v>1413</v>
      </c>
      <c r="B25" s="224" t="s">
        <v>1414</v>
      </c>
      <c r="C25" s="224" t="s">
        <v>1415</v>
      </c>
      <c r="D25" s="224" t="s">
        <v>1416</v>
      </c>
      <c r="E25" s="224" t="s">
        <v>1417</v>
      </c>
      <c r="F25" s="225" t="s">
        <v>823</v>
      </c>
    </row>
    <row r="26" spans="1:13" x14ac:dyDescent="0.2">
      <c r="A26" s="226" t="s">
        <v>1418</v>
      </c>
      <c r="B26" s="220">
        <v>686</v>
      </c>
      <c r="C26" s="221">
        <v>733</v>
      </c>
      <c r="D26" s="221">
        <v>777</v>
      </c>
      <c r="E26" s="221">
        <v>823</v>
      </c>
      <c r="F26" s="227">
        <f>SUM(B26:E26)</f>
        <v>3019</v>
      </c>
    </row>
    <row r="27" spans="1:13" x14ac:dyDescent="0.2">
      <c r="A27" s="226" t="s">
        <v>1419</v>
      </c>
      <c r="B27" s="220">
        <v>0</v>
      </c>
      <c r="C27" s="221">
        <v>2597</v>
      </c>
      <c r="D27" s="221">
        <v>3825</v>
      </c>
      <c r="E27" s="221">
        <v>3811</v>
      </c>
      <c r="F27" s="227">
        <f>SUM(B27:E27)</f>
        <v>10233</v>
      </c>
    </row>
    <row r="28" spans="1:13" x14ac:dyDescent="0.2">
      <c r="A28" s="226" t="s">
        <v>1420</v>
      </c>
      <c r="B28" s="220">
        <v>1420</v>
      </c>
      <c r="C28" s="221">
        <v>1420</v>
      </c>
      <c r="D28" s="221">
        <v>1420</v>
      </c>
      <c r="E28" s="221">
        <v>1420</v>
      </c>
      <c r="F28" s="227">
        <f>SUM(B28:E28)</f>
        <v>5680</v>
      </c>
    </row>
    <row r="29" spans="1:13" x14ac:dyDescent="0.2">
      <c r="A29" s="226" t="s">
        <v>1421</v>
      </c>
      <c r="B29" s="220">
        <v>11133</v>
      </c>
      <c r="C29" s="221">
        <v>12198</v>
      </c>
      <c r="D29" s="221">
        <v>12898</v>
      </c>
      <c r="E29" s="221">
        <v>15398</v>
      </c>
      <c r="F29" s="227">
        <f>SUM(B29:E29)</f>
        <v>51627</v>
      </c>
    </row>
    <row r="30" spans="1:13" x14ac:dyDescent="0.2">
      <c r="A30" s="234" t="s">
        <v>1422</v>
      </c>
      <c r="B30" s="235">
        <f>SUM(B26:B29)</f>
        <v>13239</v>
      </c>
      <c r="C30" s="235">
        <f>SUM(C26:C29)</f>
        <v>16948</v>
      </c>
      <c r="D30" s="235">
        <f>SUM(D26:D29)</f>
        <v>18920</v>
      </c>
      <c r="E30" s="235">
        <f>SUM(E26:E29)</f>
        <v>21452</v>
      </c>
      <c r="F30" s="236">
        <f>SUM(B30:E30)</f>
        <v>70559</v>
      </c>
    </row>
    <row r="31" spans="1:13" x14ac:dyDescent="0.2">
      <c r="A31" s="234" t="s">
        <v>1423</v>
      </c>
      <c r="B31" s="235">
        <v>1324</v>
      </c>
      <c r="C31" s="237">
        <v>1377</v>
      </c>
      <c r="D31" s="237">
        <v>1432</v>
      </c>
      <c r="E31" s="237">
        <v>1489</v>
      </c>
      <c r="F31" s="236">
        <f t="shared" ref="F31:F32" si="0">SUM(B31:E31)</f>
        <v>5622</v>
      </c>
    </row>
    <row r="32" spans="1:13" x14ac:dyDescent="0.2">
      <c r="A32" s="234" t="s">
        <v>1424</v>
      </c>
      <c r="B32" s="235">
        <f>+B33+B34+B35+B36+B37</f>
        <v>359675.2</v>
      </c>
      <c r="C32" s="235">
        <f t="shared" ref="C32:E32" si="1">+C33+C34+C35+C36+C37</f>
        <v>343804.96399999998</v>
      </c>
      <c r="D32" s="235">
        <f t="shared" si="1"/>
        <v>341534.92327999999</v>
      </c>
      <c r="E32" s="235">
        <f t="shared" si="1"/>
        <v>343439.00097840006</v>
      </c>
      <c r="F32" s="236">
        <f t="shared" si="0"/>
        <v>1388454.0882584001</v>
      </c>
    </row>
    <row r="33" spans="1:7" x14ac:dyDescent="0.2">
      <c r="A33" s="219" t="s">
        <v>1407</v>
      </c>
      <c r="B33" s="220">
        <v>269109.5</v>
      </c>
      <c r="C33" s="221">
        <v>274491.69</v>
      </c>
      <c r="D33" s="221">
        <v>279981.52380000002</v>
      </c>
      <c r="E33" s="221">
        <v>288380.96951400005</v>
      </c>
      <c r="F33" s="228">
        <f t="shared" ref="F33:F37" si="2">SUM(B33:E33)</f>
        <v>1111963.683314</v>
      </c>
    </row>
    <row r="34" spans="1:7" x14ac:dyDescent="0.2">
      <c r="A34" s="219" t="s">
        <v>1425</v>
      </c>
      <c r="B34" s="220">
        <v>44878.7</v>
      </c>
      <c r="C34" s="221">
        <v>45776.273999999998</v>
      </c>
      <c r="D34" s="221">
        <v>46691.799480000001</v>
      </c>
      <c r="E34" s="221">
        <v>48092.5534644</v>
      </c>
      <c r="F34" s="228">
        <f t="shared" si="2"/>
        <v>185439.32694439997</v>
      </c>
    </row>
    <row r="35" spans="1:7" x14ac:dyDescent="0.2">
      <c r="A35" s="219" t="s">
        <v>1426</v>
      </c>
      <c r="B35" s="220">
        <v>6500</v>
      </c>
      <c r="C35" s="221">
        <v>6630</v>
      </c>
      <c r="D35" s="221">
        <v>6762.6</v>
      </c>
      <c r="E35" s="221">
        <v>6965.478000000001</v>
      </c>
      <c r="F35" s="228">
        <f t="shared" si="2"/>
        <v>26858.078000000001</v>
      </c>
    </row>
    <row r="36" spans="1:7" x14ac:dyDescent="0.2">
      <c r="A36" s="219" t="s">
        <v>1427</v>
      </c>
      <c r="B36" s="220">
        <v>6700</v>
      </c>
      <c r="C36" s="221"/>
      <c r="D36" s="221"/>
      <c r="E36" s="221"/>
      <c r="F36" s="228">
        <f t="shared" si="2"/>
        <v>6700</v>
      </c>
    </row>
    <row r="37" spans="1:7" x14ac:dyDescent="0.2">
      <c r="A37" s="230" t="s">
        <v>1434</v>
      </c>
      <c r="B37" s="220">
        <f>7155+25332</f>
        <v>32487</v>
      </c>
      <c r="C37" s="221">
        <f>1124+15783</f>
        <v>16907</v>
      </c>
      <c r="D37" s="221">
        <f>706+7393</f>
        <v>8099</v>
      </c>
      <c r="E37" s="221"/>
      <c r="F37" s="228">
        <f t="shared" si="2"/>
        <v>57493</v>
      </c>
    </row>
    <row r="38" spans="1:7" x14ac:dyDescent="0.2">
      <c r="A38" s="234" t="s">
        <v>1428</v>
      </c>
      <c r="B38" s="235">
        <f>+B39+B40+B41+B42</f>
        <v>119029</v>
      </c>
      <c r="C38" s="237">
        <f t="shared" ref="C38:E38" si="3">+C39+C40+C41+C42</f>
        <v>119029</v>
      </c>
      <c r="D38" s="237">
        <f t="shared" si="3"/>
        <v>119029</v>
      </c>
      <c r="E38" s="237">
        <f t="shared" si="3"/>
        <v>119029</v>
      </c>
      <c r="F38" s="238">
        <f>SUM(B38:E38)</f>
        <v>476116</v>
      </c>
    </row>
    <row r="39" spans="1:7" x14ac:dyDescent="0.2">
      <c r="A39" s="219" t="s">
        <v>1429</v>
      </c>
      <c r="B39" s="220">
        <v>35847</v>
      </c>
      <c r="C39" s="221">
        <f t="shared" ref="C39:C41" si="4">+B39</f>
        <v>35847</v>
      </c>
      <c r="D39" s="221">
        <f t="shared" ref="D39:D41" si="5">+C39</f>
        <v>35847</v>
      </c>
      <c r="E39" s="221">
        <f t="shared" ref="E39:E41" si="6">+D39</f>
        <v>35847</v>
      </c>
      <c r="F39" s="227">
        <f t="shared" ref="F39:F41" si="7">SUM(B39:E39)</f>
        <v>143388</v>
      </c>
    </row>
    <row r="40" spans="1:7" x14ac:dyDescent="0.2">
      <c r="A40" s="219" t="s">
        <v>1430</v>
      </c>
      <c r="B40" s="220">
        <v>44045</v>
      </c>
      <c r="C40" s="221">
        <f t="shared" si="4"/>
        <v>44045</v>
      </c>
      <c r="D40" s="221">
        <f t="shared" si="5"/>
        <v>44045</v>
      </c>
      <c r="E40" s="221">
        <f t="shared" si="6"/>
        <v>44045</v>
      </c>
      <c r="F40" s="227">
        <f t="shared" si="7"/>
        <v>176180</v>
      </c>
    </row>
    <row r="41" spans="1:7" x14ac:dyDescent="0.2">
      <c r="A41" s="219" t="s">
        <v>1431</v>
      </c>
      <c r="B41" s="220">
        <v>38162</v>
      </c>
      <c r="C41" s="221">
        <f t="shared" si="4"/>
        <v>38162</v>
      </c>
      <c r="D41" s="221">
        <f t="shared" si="5"/>
        <v>38162</v>
      </c>
      <c r="E41" s="221">
        <f t="shared" si="6"/>
        <v>38162</v>
      </c>
      <c r="F41" s="227">
        <f t="shared" si="7"/>
        <v>152648</v>
      </c>
    </row>
    <row r="42" spans="1:7" x14ac:dyDescent="0.2">
      <c r="A42" s="219" t="s">
        <v>1432</v>
      </c>
      <c r="B42" s="220">
        <v>975</v>
      </c>
      <c r="C42" s="221">
        <v>975</v>
      </c>
      <c r="D42" s="221">
        <v>975</v>
      </c>
      <c r="E42" s="221">
        <v>975</v>
      </c>
      <c r="F42" s="227">
        <f>SUM(B42:E42)</f>
        <v>3900</v>
      </c>
    </row>
    <row r="43" spans="1:7" x14ac:dyDescent="0.2">
      <c r="A43" s="234" t="s">
        <v>729</v>
      </c>
      <c r="B43" s="235">
        <v>13799</v>
      </c>
      <c r="C43" s="237">
        <f>+B43*1.1</f>
        <v>15178.900000000001</v>
      </c>
      <c r="D43" s="237">
        <f>+C43*1.1</f>
        <v>16696.790000000005</v>
      </c>
      <c r="E43" s="237">
        <f>+D43*1.1</f>
        <v>18366.469000000008</v>
      </c>
      <c r="F43" s="238">
        <f>SUM(B43:E43)</f>
        <v>64041.159000000014</v>
      </c>
    </row>
    <row r="44" spans="1:7" x14ac:dyDescent="0.2">
      <c r="A44" s="328" t="s">
        <v>1469</v>
      </c>
      <c r="B44" s="240">
        <v>829645.58</v>
      </c>
      <c r="C44" s="240">
        <v>545735.1</v>
      </c>
      <c r="D44" s="240">
        <v>87649.1</v>
      </c>
      <c r="E44" s="240">
        <v>64624.1</v>
      </c>
      <c r="F44" s="240">
        <f>SUM(B44:E44)</f>
        <v>1527653.8800000001</v>
      </c>
    </row>
    <row r="45" spans="1:7" x14ac:dyDescent="0.2">
      <c r="A45" s="328" t="s">
        <v>1470</v>
      </c>
      <c r="B45" s="240">
        <v>131878.6</v>
      </c>
      <c r="C45" s="240">
        <v>200140.7</v>
      </c>
      <c r="D45" s="240">
        <v>216593</v>
      </c>
      <c r="E45" s="240">
        <v>205657</v>
      </c>
      <c r="F45" s="240">
        <f t="shared" ref="F45" si="8">SUM(B45:E45)</f>
        <v>754269.3</v>
      </c>
    </row>
    <row r="46" spans="1:7" x14ac:dyDescent="0.2">
      <c r="A46" s="329" t="s">
        <v>1471</v>
      </c>
      <c r="B46" s="330">
        <f>+B30+B31+B32+B38+B43+B44+B45</f>
        <v>1468590.3800000001</v>
      </c>
      <c r="C46" s="330">
        <f>+C30+C31+C32+C38+C43+C44+C45</f>
        <v>1242213.6639999999</v>
      </c>
      <c r="D46" s="330">
        <f>+D30+D31+D32+D38+D43+D44+D45</f>
        <v>801854.81328</v>
      </c>
      <c r="E46" s="330">
        <f>+E30+E31+E32+E38+E43+E44+E45</f>
        <v>774056.56997840002</v>
      </c>
      <c r="F46" s="330">
        <f>+F30+F31+F32+F38+F43+F44+F45</f>
        <v>4286715.4272584002</v>
      </c>
      <c r="G46" s="403"/>
    </row>
    <row r="47" spans="1:7" x14ac:dyDescent="0.2">
      <c r="A47" s="323"/>
    </row>
    <row r="48" spans="1:7" x14ac:dyDescent="0.2">
      <c r="A48" s="323"/>
    </row>
    <row r="49" spans="1:6" x14ac:dyDescent="0.2">
      <c r="A49" s="914" t="s">
        <v>1411</v>
      </c>
      <c r="B49" s="914"/>
      <c r="C49" s="914"/>
      <c r="D49" s="914"/>
      <c r="E49" s="914"/>
      <c r="F49" s="914"/>
    </row>
    <row r="50" spans="1:6" x14ac:dyDescent="0.2">
      <c r="A50" s="914" t="s">
        <v>1412</v>
      </c>
      <c r="B50" s="914"/>
      <c r="C50" s="914"/>
      <c r="D50" s="914"/>
      <c r="E50" s="914"/>
      <c r="F50" s="914"/>
    </row>
    <row r="51" spans="1:6" ht="15.75" thickBot="1" x14ac:dyDescent="0.3">
      <c r="A51"/>
      <c r="B51"/>
      <c r="C51"/>
      <c r="D51"/>
      <c r="E51"/>
      <c r="F51"/>
    </row>
    <row r="52" spans="1:6" ht="13.5" thickBot="1" x14ac:dyDescent="0.25">
      <c r="A52" s="504" t="s">
        <v>1413</v>
      </c>
      <c r="B52" s="505" t="s">
        <v>1414</v>
      </c>
      <c r="C52" s="506" t="s">
        <v>1415</v>
      </c>
      <c r="D52" s="506" t="s">
        <v>1416</v>
      </c>
      <c r="E52" s="506" t="s">
        <v>1417</v>
      </c>
      <c r="F52" s="507" t="s">
        <v>823</v>
      </c>
    </row>
    <row r="53" spans="1:6" x14ac:dyDescent="0.2">
      <c r="A53" s="508" t="s">
        <v>1418</v>
      </c>
      <c r="B53" s="509">
        <v>686</v>
      </c>
      <c r="C53" s="510">
        <v>733</v>
      </c>
      <c r="D53" s="510">
        <v>777</v>
      </c>
      <c r="E53" s="510">
        <v>823</v>
      </c>
      <c r="F53" s="511">
        <f>SUM(B53:E53)</f>
        <v>3019</v>
      </c>
    </row>
    <row r="54" spans="1:6" x14ac:dyDescent="0.2">
      <c r="A54" s="512" t="s">
        <v>1419</v>
      </c>
      <c r="B54" s="513">
        <v>0</v>
      </c>
      <c r="C54" s="221">
        <v>2597</v>
      </c>
      <c r="D54" s="221">
        <v>3825</v>
      </c>
      <c r="E54" s="221">
        <v>3811</v>
      </c>
      <c r="F54" s="227">
        <f t="shared" ref="F54:F111" si="9">SUM(B54:E54)</f>
        <v>10233</v>
      </c>
    </row>
    <row r="55" spans="1:6" x14ac:dyDescent="0.2">
      <c r="A55" s="512" t="s">
        <v>1420</v>
      </c>
      <c r="B55" s="513">
        <v>1420</v>
      </c>
      <c r="C55" s="221">
        <v>1420</v>
      </c>
      <c r="D55" s="221">
        <v>1420</v>
      </c>
      <c r="E55" s="221">
        <v>1420</v>
      </c>
      <c r="F55" s="227">
        <f t="shared" si="9"/>
        <v>5680</v>
      </c>
    </row>
    <row r="56" spans="1:6" x14ac:dyDescent="0.2">
      <c r="A56" s="512" t="s">
        <v>1421</v>
      </c>
      <c r="B56" s="513">
        <v>11133</v>
      </c>
      <c r="C56" s="221">
        <v>12198</v>
      </c>
      <c r="D56" s="221">
        <v>12898</v>
      </c>
      <c r="E56" s="221">
        <v>15398</v>
      </c>
      <c r="F56" s="227">
        <f t="shared" si="9"/>
        <v>51627</v>
      </c>
    </row>
    <row r="57" spans="1:6" x14ac:dyDescent="0.2">
      <c r="A57" s="514" t="s">
        <v>1422</v>
      </c>
      <c r="B57" s="515">
        <f>SUM(B53:B56)</f>
        <v>13239</v>
      </c>
      <c r="C57" s="235">
        <f>SUM(C53:C56)</f>
        <v>16948</v>
      </c>
      <c r="D57" s="235">
        <f>SUM(D53:D56)</f>
        <v>18920</v>
      </c>
      <c r="E57" s="235">
        <f>SUM(E53:E56)</f>
        <v>21452</v>
      </c>
      <c r="F57" s="238">
        <f t="shared" si="9"/>
        <v>70559</v>
      </c>
    </row>
    <row r="58" spans="1:6" x14ac:dyDescent="0.2">
      <c r="A58" s="514" t="s">
        <v>1423</v>
      </c>
      <c r="B58" s="515">
        <v>1324</v>
      </c>
      <c r="C58" s="237">
        <v>1377</v>
      </c>
      <c r="D58" s="237">
        <v>1432</v>
      </c>
      <c r="E58" s="237">
        <v>1489</v>
      </c>
      <c r="F58" s="238">
        <f t="shared" si="9"/>
        <v>5622</v>
      </c>
    </row>
    <row r="59" spans="1:6" x14ac:dyDescent="0.2">
      <c r="A59" s="514" t="s">
        <v>1424</v>
      </c>
      <c r="B59" s="515">
        <f>+B60+B61+B62+B63</f>
        <v>327188.2</v>
      </c>
      <c r="C59" s="235">
        <f t="shared" ref="C59:E59" si="10">+C60+C61+C62+C63</f>
        <v>326897.96399999998</v>
      </c>
      <c r="D59" s="235">
        <f t="shared" si="10"/>
        <v>333435.92327999999</v>
      </c>
      <c r="E59" s="235">
        <f t="shared" si="10"/>
        <v>343439.00097840006</v>
      </c>
      <c r="F59" s="238">
        <f t="shared" si="9"/>
        <v>1330961.0882584001</v>
      </c>
    </row>
    <row r="60" spans="1:6" x14ac:dyDescent="0.2">
      <c r="A60" s="516" t="s">
        <v>1407</v>
      </c>
      <c r="B60" s="513">
        <v>269109.5</v>
      </c>
      <c r="C60" s="221">
        <v>274491.69</v>
      </c>
      <c r="D60" s="221">
        <v>279981.52380000002</v>
      </c>
      <c r="E60" s="221">
        <v>288380.96951400005</v>
      </c>
      <c r="F60" s="227">
        <f t="shared" si="9"/>
        <v>1111963.683314</v>
      </c>
    </row>
    <row r="61" spans="1:6" x14ac:dyDescent="0.2">
      <c r="A61" s="516" t="s">
        <v>1425</v>
      </c>
      <c r="B61" s="513">
        <v>44878.7</v>
      </c>
      <c r="C61" s="221">
        <v>45776.273999999998</v>
      </c>
      <c r="D61" s="221">
        <v>46691.799480000001</v>
      </c>
      <c r="E61" s="221">
        <v>48092.5534644</v>
      </c>
      <c r="F61" s="227">
        <f t="shared" si="9"/>
        <v>185439.32694439997</v>
      </c>
    </row>
    <row r="62" spans="1:6" x14ac:dyDescent="0.2">
      <c r="A62" s="516" t="s">
        <v>1426</v>
      </c>
      <c r="B62" s="513">
        <v>6500</v>
      </c>
      <c r="C62" s="221">
        <v>6630</v>
      </c>
      <c r="D62" s="221">
        <v>6762.6</v>
      </c>
      <c r="E62" s="221">
        <v>6965.478000000001</v>
      </c>
      <c r="F62" s="227">
        <f t="shared" si="9"/>
        <v>26858.078000000001</v>
      </c>
    </row>
    <row r="63" spans="1:6" x14ac:dyDescent="0.2">
      <c r="A63" s="516" t="s">
        <v>1427</v>
      </c>
      <c r="B63" s="513">
        <v>6700</v>
      </c>
      <c r="C63" s="221"/>
      <c r="D63" s="221"/>
      <c r="E63" s="221"/>
      <c r="F63" s="227">
        <f t="shared" si="9"/>
        <v>6700</v>
      </c>
    </row>
    <row r="64" spans="1:6" x14ac:dyDescent="0.2">
      <c r="A64" s="514" t="s">
        <v>1428</v>
      </c>
      <c r="B64" s="515">
        <f>+B65+B66+B67+B68</f>
        <v>119029.7</v>
      </c>
      <c r="C64" s="237">
        <f t="shared" ref="C64:E64" si="11">+C65+C66+C67+C68</f>
        <v>119029.7</v>
      </c>
      <c r="D64" s="237">
        <f t="shared" si="11"/>
        <v>119029.7</v>
      </c>
      <c r="E64" s="237">
        <f t="shared" si="11"/>
        <v>119029.7</v>
      </c>
      <c r="F64" s="238">
        <f t="shared" si="9"/>
        <v>476118.8</v>
      </c>
    </row>
    <row r="65" spans="1:6" x14ac:dyDescent="0.2">
      <c r="A65" s="516" t="s">
        <v>1429</v>
      </c>
      <c r="B65" s="513">
        <v>35847</v>
      </c>
      <c r="C65" s="221">
        <f t="shared" ref="C65:E67" si="12">+B65</f>
        <v>35847</v>
      </c>
      <c r="D65" s="221">
        <f t="shared" si="12"/>
        <v>35847</v>
      </c>
      <c r="E65" s="221">
        <f t="shared" si="12"/>
        <v>35847</v>
      </c>
      <c r="F65" s="227">
        <f t="shared" si="9"/>
        <v>143388</v>
      </c>
    </row>
    <row r="66" spans="1:6" x14ac:dyDescent="0.2">
      <c r="A66" s="516" t="s">
        <v>1430</v>
      </c>
      <c r="B66" s="513">
        <v>44045</v>
      </c>
      <c r="C66" s="221">
        <f t="shared" si="12"/>
        <v>44045</v>
      </c>
      <c r="D66" s="221">
        <f t="shared" si="12"/>
        <v>44045</v>
      </c>
      <c r="E66" s="221">
        <f t="shared" si="12"/>
        <v>44045</v>
      </c>
      <c r="F66" s="227">
        <f t="shared" si="9"/>
        <v>176180</v>
      </c>
    </row>
    <row r="67" spans="1:6" x14ac:dyDescent="0.2">
      <c r="A67" s="516" t="s">
        <v>1431</v>
      </c>
      <c r="B67" s="513">
        <v>38162</v>
      </c>
      <c r="C67" s="221">
        <f t="shared" si="12"/>
        <v>38162</v>
      </c>
      <c r="D67" s="221">
        <f t="shared" si="12"/>
        <v>38162</v>
      </c>
      <c r="E67" s="221">
        <f t="shared" si="12"/>
        <v>38162</v>
      </c>
      <c r="F67" s="227">
        <f t="shared" si="9"/>
        <v>152648</v>
      </c>
    </row>
    <row r="68" spans="1:6" x14ac:dyDescent="0.2">
      <c r="A68" s="516" t="s">
        <v>1432</v>
      </c>
      <c r="B68" s="513">
        <v>975.7</v>
      </c>
      <c r="C68" s="221">
        <v>975.7</v>
      </c>
      <c r="D68" s="221">
        <v>975.7</v>
      </c>
      <c r="E68" s="221">
        <v>975.7</v>
      </c>
      <c r="F68" s="227">
        <f t="shared" si="9"/>
        <v>3902.8</v>
      </c>
    </row>
    <row r="69" spans="1:6" x14ac:dyDescent="0.2">
      <c r="A69" s="514" t="s">
        <v>729</v>
      </c>
      <c r="B69" s="515">
        <v>13799</v>
      </c>
      <c r="C69" s="237">
        <f>+B69*1.1</f>
        <v>15178.900000000001</v>
      </c>
      <c r="D69" s="237">
        <f>+C69*1.1</f>
        <v>16696.790000000005</v>
      </c>
      <c r="E69" s="237">
        <f>+D69*1.1</f>
        <v>18366.469000000008</v>
      </c>
      <c r="F69" s="238">
        <f t="shared" si="9"/>
        <v>64041.159000000014</v>
      </c>
    </row>
    <row r="70" spans="1:6" x14ac:dyDescent="0.2">
      <c r="A70" s="514" t="s">
        <v>1514</v>
      </c>
      <c r="B70" s="515">
        <f>+B71+B72+B73+B74</f>
        <v>3137</v>
      </c>
      <c r="C70" s="235">
        <f t="shared" ref="C70:F70" si="13">+C71+C72+C73+C74</f>
        <v>3137</v>
      </c>
      <c r="D70" s="235">
        <f t="shared" si="13"/>
        <v>3137</v>
      </c>
      <c r="E70" s="235">
        <f t="shared" si="13"/>
        <v>3137</v>
      </c>
      <c r="F70" s="236">
        <f t="shared" si="13"/>
        <v>12548</v>
      </c>
    </row>
    <row r="71" spans="1:6" x14ac:dyDescent="0.2">
      <c r="A71" s="517" t="s">
        <v>1670</v>
      </c>
      <c r="B71" s="513">
        <v>1459</v>
      </c>
      <c r="C71" s="221">
        <v>1459</v>
      </c>
      <c r="D71" s="221">
        <v>1459</v>
      </c>
      <c r="E71" s="221">
        <v>1459</v>
      </c>
      <c r="F71" s="227">
        <f t="shared" si="9"/>
        <v>5836</v>
      </c>
    </row>
    <row r="72" spans="1:6" x14ac:dyDescent="0.2">
      <c r="A72" s="517" t="s">
        <v>1515</v>
      </c>
      <c r="B72" s="513">
        <v>1010</v>
      </c>
      <c r="C72" s="220">
        <v>1010</v>
      </c>
      <c r="D72" s="220">
        <v>1010</v>
      </c>
      <c r="E72" s="220">
        <v>1010</v>
      </c>
      <c r="F72" s="227">
        <f t="shared" si="9"/>
        <v>4040</v>
      </c>
    </row>
    <row r="73" spans="1:6" x14ac:dyDescent="0.2">
      <c r="A73" s="517" t="s">
        <v>1516</v>
      </c>
      <c r="B73" s="513">
        <v>530</v>
      </c>
      <c r="C73" s="220">
        <v>530</v>
      </c>
      <c r="D73" s="220">
        <v>530</v>
      </c>
      <c r="E73" s="220">
        <v>530</v>
      </c>
      <c r="F73" s="227">
        <f t="shared" si="9"/>
        <v>2120</v>
      </c>
    </row>
    <row r="74" spans="1:6" x14ac:dyDescent="0.2">
      <c r="A74" s="517" t="s">
        <v>1517</v>
      </c>
      <c r="B74" s="518">
        <v>138</v>
      </c>
      <c r="C74" s="221">
        <v>138</v>
      </c>
      <c r="D74" s="221">
        <v>138</v>
      </c>
      <c r="E74" s="221">
        <v>138</v>
      </c>
      <c r="F74" s="227">
        <f t="shared" si="9"/>
        <v>552</v>
      </c>
    </row>
    <row r="75" spans="1:6" x14ac:dyDescent="0.2">
      <c r="A75" s="514" t="s">
        <v>1518</v>
      </c>
      <c r="B75" s="515"/>
      <c r="C75" s="237"/>
      <c r="D75" s="237">
        <v>1000</v>
      </c>
      <c r="E75" s="237"/>
      <c r="F75" s="238">
        <f t="shared" si="9"/>
        <v>1000</v>
      </c>
    </row>
    <row r="76" spans="1:6" x14ac:dyDescent="0.2">
      <c r="A76" s="514" t="s">
        <v>1433</v>
      </c>
      <c r="B76" s="519">
        <v>20</v>
      </c>
      <c r="C76" s="520">
        <v>20</v>
      </c>
      <c r="D76" s="520">
        <v>70</v>
      </c>
      <c r="E76" s="520">
        <v>20</v>
      </c>
      <c r="F76" s="238">
        <f t="shared" si="9"/>
        <v>130</v>
      </c>
    </row>
    <row r="77" spans="1:6" x14ac:dyDescent="0.2">
      <c r="A77" s="521" t="s">
        <v>1154</v>
      </c>
      <c r="B77" s="522">
        <f>+B78+B79</f>
        <v>415000</v>
      </c>
      <c r="C77" s="523">
        <f t="shared" ref="C77:E77" si="14">+C78+C79</f>
        <v>441667</v>
      </c>
      <c r="D77" s="523">
        <f t="shared" si="14"/>
        <v>36666.666666666664</v>
      </c>
      <c r="E77" s="523">
        <f t="shared" si="14"/>
        <v>36666.666666666664</v>
      </c>
      <c r="F77" s="524">
        <f t="shared" ref="F77:F79" si="15">SUM(B77:E77)</f>
        <v>930000.33333333326</v>
      </c>
    </row>
    <row r="78" spans="1:6" x14ac:dyDescent="0.2">
      <c r="A78" s="525" t="s">
        <v>1495</v>
      </c>
      <c r="B78" s="513">
        <v>15000</v>
      </c>
      <c r="C78" s="221">
        <v>36666.666666666664</v>
      </c>
      <c r="D78" s="221">
        <v>36666.666666666664</v>
      </c>
      <c r="E78" s="221">
        <v>36666.666666666664</v>
      </c>
      <c r="F78" s="526">
        <f t="shared" si="15"/>
        <v>125000</v>
      </c>
    </row>
    <row r="79" spans="1:6" x14ac:dyDescent="0.2">
      <c r="A79" s="512" t="s">
        <v>1519</v>
      </c>
      <c r="B79" s="527">
        <f>415000-B78</f>
        <v>400000</v>
      </c>
      <c r="C79" s="528">
        <f>441667-C78</f>
        <v>405000.33333333331</v>
      </c>
      <c r="D79" s="221"/>
      <c r="E79" s="221"/>
      <c r="F79" s="526">
        <f t="shared" si="15"/>
        <v>805000.33333333326</v>
      </c>
    </row>
    <row r="80" spans="1:6" ht="25.5" x14ac:dyDescent="0.2">
      <c r="A80" s="529" t="s">
        <v>1520</v>
      </c>
      <c r="B80" s="530">
        <f>+B81+B82</f>
        <v>121505</v>
      </c>
      <c r="C80" s="531">
        <f t="shared" ref="C80:F80" si="16">+C81+C82</f>
        <v>16907</v>
      </c>
      <c r="D80" s="531">
        <f t="shared" si="16"/>
        <v>8099</v>
      </c>
      <c r="E80" s="531">
        <f t="shared" si="16"/>
        <v>0</v>
      </c>
      <c r="F80" s="532">
        <f t="shared" si="16"/>
        <v>146511</v>
      </c>
    </row>
    <row r="81" spans="1:6" x14ac:dyDescent="0.2">
      <c r="A81" s="533" t="s">
        <v>1434</v>
      </c>
      <c r="B81" s="513">
        <f>7155+25332</f>
        <v>32487</v>
      </c>
      <c r="C81" s="221">
        <f>1124+15783</f>
        <v>16907</v>
      </c>
      <c r="D81" s="221">
        <f>706+7393</f>
        <v>8099</v>
      </c>
      <c r="E81" s="221"/>
      <c r="F81" s="228">
        <f t="shared" ref="F81" si="17">SUM(B81:E81)</f>
        <v>57493</v>
      </c>
    </row>
    <row r="82" spans="1:6" x14ac:dyDescent="0.2">
      <c r="A82" s="534" t="s">
        <v>1521</v>
      </c>
      <c r="B82" s="513">
        <v>89018</v>
      </c>
      <c r="C82" s="221"/>
      <c r="D82" s="221"/>
      <c r="E82" s="221"/>
      <c r="F82" s="227">
        <f t="shared" si="9"/>
        <v>89018</v>
      </c>
    </row>
    <row r="83" spans="1:6" x14ac:dyDescent="0.2">
      <c r="A83" s="514" t="s">
        <v>1522</v>
      </c>
      <c r="B83" s="515"/>
      <c r="C83" s="237"/>
      <c r="D83" s="237"/>
      <c r="E83" s="237"/>
      <c r="F83" s="238">
        <v>17759</v>
      </c>
    </row>
    <row r="84" spans="1:6" x14ac:dyDescent="0.2">
      <c r="A84" s="514" t="s">
        <v>1523</v>
      </c>
      <c r="B84" s="515">
        <v>213509</v>
      </c>
      <c r="C84" s="237">
        <v>73097</v>
      </c>
      <c r="D84" s="237">
        <v>20996</v>
      </c>
      <c r="E84" s="237"/>
      <c r="F84" s="238">
        <v>307602</v>
      </c>
    </row>
    <row r="85" spans="1:6" x14ac:dyDescent="0.2">
      <c r="A85" s="517" t="s">
        <v>1524</v>
      </c>
      <c r="B85" s="513"/>
      <c r="C85" s="221"/>
      <c r="D85" s="221"/>
      <c r="E85" s="221"/>
      <c r="F85" s="227">
        <v>8411</v>
      </c>
    </row>
    <row r="86" spans="1:6" x14ac:dyDescent="0.2">
      <c r="A86" s="517" t="s">
        <v>109</v>
      </c>
      <c r="B86" s="513"/>
      <c r="C86" s="221"/>
      <c r="D86" s="221"/>
      <c r="E86" s="221"/>
      <c r="F86" s="227">
        <v>62987</v>
      </c>
    </row>
    <row r="87" spans="1:6" x14ac:dyDescent="0.2">
      <c r="A87" s="517" t="s">
        <v>110</v>
      </c>
      <c r="B87" s="513"/>
      <c r="C87" s="221"/>
      <c r="D87" s="221"/>
      <c r="E87" s="221"/>
      <c r="F87" s="227">
        <v>59846</v>
      </c>
    </row>
    <row r="88" spans="1:6" x14ac:dyDescent="0.2">
      <c r="A88" s="517" t="s">
        <v>1525</v>
      </c>
      <c r="B88" s="513"/>
      <c r="C88" s="221"/>
      <c r="D88" s="221"/>
      <c r="E88" s="221"/>
      <c r="F88" s="227">
        <v>176357</v>
      </c>
    </row>
    <row r="89" spans="1:6" x14ac:dyDescent="0.2">
      <c r="A89" s="514" t="s">
        <v>1526</v>
      </c>
      <c r="B89" s="535">
        <v>74052</v>
      </c>
      <c r="C89" s="237">
        <v>150</v>
      </c>
      <c r="D89" s="237"/>
      <c r="E89" s="237"/>
      <c r="F89" s="524">
        <f t="shared" ref="F89:F90" si="18">SUM(B89:E89)</f>
        <v>74202</v>
      </c>
    </row>
    <row r="90" spans="1:6" x14ac:dyDescent="0.2">
      <c r="A90" s="514" t="s">
        <v>1527</v>
      </c>
      <c r="B90" s="536">
        <v>355</v>
      </c>
      <c r="C90" s="237">
        <v>290</v>
      </c>
      <c r="D90" s="237">
        <v>347</v>
      </c>
      <c r="E90" s="237">
        <v>367</v>
      </c>
      <c r="F90" s="524">
        <f t="shared" si="18"/>
        <v>1359</v>
      </c>
    </row>
    <row r="91" spans="1:6" x14ac:dyDescent="0.2">
      <c r="A91" s="514" t="s">
        <v>1528</v>
      </c>
      <c r="B91" s="515">
        <v>300</v>
      </c>
      <c r="C91" s="237">
        <v>300</v>
      </c>
      <c r="D91" s="237">
        <v>300</v>
      </c>
      <c r="E91" s="237">
        <v>300</v>
      </c>
      <c r="F91" s="238">
        <f t="shared" si="9"/>
        <v>1200</v>
      </c>
    </row>
    <row r="92" spans="1:6" ht="25.5" x14ac:dyDescent="0.2">
      <c r="A92" s="529" t="s">
        <v>1529</v>
      </c>
      <c r="B92" s="530">
        <v>50</v>
      </c>
      <c r="C92" s="537">
        <v>6444</v>
      </c>
      <c r="D92" s="537">
        <v>6512</v>
      </c>
      <c r="E92" s="537">
        <v>6571</v>
      </c>
      <c r="F92" s="538">
        <f t="shared" si="9"/>
        <v>19577</v>
      </c>
    </row>
    <row r="93" spans="1:6" x14ac:dyDescent="0.2">
      <c r="A93" s="521" t="s">
        <v>1530</v>
      </c>
      <c r="B93" s="515"/>
      <c r="C93" s="237">
        <v>1700</v>
      </c>
      <c r="D93" s="237"/>
      <c r="E93" s="237"/>
      <c r="F93" s="238">
        <f t="shared" si="9"/>
        <v>1700</v>
      </c>
    </row>
    <row r="94" spans="1:6" x14ac:dyDescent="0.2">
      <c r="A94" s="521" t="s">
        <v>1531</v>
      </c>
      <c r="B94" s="515">
        <v>100</v>
      </c>
      <c r="C94" s="237">
        <v>100</v>
      </c>
      <c r="D94" s="237">
        <v>100</v>
      </c>
      <c r="E94" s="237">
        <v>100</v>
      </c>
      <c r="F94" s="238">
        <f t="shared" si="9"/>
        <v>400</v>
      </c>
    </row>
    <row r="95" spans="1:6" x14ac:dyDescent="0.2">
      <c r="A95" s="514" t="s">
        <v>1532</v>
      </c>
      <c r="B95" s="536"/>
      <c r="C95" s="237">
        <v>200</v>
      </c>
      <c r="D95" s="237">
        <v>500</v>
      </c>
      <c r="E95" s="237">
        <v>400</v>
      </c>
      <c r="F95" s="524">
        <f t="shared" ref="F95" si="19">SUM(B95:E95)</f>
        <v>1100</v>
      </c>
    </row>
    <row r="96" spans="1:6" x14ac:dyDescent="0.2">
      <c r="A96" s="514" t="s">
        <v>1533</v>
      </c>
      <c r="B96" s="515">
        <v>75</v>
      </c>
      <c r="C96" s="237">
        <v>75</v>
      </c>
      <c r="D96" s="237">
        <v>75</v>
      </c>
      <c r="E96" s="237">
        <v>75</v>
      </c>
      <c r="F96" s="238">
        <f t="shared" si="9"/>
        <v>300</v>
      </c>
    </row>
    <row r="97" spans="1:6" x14ac:dyDescent="0.2">
      <c r="A97" s="514" t="s">
        <v>1534</v>
      </c>
      <c r="B97" s="515">
        <v>100</v>
      </c>
      <c r="C97" s="237">
        <v>100</v>
      </c>
      <c r="D97" s="237">
        <v>100</v>
      </c>
      <c r="E97" s="237">
        <v>100</v>
      </c>
      <c r="F97" s="238">
        <f t="shared" si="9"/>
        <v>400</v>
      </c>
    </row>
    <row r="98" spans="1:6" x14ac:dyDescent="0.2">
      <c r="A98" s="514" t="s">
        <v>1535</v>
      </c>
      <c r="B98" s="515">
        <f>+B99+B100</f>
        <v>280</v>
      </c>
      <c r="C98" s="235">
        <f t="shared" ref="C98:F98" si="20">+C99+C100</f>
        <v>305</v>
      </c>
      <c r="D98" s="237">
        <f t="shared" si="20"/>
        <v>585</v>
      </c>
      <c r="E98" s="237">
        <f t="shared" si="20"/>
        <v>285</v>
      </c>
      <c r="F98" s="238">
        <f t="shared" si="20"/>
        <v>1455</v>
      </c>
    </row>
    <row r="99" spans="1:6" x14ac:dyDescent="0.2">
      <c r="A99" s="539" t="s">
        <v>109</v>
      </c>
      <c r="B99" s="540">
        <v>250</v>
      </c>
      <c r="C99" s="541">
        <v>250</v>
      </c>
      <c r="D99" s="541">
        <v>250</v>
      </c>
      <c r="E99" s="541">
        <v>250</v>
      </c>
      <c r="F99" s="542">
        <f t="shared" si="9"/>
        <v>1000</v>
      </c>
    </row>
    <row r="100" spans="1:6" x14ac:dyDescent="0.2">
      <c r="A100" s="539" t="s">
        <v>1515</v>
      </c>
      <c r="B100" s="543">
        <v>30</v>
      </c>
      <c r="C100" s="541">
        <v>55</v>
      </c>
      <c r="D100" s="541">
        <v>335</v>
      </c>
      <c r="E100" s="541">
        <v>35</v>
      </c>
      <c r="F100" s="542">
        <f t="shared" si="9"/>
        <v>455</v>
      </c>
    </row>
    <row r="101" spans="1:6" x14ac:dyDescent="0.2">
      <c r="A101" s="514" t="s">
        <v>1536</v>
      </c>
      <c r="B101" s="515">
        <v>150</v>
      </c>
      <c r="C101" s="237">
        <v>150</v>
      </c>
      <c r="D101" s="237">
        <v>150</v>
      </c>
      <c r="E101" s="237">
        <v>150</v>
      </c>
      <c r="F101" s="238">
        <f t="shared" si="9"/>
        <v>600</v>
      </c>
    </row>
    <row r="102" spans="1:6" x14ac:dyDescent="0.2">
      <c r="A102" s="521" t="s">
        <v>1537</v>
      </c>
      <c r="B102" s="536">
        <v>135</v>
      </c>
      <c r="C102" s="237">
        <v>285</v>
      </c>
      <c r="D102" s="237">
        <v>135</v>
      </c>
      <c r="E102" s="237">
        <v>135</v>
      </c>
      <c r="F102" s="238">
        <f t="shared" si="9"/>
        <v>690</v>
      </c>
    </row>
    <row r="103" spans="1:6" x14ac:dyDescent="0.2">
      <c r="A103" s="521" t="s">
        <v>1538</v>
      </c>
      <c r="B103" s="536"/>
      <c r="C103" s="237">
        <v>30</v>
      </c>
      <c r="D103" s="237"/>
      <c r="E103" s="237"/>
      <c r="F103" s="238">
        <f t="shared" si="9"/>
        <v>30</v>
      </c>
    </row>
    <row r="104" spans="1:6" ht="25.5" x14ac:dyDescent="0.2">
      <c r="A104" s="544" t="s">
        <v>1539</v>
      </c>
      <c r="B104" s="545"/>
      <c r="C104" s="546">
        <v>140</v>
      </c>
      <c r="D104" s="546">
        <v>200</v>
      </c>
      <c r="E104" s="546">
        <v>300</v>
      </c>
      <c r="F104" s="238">
        <f t="shared" si="9"/>
        <v>640</v>
      </c>
    </row>
    <row r="105" spans="1:6" x14ac:dyDescent="0.2">
      <c r="A105" s="514" t="s">
        <v>1540</v>
      </c>
      <c r="B105" s="536">
        <v>310</v>
      </c>
      <c r="C105" s="237">
        <v>1550</v>
      </c>
      <c r="D105" s="237">
        <v>1000</v>
      </c>
      <c r="E105" s="237">
        <v>750</v>
      </c>
      <c r="F105" s="238">
        <f t="shared" si="9"/>
        <v>3610</v>
      </c>
    </row>
    <row r="106" spans="1:6" ht="25.5" x14ac:dyDescent="0.2">
      <c r="A106" s="547" t="s">
        <v>1541</v>
      </c>
      <c r="B106" s="548">
        <v>50</v>
      </c>
      <c r="C106" s="537">
        <v>760</v>
      </c>
      <c r="D106" s="537">
        <v>540</v>
      </c>
      <c r="E106" s="537">
        <v>40</v>
      </c>
      <c r="F106" s="549">
        <f t="shared" ref="F106" si="21">SUM(B106:E106)</f>
        <v>1390</v>
      </c>
    </row>
    <row r="107" spans="1:6" x14ac:dyDescent="0.2">
      <c r="A107" s="521" t="s">
        <v>1542</v>
      </c>
      <c r="B107" s="548">
        <v>15000</v>
      </c>
      <c r="C107" s="537">
        <v>15000</v>
      </c>
      <c r="D107" s="537">
        <v>15000</v>
      </c>
      <c r="E107" s="537">
        <v>15000</v>
      </c>
      <c r="F107" s="238">
        <f t="shared" si="9"/>
        <v>60000</v>
      </c>
    </row>
    <row r="108" spans="1:6" x14ac:dyDescent="0.2">
      <c r="A108" s="550" t="s">
        <v>1543</v>
      </c>
      <c r="B108" s="551">
        <v>200</v>
      </c>
      <c r="C108" s="552">
        <v>200</v>
      </c>
      <c r="D108" s="552">
        <v>200</v>
      </c>
      <c r="E108" s="552">
        <v>200</v>
      </c>
      <c r="F108" s="553">
        <f t="shared" si="9"/>
        <v>800</v>
      </c>
    </row>
    <row r="109" spans="1:6" x14ac:dyDescent="0.2">
      <c r="A109" s="521" t="s">
        <v>1453</v>
      </c>
      <c r="B109" s="536">
        <v>30</v>
      </c>
      <c r="C109" s="237">
        <v>30</v>
      </c>
      <c r="D109" s="237">
        <v>30</v>
      </c>
      <c r="E109" s="237">
        <v>30</v>
      </c>
      <c r="F109" s="238">
        <f t="shared" si="9"/>
        <v>120</v>
      </c>
    </row>
    <row r="110" spans="1:6" x14ac:dyDescent="0.2">
      <c r="A110" s="514" t="s">
        <v>1544</v>
      </c>
      <c r="B110" s="536">
        <v>5</v>
      </c>
      <c r="C110" s="237">
        <v>5</v>
      </c>
      <c r="D110" s="237">
        <v>5</v>
      </c>
      <c r="E110" s="237">
        <v>5</v>
      </c>
      <c r="F110" s="524">
        <f t="shared" ref="F110" si="22">SUM(B110:E110)</f>
        <v>20</v>
      </c>
    </row>
    <row r="111" spans="1:6" ht="13.5" thickBot="1" x14ac:dyDescent="0.25">
      <c r="A111" s="514" t="s">
        <v>1545</v>
      </c>
      <c r="B111" s="554">
        <v>131878.6</v>
      </c>
      <c r="C111" s="555">
        <v>200140.7</v>
      </c>
      <c r="D111" s="555">
        <v>216593</v>
      </c>
      <c r="E111" s="555">
        <v>205657</v>
      </c>
      <c r="F111" s="238">
        <f t="shared" si="9"/>
        <v>754269.3</v>
      </c>
    </row>
    <row r="112" spans="1:6" ht="13.5" thickBot="1" x14ac:dyDescent="0.25">
      <c r="A112" s="556" t="s">
        <v>823</v>
      </c>
      <c r="B112" s="557">
        <f>+B57+B59+B64+B69+B70+B75+B76+B79+B80+B83+B84+B89+B90+B91+B92+B93+B94+B95+B96+B97+B98+B101+B102+B103+B104+B105+B106+B107+B108+B111</f>
        <v>1434462.5</v>
      </c>
      <c r="C112" s="558">
        <f>+C57+C59+C64+C69+C70+C75+C76+C79+C80+C83+C84+C89+C90+C91+C92+C93+C94+C95+C96+C97+C98+C101+C102+C103+C104+C105+C106+C107+C108+C111</f>
        <v>1204135.5973333332</v>
      </c>
      <c r="D112" s="558">
        <f>+D57+D59+D64+D69+D70+D75+D76+D77+D80+D83+D84+D89+D90+D91+D92+D93+D94+D95+D96+D97+D98+D101+D102+D103+D104+D105+D106+D107+D108+D111</f>
        <v>800388.07994666661</v>
      </c>
      <c r="E112" s="558">
        <f>+E57+E59+E64+E69+E70+E75+E76+E77+E80+E83+E84+E89+E90+E91+E92+E93+E94+E95+E96+E97+E98+E101+E102+E103+E104+E105+E106+E107+E108+E111</f>
        <v>772540.83664506674</v>
      </c>
      <c r="F112" s="558">
        <f>+F57+F58+F59+F64+F69+F70+F75+F76+F77+F80+F83+F84+F89+F90+F91+F92+F93+F94+F95+F96+F97+F98+F101+F102+F103+F104+F105+F106+F107+F108+F109+F110+F111</f>
        <v>4286714.6805917332</v>
      </c>
    </row>
    <row r="113" spans="1:7" ht="15" x14ac:dyDescent="0.25">
      <c r="A113" s="559" t="s">
        <v>1546</v>
      </c>
      <c r="B113"/>
      <c r="C113"/>
      <c r="D113"/>
      <c r="E113"/>
      <c r="F113" s="560"/>
    </row>
    <row r="114" spans="1:7" ht="29.25" customHeight="1" x14ac:dyDescent="0.2">
      <c r="A114" s="915" t="s">
        <v>1547</v>
      </c>
      <c r="B114" s="915"/>
      <c r="C114" s="915"/>
      <c r="D114" s="915"/>
      <c r="E114" s="915"/>
      <c r="F114" s="915"/>
    </row>
    <row r="115" spans="1:7" x14ac:dyDescent="0.2">
      <c r="A115" s="323"/>
    </row>
    <row r="117" spans="1:7" x14ac:dyDescent="0.2">
      <c r="A117" s="912" t="s">
        <v>1440</v>
      </c>
      <c r="B117" s="917" t="s">
        <v>1286</v>
      </c>
      <c r="C117" s="918"/>
      <c r="D117" s="918"/>
      <c r="E117" s="919"/>
      <c r="F117" s="912" t="s">
        <v>1500</v>
      </c>
    </row>
    <row r="118" spans="1:7" x14ac:dyDescent="0.2">
      <c r="A118" s="913"/>
      <c r="B118" s="331">
        <v>2012</v>
      </c>
      <c r="C118" s="331">
        <v>2013</v>
      </c>
      <c r="D118" s="331">
        <v>2014</v>
      </c>
      <c r="E118" s="331">
        <v>2015</v>
      </c>
      <c r="F118" s="913"/>
    </row>
    <row r="119" spans="1:7" x14ac:dyDescent="0.2">
      <c r="A119" s="332" t="s">
        <v>1441</v>
      </c>
      <c r="B119" s="314">
        <v>89018</v>
      </c>
      <c r="C119" s="314"/>
      <c r="D119" s="314"/>
      <c r="E119" s="314"/>
      <c r="F119" s="340">
        <f>SUM(B119:E119)</f>
        <v>89018</v>
      </c>
    </row>
    <row r="120" spans="1:7" x14ac:dyDescent="0.2">
      <c r="A120" s="332" t="s">
        <v>1442</v>
      </c>
      <c r="B120" s="314">
        <v>1459</v>
      </c>
      <c r="C120" s="314">
        <v>1459</v>
      </c>
      <c r="D120" s="314">
        <v>1459</v>
      </c>
      <c r="E120" s="314">
        <v>1459</v>
      </c>
      <c r="F120" s="340">
        <f t="shared" ref="F120:F168" si="23">SUM(B120:E120)</f>
        <v>5836</v>
      </c>
    </row>
    <row r="121" spans="1:7" x14ac:dyDescent="0.2">
      <c r="A121" s="332" t="s">
        <v>1443</v>
      </c>
      <c r="B121" s="314">
        <v>355</v>
      </c>
      <c r="C121" s="314">
        <v>290</v>
      </c>
      <c r="D121" s="314">
        <v>347</v>
      </c>
      <c r="E121" s="314">
        <v>367</v>
      </c>
      <c r="F121" s="340">
        <f t="shared" si="23"/>
        <v>1359</v>
      </c>
    </row>
    <row r="122" spans="1:7" x14ac:dyDescent="0.2">
      <c r="A122" s="333" t="s">
        <v>1433</v>
      </c>
      <c r="B122" s="221">
        <v>20</v>
      </c>
      <c r="C122" s="315">
        <v>20</v>
      </c>
      <c r="D122" s="315">
        <v>70</v>
      </c>
      <c r="E122" s="315">
        <v>20</v>
      </c>
      <c r="F122" s="341">
        <f t="shared" si="23"/>
        <v>130</v>
      </c>
    </row>
    <row r="123" spans="1:7" x14ac:dyDescent="0.2">
      <c r="A123" s="333" t="s">
        <v>1444</v>
      </c>
      <c r="B123" s="221">
        <v>100</v>
      </c>
      <c r="C123" s="315">
        <v>100</v>
      </c>
      <c r="D123" s="315">
        <v>100</v>
      </c>
      <c r="E123" s="315">
        <v>100</v>
      </c>
      <c r="F123" s="341">
        <f t="shared" si="23"/>
        <v>400</v>
      </c>
    </row>
    <row r="124" spans="1:7" x14ac:dyDescent="0.2">
      <c r="A124" s="333" t="s">
        <v>1445</v>
      </c>
      <c r="B124" s="221">
        <v>75</v>
      </c>
      <c r="C124" s="315">
        <v>75</v>
      </c>
      <c r="D124" s="315">
        <v>75</v>
      </c>
      <c r="E124" s="315">
        <v>75</v>
      </c>
      <c r="F124" s="341">
        <f t="shared" si="23"/>
        <v>300</v>
      </c>
    </row>
    <row r="125" spans="1:7" x14ac:dyDescent="0.2">
      <c r="A125" s="333" t="s">
        <v>1446</v>
      </c>
      <c r="B125" s="221">
        <v>100</v>
      </c>
      <c r="C125" s="315">
        <v>100</v>
      </c>
      <c r="D125" s="315">
        <v>100</v>
      </c>
      <c r="E125" s="315">
        <v>100</v>
      </c>
      <c r="F125" s="341">
        <f t="shared" si="23"/>
        <v>400</v>
      </c>
    </row>
    <row r="126" spans="1:7" x14ac:dyDescent="0.2">
      <c r="A126" s="333" t="s">
        <v>1447</v>
      </c>
      <c r="B126" s="221">
        <v>250</v>
      </c>
      <c r="C126" s="315">
        <v>250</v>
      </c>
      <c r="D126" s="315">
        <v>250</v>
      </c>
      <c r="E126" s="315">
        <v>250</v>
      </c>
      <c r="F126" s="341">
        <f t="shared" si="23"/>
        <v>1000</v>
      </c>
    </row>
    <row r="127" spans="1:7" x14ac:dyDescent="0.2">
      <c r="A127" s="333" t="s">
        <v>1448</v>
      </c>
      <c r="B127" s="221">
        <v>150</v>
      </c>
      <c r="C127" s="315">
        <v>150</v>
      </c>
      <c r="D127" s="315">
        <v>150</v>
      </c>
      <c r="E127" s="315">
        <v>150</v>
      </c>
      <c r="F127" s="341">
        <f t="shared" si="23"/>
        <v>600</v>
      </c>
      <c r="G127" s="334"/>
    </row>
    <row r="128" spans="1:7" x14ac:dyDescent="0.2">
      <c r="A128" s="333" t="s">
        <v>1491</v>
      </c>
      <c r="B128" s="221">
        <v>10</v>
      </c>
      <c r="C128" s="315"/>
      <c r="D128" s="315"/>
      <c r="E128" s="315"/>
      <c r="F128" s="341">
        <f t="shared" si="23"/>
        <v>10</v>
      </c>
    </row>
    <row r="129" spans="1:8" x14ac:dyDescent="0.2">
      <c r="A129" s="332" t="s">
        <v>1449</v>
      </c>
      <c r="B129" s="314">
        <v>1010</v>
      </c>
      <c r="C129" s="314">
        <v>1010</v>
      </c>
      <c r="D129" s="314">
        <v>1010</v>
      </c>
      <c r="E129" s="314">
        <v>1010</v>
      </c>
      <c r="F129" s="340">
        <f t="shared" si="23"/>
        <v>4040</v>
      </c>
      <c r="G129" s="334"/>
      <c r="H129" s="323"/>
    </row>
    <row r="130" spans="1:8" x14ac:dyDescent="0.2">
      <c r="A130" s="333" t="s">
        <v>1450</v>
      </c>
      <c r="B130" s="221">
        <v>30</v>
      </c>
      <c r="C130" s="221">
        <v>55</v>
      </c>
      <c r="D130" s="221">
        <v>335</v>
      </c>
      <c r="E130" s="221">
        <v>35</v>
      </c>
      <c r="F130" s="341">
        <f t="shared" si="23"/>
        <v>455</v>
      </c>
    </row>
    <row r="131" spans="1:8" x14ac:dyDescent="0.2">
      <c r="A131" s="333" t="s">
        <v>1451</v>
      </c>
      <c r="B131" s="221">
        <v>5</v>
      </c>
      <c r="C131" s="221">
        <v>5</v>
      </c>
      <c r="D131" s="221">
        <v>5</v>
      </c>
      <c r="E131" s="221">
        <v>5</v>
      </c>
      <c r="F131" s="341">
        <f t="shared" si="23"/>
        <v>20</v>
      </c>
    </row>
    <row r="132" spans="1:8" x14ac:dyDescent="0.2">
      <c r="A132" s="332" t="s">
        <v>1452</v>
      </c>
      <c r="B132" s="314">
        <v>530</v>
      </c>
      <c r="C132" s="314">
        <v>530</v>
      </c>
      <c r="D132" s="314">
        <v>530</v>
      </c>
      <c r="E132" s="314">
        <v>530</v>
      </c>
      <c r="F132" s="340">
        <f t="shared" si="23"/>
        <v>2120</v>
      </c>
    </row>
    <row r="133" spans="1:8" x14ac:dyDescent="0.2">
      <c r="A133" s="333" t="s">
        <v>1453</v>
      </c>
      <c r="B133" s="221">
        <v>30</v>
      </c>
      <c r="C133" s="221">
        <v>30</v>
      </c>
      <c r="D133" s="221">
        <v>30</v>
      </c>
      <c r="E133" s="221">
        <v>30</v>
      </c>
      <c r="F133" s="341">
        <f t="shared" si="23"/>
        <v>120</v>
      </c>
    </row>
    <row r="134" spans="1:8" x14ac:dyDescent="0.2">
      <c r="A134" s="333" t="s">
        <v>1454</v>
      </c>
      <c r="B134" s="315"/>
      <c r="C134" s="315">
        <v>500</v>
      </c>
      <c r="D134" s="315">
        <v>100</v>
      </c>
      <c r="E134" s="315"/>
      <c r="F134" s="341">
        <f t="shared" si="23"/>
        <v>600</v>
      </c>
    </row>
    <row r="135" spans="1:8" x14ac:dyDescent="0.2">
      <c r="A135" s="333" t="s">
        <v>1455</v>
      </c>
      <c r="B135" s="315"/>
      <c r="C135" s="315">
        <v>70</v>
      </c>
      <c r="D135" s="315">
        <v>150</v>
      </c>
      <c r="E135" s="315">
        <v>150</v>
      </c>
      <c r="F135" s="341">
        <f t="shared" si="23"/>
        <v>370</v>
      </c>
    </row>
    <row r="136" spans="1:8" x14ac:dyDescent="0.2">
      <c r="A136" s="333" t="s">
        <v>1456</v>
      </c>
      <c r="B136" s="315"/>
      <c r="C136" s="315">
        <v>200</v>
      </c>
      <c r="D136" s="315">
        <v>200</v>
      </c>
      <c r="E136" s="315">
        <v>200</v>
      </c>
      <c r="F136" s="341">
        <f t="shared" si="23"/>
        <v>600</v>
      </c>
    </row>
    <row r="137" spans="1:8" x14ac:dyDescent="0.2">
      <c r="A137" s="333" t="s">
        <v>1457</v>
      </c>
      <c r="B137" s="315"/>
      <c r="C137" s="315"/>
      <c r="D137" s="315">
        <v>1000</v>
      </c>
      <c r="E137" s="315"/>
      <c r="F137" s="341">
        <f t="shared" si="23"/>
        <v>1000</v>
      </c>
    </row>
    <row r="138" spans="1:8" x14ac:dyDescent="0.2">
      <c r="A138" s="231" t="s">
        <v>823</v>
      </c>
      <c r="B138" s="232">
        <f>SUM(B119:B133)</f>
        <v>93142</v>
      </c>
      <c r="C138" s="232">
        <f>SUM(C119:C136)</f>
        <v>4844</v>
      </c>
      <c r="D138" s="232">
        <f>SUM(D119:D137)</f>
        <v>5911</v>
      </c>
      <c r="E138" s="232">
        <f>SUM(E119:E137)</f>
        <v>4481</v>
      </c>
      <c r="F138" s="342">
        <f t="shared" si="23"/>
        <v>108378</v>
      </c>
    </row>
    <row r="139" spans="1:8" x14ac:dyDescent="0.2">
      <c r="B139" s="335"/>
      <c r="C139" s="335"/>
      <c r="D139" s="335"/>
      <c r="E139" s="335"/>
      <c r="F139" s="323"/>
    </row>
    <row r="140" spans="1:8" x14ac:dyDescent="0.2">
      <c r="A140" s="909" t="s">
        <v>1440</v>
      </c>
      <c r="B140" s="910" t="s">
        <v>1287</v>
      </c>
      <c r="C140" s="911"/>
      <c r="D140" s="911"/>
      <c r="E140" s="911"/>
      <c r="F140" s="912" t="s">
        <v>1500</v>
      </c>
    </row>
    <row r="141" spans="1:8" x14ac:dyDescent="0.2">
      <c r="A141" s="909"/>
      <c r="B141" s="336">
        <v>2012</v>
      </c>
      <c r="C141" s="336">
        <v>2013</v>
      </c>
      <c r="D141" s="336">
        <v>2014</v>
      </c>
      <c r="E141" s="336">
        <v>2015</v>
      </c>
      <c r="F141" s="913"/>
    </row>
    <row r="142" spans="1:8" x14ac:dyDescent="0.2">
      <c r="A142" s="312" t="s">
        <v>1493</v>
      </c>
      <c r="B142" s="314">
        <v>138</v>
      </c>
      <c r="C142" s="314">
        <v>138</v>
      </c>
      <c r="D142" s="314">
        <v>138</v>
      </c>
      <c r="E142" s="314">
        <v>138</v>
      </c>
      <c r="F142" s="340">
        <f t="shared" si="23"/>
        <v>552</v>
      </c>
    </row>
    <row r="143" spans="1:8" x14ac:dyDescent="0.2">
      <c r="A143" s="312" t="s">
        <v>1458</v>
      </c>
      <c r="B143" s="313">
        <v>74052</v>
      </c>
      <c r="C143" s="314">
        <v>150</v>
      </c>
      <c r="D143" s="314"/>
      <c r="E143" s="314"/>
      <c r="F143" s="340">
        <f t="shared" si="23"/>
        <v>74202</v>
      </c>
    </row>
    <row r="144" spans="1:8" x14ac:dyDescent="0.2">
      <c r="A144" s="312" t="s">
        <v>1459</v>
      </c>
      <c r="B144" s="313">
        <v>213509</v>
      </c>
      <c r="C144" s="313">
        <v>73097</v>
      </c>
      <c r="D144" s="313">
        <v>20996</v>
      </c>
      <c r="E144" s="314"/>
      <c r="F144" s="340">
        <f t="shared" si="23"/>
        <v>307602</v>
      </c>
    </row>
    <row r="145" spans="1:8" x14ac:dyDescent="0.2">
      <c r="A145" s="311" t="s">
        <v>1492</v>
      </c>
      <c r="B145" s="315">
        <v>135</v>
      </c>
      <c r="C145" s="315">
        <v>285</v>
      </c>
      <c r="D145" s="315">
        <v>135</v>
      </c>
      <c r="E145" s="315">
        <v>135</v>
      </c>
      <c r="F145" s="341">
        <f t="shared" si="23"/>
        <v>690</v>
      </c>
    </row>
    <row r="146" spans="1:8" x14ac:dyDescent="0.2">
      <c r="A146" s="311" t="s">
        <v>1460</v>
      </c>
      <c r="B146" s="315"/>
      <c r="C146" s="315">
        <v>30</v>
      </c>
      <c r="D146" s="315"/>
      <c r="E146" s="315"/>
      <c r="F146" s="341">
        <f t="shared" si="23"/>
        <v>30</v>
      </c>
    </row>
    <row r="147" spans="1:8" x14ac:dyDescent="0.2">
      <c r="A147" s="231" t="s">
        <v>823</v>
      </c>
      <c r="B147" s="232">
        <f>SUM(B142:B145)</f>
        <v>287834</v>
      </c>
      <c r="C147" s="232">
        <f>SUM(C142:C146)</f>
        <v>73700</v>
      </c>
      <c r="D147" s="232">
        <f>SUM(D142:D146)</f>
        <v>21269</v>
      </c>
      <c r="E147" s="232">
        <f>SUM(E142:E146)</f>
        <v>273</v>
      </c>
      <c r="F147" s="342">
        <f t="shared" si="23"/>
        <v>383076</v>
      </c>
    </row>
    <row r="148" spans="1:8" x14ac:dyDescent="0.2">
      <c r="B148" s="335"/>
      <c r="C148" s="335"/>
      <c r="D148" s="335"/>
      <c r="E148" s="335"/>
      <c r="F148" s="323"/>
    </row>
    <row r="149" spans="1:8" x14ac:dyDescent="0.2">
      <c r="A149" s="909" t="s">
        <v>1440</v>
      </c>
      <c r="B149" s="910" t="s">
        <v>1288</v>
      </c>
      <c r="C149" s="911"/>
      <c r="D149" s="911"/>
      <c r="E149" s="911"/>
      <c r="F149" s="912" t="s">
        <v>1500</v>
      </c>
    </row>
    <row r="150" spans="1:8" x14ac:dyDescent="0.2">
      <c r="A150" s="909"/>
      <c r="B150" s="336">
        <v>2012</v>
      </c>
      <c r="C150" s="336">
        <v>2013</v>
      </c>
      <c r="D150" s="336">
        <v>2014</v>
      </c>
      <c r="E150" s="336">
        <v>2015</v>
      </c>
      <c r="F150" s="913"/>
    </row>
    <row r="151" spans="1:8" x14ac:dyDescent="0.2">
      <c r="A151" s="239" t="s">
        <v>1490</v>
      </c>
      <c r="B151" s="239"/>
      <c r="C151" s="287">
        <v>140</v>
      </c>
      <c r="D151" s="287">
        <v>200</v>
      </c>
      <c r="E151" s="287">
        <v>300</v>
      </c>
      <c r="F151" s="341">
        <f t="shared" si="23"/>
        <v>640</v>
      </c>
    </row>
    <row r="152" spans="1:8" ht="25.5" x14ac:dyDescent="0.2">
      <c r="A152" s="239" t="s">
        <v>1461</v>
      </c>
      <c r="B152" s="316">
        <v>50</v>
      </c>
      <c r="C152" s="316">
        <v>5874</v>
      </c>
      <c r="D152" s="316">
        <v>6262</v>
      </c>
      <c r="E152" s="316">
        <v>6413</v>
      </c>
      <c r="F152" s="353">
        <f t="shared" si="23"/>
        <v>18599</v>
      </c>
    </row>
    <row r="153" spans="1:8" x14ac:dyDescent="0.2">
      <c r="A153" s="311" t="s">
        <v>1462</v>
      </c>
      <c r="B153" s="316">
        <v>50</v>
      </c>
      <c r="C153" s="316">
        <v>760</v>
      </c>
      <c r="D153" s="316">
        <v>540</v>
      </c>
      <c r="E153" s="316">
        <v>40</v>
      </c>
      <c r="F153" s="341">
        <f t="shared" si="23"/>
        <v>1390</v>
      </c>
    </row>
    <row r="154" spans="1:8" x14ac:dyDescent="0.2">
      <c r="A154" s="311" t="s">
        <v>1494</v>
      </c>
      <c r="B154" s="316">
        <f>415000-B155</f>
        <v>400000</v>
      </c>
      <c r="C154" s="316">
        <f>441667-C155</f>
        <v>405000.33333333331</v>
      </c>
      <c r="D154" s="316"/>
      <c r="E154" s="316"/>
      <c r="F154" s="341">
        <f t="shared" si="23"/>
        <v>805000.33333333326</v>
      </c>
    </row>
    <row r="155" spans="1:8" x14ac:dyDescent="0.2">
      <c r="A155" s="312" t="s">
        <v>1495</v>
      </c>
      <c r="B155" s="317">
        <v>15000</v>
      </c>
      <c r="C155" s="314">
        <v>36666.666666666664</v>
      </c>
      <c r="D155" s="314">
        <v>36666.666666666664</v>
      </c>
      <c r="E155" s="314">
        <v>36666.666666666664</v>
      </c>
      <c r="F155" s="340">
        <f t="shared" si="23"/>
        <v>125000</v>
      </c>
      <c r="G155" s="334"/>
    </row>
    <row r="156" spans="1:8" x14ac:dyDescent="0.2">
      <c r="A156" s="311" t="s">
        <v>1155</v>
      </c>
      <c r="B156" s="316">
        <v>15000</v>
      </c>
      <c r="C156" s="316">
        <v>15000</v>
      </c>
      <c r="D156" s="316">
        <v>15000</v>
      </c>
      <c r="E156" s="316">
        <v>15000</v>
      </c>
      <c r="F156" s="341">
        <f t="shared" si="23"/>
        <v>60000</v>
      </c>
    </row>
    <row r="157" spans="1:8" x14ac:dyDescent="0.2">
      <c r="A157" s="312" t="s">
        <v>1463</v>
      </c>
      <c r="B157" s="337">
        <v>17759</v>
      </c>
      <c r="C157" s="338"/>
      <c r="D157" s="338"/>
      <c r="E157" s="338"/>
      <c r="F157" s="340">
        <f t="shared" si="23"/>
        <v>17759</v>
      </c>
      <c r="H157" s="323"/>
    </row>
    <row r="158" spans="1:8" x14ac:dyDescent="0.2">
      <c r="A158" s="229" t="s">
        <v>823</v>
      </c>
      <c r="B158" s="233">
        <f>SUM(B151:B157)</f>
        <v>447859</v>
      </c>
      <c r="C158" s="233">
        <f>SUM(C151:C157)</f>
        <v>463441</v>
      </c>
      <c r="D158" s="233">
        <f>SUM(D151:D157)</f>
        <v>58668.666666666664</v>
      </c>
      <c r="E158" s="233">
        <f>SUM(E151:E157)</f>
        <v>58419.666666666664</v>
      </c>
      <c r="F158" s="342">
        <f t="shared" si="23"/>
        <v>1028388.3333333333</v>
      </c>
    </row>
    <row r="159" spans="1:8" x14ac:dyDescent="0.2">
      <c r="B159" s="339"/>
      <c r="C159" s="339"/>
      <c r="D159" s="339"/>
      <c r="E159" s="339"/>
      <c r="F159" s="323"/>
    </row>
    <row r="160" spans="1:8" x14ac:dyDescent="0.2">
      <c r="F160" s="323"/>
    </row>
    <row r="161" spans="1:6" x14ac:dyDescent="0.2">
      <c r="A161" s="909" t="s">
        <v>1440</v>
      </c>
      <c r="B161" s="910" t="s">
        <v>1289</v>
      </c>
      <c r="C161" s="911"/>
      <c r="D161" s="911"/>
      <c r="E161" s="911"/>
      <c r="F161" s="912" t="s">
        <v>1500</v>
      </c>
    </row>
    <row r="162" spans="1:6" x14ac:dyDescent="0.2">
      <c r="A162" s="909"/>
      <c r="B162" s="336">
        <v>2012</v>
      </c>
      <c r="C162" s="336">
        <v>2013</v>
      </c>
      <c r="D162" s="336">
        <v>2014</v>
      </c>
      <c r="E162" s="336">
        <v>2015</v>
      </c>
      <c r="F162" s="913"/>
    </row>
    <row r="163" spans="1:6" x14ac:dyDescent="0.2">
      <c r="A163" s="312" t="s">
        <v>1464</v>
      </c>
      <c r="B163" s="314">
        <v>300</v>
      </c>
      <c r="C163" s="314">
        <v>300</v>
      </c>
      <c r="D163" s="314">
        <v>300</v>
      </c>
      <c r="E163" s="314">
        <v>300</v>
      </c>
      <c r="F163" s="340">
        <f t="shared" si="23"/>
        <v>1200</v>
      </c>
    </row>
    <row r="164" spans="1:6" x14ac:dyDescent="0.2">
      <c r="A164" s="311" t="s">
        <v>1465</v>
      </c>
      <c r="B164" s="315">
        <v>200</v>
      </c>
      <c r="C164" s="315">
        <v>200</v>
      </c>
      <c r="D164" s="315">
        <v>200</v>
      </c>
      <c r="E164" s="315">
        <v>200</v>
      </c>
      <c r="F164" s="341">
        <f t="shared" si="23"/>
        <v>800</v>
      </c>
    </row>
    <row r="165" spans="1:6" x14ac:dyDescent="0.2">
      <c r="A165" s="311" t="s">
        <v>1466</v>
      </c>
      <c r="B165" s="315">
        <v>310</v>
      </c>
      <c r="C165" s="315">
        <v>1350</v>
      </c>
      <c r="D165" s="315">
        <v>800</v>
      </c>
      <c r="E165" s="315">
        <v>550</v>
      </c>
      <c r="F165" s="341">
        <f t="shared" si="23"/>
        <v>3010</v>
      </c>
    </row>
    <row r="166" spans="1:6" x14ac:dyDescent="0.2">
      <c r="A166" s="311" t="s">
        <v>1467</v>
      </c>
      <c r="B166" s="315"/>
      <c r="C166" s="315">
        <v>1700</v>
      </c>
      <c r="D166" s="315"/>
      <c r="E166" s="315"/>
      <c r="F166" s="341">
        <f t="shared" si="23"/>
        <v>1700</v>
      </c>
    </row>
    <row r="167" spans="1:6" x14ac:dyDescent="0.2">
      <c r="A167" s="311" t="s">
        <v>1468</v>
      </c>
      <c r="B167" s="315"/>
      <c r="C167" s="315">
        <v>200</v>
      </c>
      <c r="D167" s="315">
        <v>500</v>
      </c>
      <c r="E167" s="315">
        <v>400</v>
      </c>
      <c r="F167" s="341">
        <f t="shared" si="23"/>
        <v>1100</v>
      </c>
    </row>
    <row r="168" spans="1:6" x14ac:dyDescent="0.2">
      <c r="A168" s="231" t="s">
        <v>823</v>
      </c>
      <c r="B168" s="232">
        <f>SUM(B163:B167)</f>
        <v>810</v>
      </c>
      <c r="C168" s="232">
        <f t="shared" ref="C168:E168" si="24">SUM(C163:C167)</f>
        <v>3750</v>
      </c>
      <c r="D168" s="232">
        <f t="shared" si="24"/>
        <v>1800</v>
      </c>
      <c r="E168" s="232">
        <f t="shared" si="24"/>
        <v>1450</v>
      </c>
      <c r="F168" s="342">
        <f t="shared" si="23"/>
        <v>7810</v>
      </c>
    </row>
    <row r="169" spans="1:6" x14ac:dyDescent="0.2">
      <c r="F169" s="323"/>
    </row>
    <row r="170" spans="1:6" x14ac:dyDescent="0.2">
      <c r="A170" s="916" t="s">
        <v>1499</v>
      </c>
      <c r="B170" s="916"/>
      <c r="C170" s="916"/>
      <c r="D170" s="916"/>
      <c r="E170" s="916"/>
      <c r="F170" s="343">
        <f>+F119+F120+F121+F129+F132+F142+F143+F144+F157+F163+F155</f>
        <v>628688</v>
      </c>
    </row>
    <row r="172" spans="1:6" x14ac:dyDescent="0.2">
      <c r="B172" s="323"/>
      <c r="C172" s="323"/>
      <c r="D172" s="323"/>
      <c r="E172" s="323"/>
      <c r="F172" s="323"/>
    </row>
    <row r="238" spans="1:6" ht="30.75" customHeight="1" x14ac:dyDescent="0.2"/>
    <row r="239" spans="1:6" ht="15" x14ac:dyDescent="0.25">
      <c r="A239"/>
      <c r="B239"/>
      <c r="C239"/>
      <c r="D239"/>
      <c r="E239"/>
      <c r="F239"/>
    </row>
  </sheetData>
  <mergeCells count="18">
    <mergeCell ref="A170:E170"/>
    <mergeCell ref="B117:E117"/>
    <mergeCell ref="A117:A118"/>
    <mergeCell ref="F149:F150"/>
    <mergeCell ref="F161:F162"/>
    <mergeCell ref="A149:A150"/>
    <mergeCell ref="B149:E149"/>
    <mergeCell ref="A161:A162"/>
    <mergeCell ref="B161:E161"/>
    <mergeCell ref="A22:F22"/>
    <mergeCell ref="A23:F23"/>
    <mergeCell ref="A140:A141"/>
    <mergeCell ref="B140:E140"/>
    <mergeCell ref="F117:F118"/>
    <mergeCell ref="F140:F141"/>
    <mergeCell ref="A49:F49"/>
    <mergeCell ref="A50:F50"/>
    <mergeCell ref="A114:F114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opLeftCell="A94" workbookViewId="0">
      <selection activeCell="B113" sqref="B113"/>
    </sheetView>
  </sheetViews>
  <sheetFormatPr baseColWidth="10" defaultRowHeight="15" x14ac:dyDescent="0.25"/>
  <cols>
    <col min="3" max="3" width="5" customWidth="1"/>
    <col min="4" max="4" width="44.85546875" customWidth="1"/>
    <col min="5" max="5" width="11.42578125" style="598"/>
    <col min="6" max="6" width="46.85546875" customWidth="1"/>
    <col min="7" max="7" width="11.42578125" style="598"/>
  </cols>
  <sheetData>
    <row r="1" spans="1:9" ht="17.25" customHeight="1" x14ac:dyDescent="0.25">
      <c r="A1" s="923" t="s">
        <v>1563</v>
      </c>
      <c r="B1" s="920" t="s">
        <v>1564</v>
      </c>
      <c r="C1" s="924" t="s">
        <v>826</v>
      </c>
      <c r="D1" s="925"/>
      <c r="E1" s="930" t="s">
        <v>1565</v>
      </c>
      <c r="F1" s="920" t="s">
        <v>1566</v>
      </c>
      <c r="G1" s="920" t="s">
        <v>1567</v>
      </c>
    </row>
    <row r="2" spans="1:9" ht="15.75" customHeight="1" x14ac:dyDescent="0.25">
      <c r="A2" s="923"/>
      <c r="B2" s="921"/>
      <c r="C2" s="926"/>
      <c r="D2" s="927"/>
      <c r="E2" s="930"/>
      <c r="F2" s="921"/>
      <c r="G2" s="921"/>
    </row>
    <row r="3" spans="1:9" ht="19.5" customHeight="1" x14ac:dyDescent="0.25">
      <c r="A3" s="923"/>
      <c r="B3" s="922"/>
      <c r="C3" s="928"/>
      <c r="D3" s="929"/>
      <c r="E3" s="930"/>
      <c r="F3" s="922"/>
      <c r="G3" s="922"/>
    </row>
    <row r="4" spans="1:9" x14ac:dyDescent="0.25">
      <c r="A4" s="579"/>
      <c r="B4" s="579"/>
      <c r="C4" s="580"/>
      <c r="D4" s="579"/>
      <c r="E4" s="580"/>
      <c r="F4" s="579"/>
      <c r="G4" s="580"/>
    </row>
    <row r="5" spans="1:9" x14ac:dyDescent="0.25">
      <c r="A5" s="931" t="s">
        <v>1286</v>
      </c>
      <c r="B5" s="932">
        <v>0.3</v>
      </c>
      <c r="C5" s="935" t="s">
        <v>778</v>
      </c>
      <c r="D5" s="938" t="s">
        <v>513</v>
      </c>
      <c r="E5" s="941">
        <v>0.11</v>
      </c>
      <c r="F5" s="581" t="s">
        <v>1568</v>
      </c>
      <c r="G5" s="582">
        <v>1.4999999999999999E-2</v>
      </c>
    </row>
    <row r="6" spans="1:9" x14ac:dyDescent="0.25">
      <c r="A6" s="931"/>
      <c r="B6" s="933"/>
      <c r="C6" s="936"/>
      <c r="D6" s="939"/>
      <c r="E6" s="936"/>
      <c r="F6" s="581" t="s">
        <v>1525</v>
      </c>
      <c r="G6" s="582">
        <v>1.4999999999999999E-2</v>
      </c>
      <c r="I6" s="583"/>
    </row>
    <row r="7" spans="1:9" x14ac:dyDescent="0.25">
      <c r="A7" s="931"/>
      <c r="B7" s="933"/>
      <c r="C7" s="936"/>
      <c r="D7" s="939"/>
      <c r="E7" s="936"/>
      <c r="F7" s="581" t="s">
        <v>1569</v>
      </c>
      <c r="G7" s="582">
        <v>2.5000000000000001E-2</v>
      </c>
    </row>
    <row r="8" spans="1:9" x14ac:dyDescent="0.25">
      <c r="A8" s="931"/>
      <c r="B8" s="933"/>
      <c r="C8" s="936"/>
      <c r="D8" s="939"/>
      <c r="E8" s="936"/>
      <c r="F8" s="581" t="s">
        <v>1570</v>
      </c>
      <c r="G8" s="582">
        <v>1.4999999999999999E-2</v>
      </c>
    </row>
    <row r="9" spans="1:9" x14ac:dyDescent="0.25">
      <c r="A9" s="931"/>
      <c r="B9" s="933"/>
      <c r="C9" s="936"/>
      <c r="D9" s="939"/>
      <c r="E9" s="936"/>
      <c r="F9" s="581" t="s">
        <v>1571</v>
      </c>
      <c r="G9" s="582">
        <v>0.02</v>
      </c>
    </row>
    <row r="10" spans="1:9" x14ac:dyDescent="0.25">
      <c r="A10" s="931"/>
      <c r="B10" s="933"/>
      <c r="C10" s="936"/>
      <c r="D10" s="939"/>
      <c r="E10" s="936"/>
      <c r="F10" s="581" t="s">
        <v>1572</v>
      </c>
      <c r="G10" s="582">
        <v>0.01</v>
      </c>
    </row>
    <row r="11" spans="1:9" x14ac:dyDescent="0.25">
      <c r="A11" s="931"/>
      <c r="B11" s="933"/>
      <c r="C11" s="937"/>
      <c r="D11" s="940"/>
      <c r="E11" s="937"/>
      <c r="F11" s="581" t="s">
        <v>1573</v>
      </c>
      <c r="G11" s="582">
        <v>0.01</v>
      </c>
    </row>
    <row r="12" spans="1:9" x14ac:dyDescent="0.25">
      <c r="A12" s="931"/>
      <c r="B12" s="933"/>
      <c r="C12" s="935" t="s">
        <v>779</v>
      </c>
      <c r="D12" s="938" t="s">
        <v>740</v>
      </c>
      <c r="E12" s="941">
        <v>0.15</v>
      </c>
      <c r="F12" s="581" t="s">
        <v>1574</v>
      </c>
      <c r="G12" s="582">
        <v>0.04</v>
      </c>
    </row>
    <row r="13" spans="1:9" x14ac:dyDescent="0.25">
      <c r="A13" s="931"/>
      <c r="B13" s="933"/>
      <c r="C13" s="936"/>
      <c r="D13" s="939"/>
      <c r="E13" s="936"/>
      <c r="F13" s="581" t="s">
        <v>1575</v>
      </c>
      <c r="G13" s="582">
        <v>0.04</v>
      </c>
    </row>
    <row r="14" spans="1:9" x14ac:dyDescent="0.25">
      <c r="A14" s="931"/>
      <c r="B14" s="933"/>
      <c r="C14" s="936"/>
      <c r="D14" s="939"/>
      <c r="E14" s="936"/>
      <c r="F14" s="581" t="s">
        <v>1576</v>
      </c>
      <c r="G14" s="582">
        <v>0.03</v>
      </c>
    </row>
    <row r="15" spans="1:9" x14ac:dyDescent="0.25">
      <c r="A15" s="931"/>
      <c r="B15" s="933"/>
      <c r="C15" s="937"/>
      <c r="D15" s="940"/>
      <c r="E15" s="937"/>
      <c r="F15" s="581" t="s">
        <v>1577</v>
      </c>
      <c r="G15" s="582">
        <v>0.04</v>
      </c>
    </row>
    <row r="16" spans="1:9" x14ac:dyDescent="0.25">
      <c r="A16" s="931"/>
      <c r="B16" s="933"/>
      <c r="C16" s="935" t="s">
        <v>780</v>
      </c>
      <c r="D16" s="938" t="s">
        <v>819</v>
      </c>
      <c r="E16" s="941">
        <v>0.08</v>
      </c>
      <c r="F16" s="581" t="s">
        <v>1578</v>
      </c>
      <c r="G16" s="582">
        <v>2.5000000000000001E-2</v>
      </c>
    </row>
    <row r="17" spans="1:7" x14ac:dyDescent="0.25">
      <c r="A17" s="931"/>
      <c r="B17" s="933"/>
      <c r="C17" s="936"/>
      <c r="D17" s="939"/>
      <c r="E17" s="936"/>
      <c r="F17" s="581" t="s">
        <v>1579</v>
      </c>
      <c r="G17" s="582">
        <v>0.01</v>
      </c>
    </row>
    <row r="18" spans="1:7" x14ac:dyDescent="0.25">
      <c r="A18" s="931"/>
      <c r="B18" s="933"/>
      <c r="C18" s="936"/>
      <c r="D18" s="939"/>
      <c r="E18" s="936"/>
      <c r="F18" s="581" t="s">
        <v>1580</v>
      </c>
      <c r="G18" s="582">
        <v>2.5000000000000001E-2</v>
      </c>
    </row>
    <row r="19" spans="1:7" x14ac:dyDescent="0.25">
      <c r="A19" s="931"/>
      <c r="B19" s="933"/>
      <c r="C19" s="936"/>
      <c r="D19" s="939"/>
      <c r="E19" s="936"/>
      <c r="F19" s="581" t="s">
        <v>1581</v>
      </c>
      <c r="G19" s="582">
        <v>0.01</v>
      </c>
    </row>
    <row r="20" spans="1:7" x14ac:dyDescent="0.25">
      <c r="A20" s="931"/>
      <c r="B20" s="933"/>
      <c r="C20" s="937"/>
      <c r="D20" s="940"/>
      <c r="E20" s="937"/>
      <c r="F20" s="581" t="s">
        <v>1582</v>
      </c>
      <c r="G20" s="582">
        <v>0.01</v>
      </c>
    </row>
    <row r="21" spans="1:7" x14ac:dyDescent="0.25">
      <c r="A21" s="931"/>
      <c r="B21" s="933"/>
      <c r="C21" s="935" t="s">
        <v>781</v>
      </c>
      <c r="D21" s="938" t="s">
        <v>944</v>
      </c>
      <c r="E21" s="941">
        <v>0.1</v>
      </c>
      <c r="F21" s="581" t="s">
        <v>1583</v>
      </c>
      <c r="G21" s="582">
        <v>1.4999999999999999E-2</v>
      </c>
    </row>
    <row r="22" spans="1:7" x14ac:dyDescent="0.25">
      <c r="A22" s="931"/>
      <c r="B22" s="933"/>
      <c r="C22" s="936"/>
      <c r="D22" s="939"/>
      <c r="E22" s="936"/>
      <c r="F22" s="581" t="s">
        <v>1584</v>
      </c>
      <c r="G22" s="582">
        <v>0.04</v>
      </c>
    </row>
    <row r="23" spans="1:7" x14ac:dyDescent="0.25">
      <c r="A23" s="931"/>
      <c r="B23" s="933"/>
      <c r="C23" s="936"/>
      <c r="D23" s="939"/>
      <c r="E23" s="936"/>
      <c r="F23" s="581" t="s">
        <v>1585</v>
      </c>
      <c r="G23" s="582">
        <v>0.03</v>
      </c>
    </row>
    <row r="24" spans="1:7" x14ac:dyDescent="0.25">
      <c r="A24" s="931"/>
      <c r="B24" s="933"/>
      <c r="C24" s="937"/>
      <c r="D24" s="940"/>
      <c r="E24" s="937"/>
      <c r="F24" s="581" t="s">
        <v>1586</v>
      </c>
      <c r="G24" s="582">
        <v>1.4999999999999999E-2</v>
      </c>
    </row>
    <row r="25" spans="1:7" x14ac:dyDescent="0.25">
      <c r="A25" s="931"/>
      <c r="B25" s="933"/>
      <c r="C25" s="935" t="s">
        <v>782</v>
      </c>
      <c r="D25" s="938" t="s">
        <v>820</v>
      </c>
      <c r="E25" s="941">
        <v>0.08</v>
      </c>
      <c r="F25" s="581" t="s">
        <v>1587</v>
      </c>
      <c r="G25" s="582">
        <v>1.0999999999999999E-2</v>
      </c>
    </row>
    <row r="26" spans="1:7" x14ac:dyDescent="0.25">
      <c r="A26" s="931"/>
      <c r="B26" s="933"/>
      <c r="C26" s="936"/>
      <c r="D26" s="939"/>
      <c r="E26" s="936"/>
      <c r="F26" s="581" t="s">
        <v>1588</v>
      </c>
      <c r="G26" s="582">
        <v>0.02</v>
      </c>
    </row>
    <row r="27" spans="1:7" x14ac:dyDescent="0.25">
      <c r="A27" s="931"/>
      <c r="B27" s="933"/>
      <c r="C27" s="936"/>
      <c r="D27" s="939"/>
      <c r="E27" s="936"/>
      <c r="F27" s="581" t="s">
        <v>1589</v>
      </c>
      <c r="G27" s="582">
        <v>0.02</v>
      </c>
    </row>
    <row r="28" spans="1:7" x14ac:dyDescent="0.25">
      <c r="A28" s="931"/>
      <c r="B28" s="933"/>
      <c r="C28" s="936"/>
      <c r="D28" s="939"/>
      <c r="E28" s="936"/>
      <c r="F28" s="581" t="s">
        <v>1590</v>
      </c>
      <c r="G28" s="582">
        <v>2.5000000000000001E-2</v>
      </c>
    </row>
    <row r="29" spans="1:7" x14ac:dyDescent="0.25">
      <c r="A29" s="931"/>
      <c r="B29" s="933"/>
      <c r="C29" s="937"/>
      <c r="D29" s="940"/>
      <c r="E29" s="937"/>
      <c r="F29" s="581" t="s">
        <v>1591</v>
      </c>
      <c r="G29" s="582">
        <v>4.0000000000000001E-3</v>
      </c>
    </row>
    <row r="30" spans="1:7" x14ac:dyDescent="0.25">
      <c r="A30" s="931"/>
      <c r="B30" s="933"/>
      <c r="C30" s="935" t="s">
        <v>783</v>
      </c>
      <c r="D30" s="938" t="s">
        <v>764</v>
      </c>
      <c r="E30" s="941">
        <v>0.08</v>
      </c>
      <c r="F30" s="581" t="s">
        <v>1592</v>
      </c>
      <c r="G30" s="582">
        <v>0.02</v>
      </c>
    </row>
    <row r="31" spans="1:7" x14ac:dyDescent="0.25">
      <c r="A31" s="931"/>
      <c r="B31" s="933"/>
      <c r="C31" s="936"/>
      <c r="D31" s="939"/>
      <c r="E31" s="936"/>
      <c r="F31" s="581" t="s">
        <v>1593</v>
      </c>
      <c r="G31" s="582">
        <v>0.02</v>
      </c>
    </row>
    <row r="32" spans="1:7" x14ac:dyDescent="0.25">
      <c r="A32" s="931"/>
      <c r="B32" s="933"/>
      <c r="C32" s="936"/>
      <c r="D32" s="939"/>
      <c r="E32" s="936"/>
      <c r="F32" s="581" t="s">
        <v>1594</v>
      </c>
      <c r="G32" s="582">
        <v>0.02</v>
      </c>
    </row>
    <row r="33" spans="1:7" x14ac:dyDescent="0.25">
      <c r="A33" s="931"/>
      <c r="B33" s="933"/>
      <c r="C33" s="937"/>
      <c r="D33" s="940"/>
      <c r="E33" s="937"/>
      <c r="F33" s="581" t="s">
        <v>1595</v>
      </c>
      <c r="G33" s="582">
        <v>0.02</v>
      </c>
    </row>
    <row r="34" spans="1:7" ht="25.5" x14ac:dyDescent="0.25">
      <c r="A34" s="931"/>
      <c r="B34" s="933"/>
      <c r="C34" s="584" t="s">
        <v>784</v>
      </c>
      <c r="D34" s="585" t="s">
        <v>767</v>
      </c>
      <c r="E34" s="586">
        <v>0.08</v>
      </c>
      <c r="F34" s="581" t="s">
        <v>1596</v>
      </c>
      <c r="G34" s="582">
        <v>0.08</v>
      </c>
    </row>
    <row r="35" spans="1:7" x14ac:dyDescent="0.25">
      <c r="A35" s="931"/>
      <c r="B35" s="933"/>
      <c r="C35" s="584" t="s">
        <v>785</v>
      </c>
      <c r="D35" s="585" t="s">
        <v>821</v>
      </c>
      <c r="E35" s="586">
        <v>0.08</v>
      </c>
      <c r="F35" s="581" t="s">
        <v>1597</v>
      </c>
      <c r="G35" s="582">
        <v>0.08</v>
      </c>
    </row>
    <row r="36" spans="1:7" ht="25.5" x14ac:dyDescent="0.25">
      <c r="A36" s="931"/>
      <c r="B36" s="933"/>
      <c r="C36" s="584" t="s">
        <v>786</v>
      </c>
      <c r="D36" s="585" t="s">
        <v>946</v>
      </c>
      <c r="E36" s="586">
        <v>0.08</v>
      </c>
      <c r="F36" s="581" t="s">
        <v>1598</v>
      </c>
      <c r="G36" s="582">
        <v>0.08</v>
      </c>
    </row>
    <row r="37" spans="1:7" x14ac:dyDescent="0.25">
      <c r="A37" s="931"/>
      <c r="B37" s="933"/>
      <c r="C37" s="935" t="s">
        <v>787</v>
      </c>
      <c r="D37" s="938" t="s">
        <v>822</v>
      </c>
      <c r="E37" s="941">
        <v>0.08</v>
      </c>
      <c r="F37" s="581" t="s">
        <v>1599</v>
      </c>
      <c r="G37" s="582">
        <v>0.02</v>
      </c>
    </row>
    <row r="38" spans="1:7" x14ac:dyDescent="0.25">
      <c r="A38" s="931"/>
      <c r="B38" s="933"/>
      <c r="C38" s="936"/>
      <c r="D38" s="939"/>
      <c r="E38" s="936"/>
      <c r="F38" s="581" t="s">
        <v>1600</v>
      </c>
      <c r="G38" s="582">
        <v>0.03</v>
      </c>
    </row>
    <row r="39" spans="1:7" x14ac:dyDescent="0.25">
      <c r="A39" s="931"/>
      <c r="B39" s="933"/>
      <c r="C39" s="937"/>
      <c r="D39" s="940"/>
      <c r="E39" s="937"/>
      <c r="F39" s="581" t="s">
        <v>1601</v>
      </c>
      <c r="G39" s="582">
        <v>0.03</v>
      </c>
    </row>
    <row r="40" spans="1:7" x14ac:dyDescent="0.25">
      <c r="A40" s="931"/>
      <c r="B40" s="933"/>
      <c r="C40" s="935" t="s">
        <v>945</v>
      </c>
      <c r="D40" s="938" t="s">
        <v>773</v>
      </c>
      <c r="E40" s="941">
        <v>0.08</v>
      </c>
      <c r="F40" s="581" t="s">
        <v>1602</v>
      </c>
      <c r="G40" s="582">
        <v>0.02</v>
      </c>
    </row>
    <row r="41" spans="1:7" ht="25.5" x14ac:dyDescent="0.25">
      <c r="A41" s="931"/>
      <c r="B41" s="933"/>
      <c r="C41" s="936"/>
      <c r="D41" s="939"/>
      <c r="E41" s="936"/>
      <c r="F41" s="581" t="s">
        <v>1603</v>
      </c>
      <c r="G41" s="582">
        <v>0.02</v>
      </c>
    </row>
    <row r="42" spans="1:7" ht="25.5" x14ac:dyDescent="0.25">
      <c r="A42" s="931"/>
      <c r="B42" s="933"/>
      <c r="C42" s="936"/>
      <c r="D42" s="939"/>
      <c r="E42" s="936"/>
      <c r="F42" s="581" t="s">
        <v>1604</v>
      </c>
      <c r="G42" s="582">
        <v>0.02</v>
      </c>
    </row>
    <row r="43" spans="1:7" ht="25.5" x14ac:dyDescent="0.25">
      <c r="A43" s="931"/>
      <c r="B43" s="933"/>
      <c r="C43" s="937"/>
      <c r="D43" s="940"/>
      <c r="E43" s="937"/>
      <c r="F43" s="581" t="s">
        <v>1605</v>
      </c>
      <c r="G43" s="582">
        <v>0.02</v>
      </c>
    </row>
    <row r="44" spans="1:7" x14ac:dyDescent="0.25">
      <c r="A44" s="931"/>
      <c r="B44" s="934"/>
      <c r="C44" s="951" t="s">
        <v>1606</v>
      </c>
      <c r="D44" s="952"/>
      <c r="E44" s="587">
        <f>SUM(E5:E43)</f>
        <v>0.99999999999999978</v>
      </c>
      <c r="F44" s="587"/>
      <c r="G44" s="587">
        <f>SUM(G5:G43)</f>
        <v>1.0000000000000002</v>
      </c>
    </row>
    <row r="45" spans="1:7" x14ac:dyDescent="0.25">
      <c r="A45" s="579"/>
      <c r="B45" s="579"/>
      <c r="C45" s="580"/>
      <c r="D45" s="579"/>
      <c r="E45" s="588"/>
      <c r="F45" s="579"/>
      <c r="G45" s="589"/>
    </row>
    <row r="46" spans="1:7" x14ac:dyDescent="0.25">
      <c r="A46" s="931" t="s">
        <v>1287</v>
      </c>
      <c r="B46" s="932">
        <v>0.2</v>
      </c>
      <c r="C46" s="590" t="s">
        <v>828</v>
      </c>
      <c r="D46" s="591" t="s">
        <v>829</v>
      </c>
      <c r="E46" s="592"/>
      <c r="F46" s="593"/>
      <c r="G46" s="582"/>
    </row>
    <row r="47" spans="1:7" ht="25.5" x14ac:dyDescent="0.25">
      <c r="A47" s="931"/>
      <c r="B47" s="933"/>
      <c r="C47" s="942" t="s">
        <v>830</v>
      </c>
      <c r="D47" s="944" t="s">
        <v>847</v>
      </c>
      <c r="E47" s="946">
        <v>0.05</v>
      </c>
      <c r="F47" s="593" t="s">
        <v>1607</v>
      </c>
      <c r="G47" s="582">
        <v>2.5000000000000001E-2</v>
      </c>
    </row>
    <row r="48" spans="1:7" ht="25.5" x14ac:dyDescent="0.25">
      <c r="A48" s="931"/>
      <c r="B48" s="933"/>
      <c r="C48" s="943"/>
      <c r="D48" s="945"/>
      <c r="E48" s="947"/>
      <c r="F48" s="593" t="s">
        <v>1608</v>
      </c>
      <c r="G48" s="582">
        <v>2.5000000000000001E-2</v>
      </c>
    </row>
    <row r="49" spans="1:7" x14ac:dyDescent="0.25">
      <c r="A49" s="931"/>
      <c r="B49" s="933"/>
      <c r="C49" s="942" t="s">
        <v>836</v>
      </c>
      <c r="D49" s="944" t="s">
        <v>837</v>
      </c>
      <c r="E49" s="946">
        <v>0.1</v>
      </c>
      <c r="F49" s="593" t="s">
        <v>1609</v>
      </c>
      <c r="G49" s="582">
        <v>0.03</v>
      </c>
    </row>
    <row r="50" spans="1:7" x14ac:dyDescent="0.25">
      <c r="A50" s="931"/>
      <c r="B50" s="933"/>
      <c r="C50" s="943"/>
      <c r="D50" s="945"/>
      <c r="E50" s="947"/>
      <c r="F50" s="593" t="s">
        <v>1610</v>
      </c>
      <c r="G50" s="582">
        <v>7.0000000000000007E-2</v>
      </c>
    </row>
    <row r="51" spans="1:7" x14ac:dyDescent="0.25">
      <c r="A51" s="931"/>
      <c r="B51" s="933"/>
      <c r="C51" s="942" t="s">
        <v>839</v>
      </c>
      <c r="D51" s="944" t="s">
        <v>848</v>
      </c>
      <c r="E51" s="946">
        <v>0.2</v>
      </c>
      <c r="F51" s="593" t="s">
        <v>1611</v>
      </c>
      <c r="G51" s="582">
        <v>0.02</v>
      </c>
    </row>
    <row r="52" spans="1:7" x14ac:dyDescent="0.25">
      <c r="A52" s="931"/>
      <c r="B52" s="933"/>
      <c r="C52" s="948"/>
      <c r="D52" s="949"/>
      <c r="E52" s="950"/>
      <c r="F52" s="593" t="s">
        <v>1612</v>
      </c>
      <c r="G52" s="582">
        <v>0.02</v>
      </c>
    </row>
    <row r="53" spans="1:7" x14ac:dyDescent="0.25">
      <c r="A53" s="931"/>
      <c r="B53" s="933"/>
      <c r="C53" s="948"/>
      <c r="D53" s="949"/>
      <c r="E53" s="950"/>
      <c r="F53" s="593" t="s">
        <v>1613</v>
      </c>
      <c r="G53" s="582">
        <v>0.02</v>
      </c>
    </row>
    <row r="54" spans="1:7" x14ac:dyDescent="0.25">
      <c r="A54" s="931"/>
      <c r="B54" s="933"/>
      <c r="C54" s="948"/>
      <c r="D54" s="949"/>
      <c r="E54" s="950"/>
      <c r="F54" s="593" t="s">
        <v>1614</v>
      </c>
      <c r="G54" s="582">
        <v>0.02</v>
      </c>
    </row>
    <row r="55" spans="1:7" x14ac:dyDescent="0.25">
      <c r="A55" s="931"/>
      <c r="B55" s="933"/>
      <c r="C55" s="948"/>
      <c r="D55" s="949"/>
      <c r="E55" s="950"/>
      <c r="F55" s="593" t="s">
        <v>1615</v>
      </c>
      <c r="G55" s="582">
        <v>0.02</v>
      </c>
    </row>
    <row r="56" spans="1:7" x14ac:dyDescent="0.25">
      <c r="A56" s="931"/>
      <c r="B56" s="933"/>
      <c r="C56" s="948"/>
      <c r="D56" s="949"/>
      <c r="E56" s="950"/>
      <c r="F56" s="593" t="s">
        <v>1616</v>
      </c>
      <c r="G56" s="582">
        <v>0.02</v>
      </c>
    </row>
    <row r="57" spans="1:7" x14ac:dyDescent="0.25">
      <c r="A57" s="931"/>
      <c r="B57" s="933"/>
      <c r="C57" s="948"/>
      <c r="D57" s="949"/>
      <c r="E57" s="950"/>
      <c r="F57" s="593" t="s">
        <v>1617</v>
      </c>
      <c r="G57" s="582">
        <v>0.02</v>
      </c>
    </row>
    <row r="58" spans="1:7" x14ac:dyDescent="0.25">
      <c r="A58" s="931"/>
      <c r="B58" s="933"/>
      <c r="C58" s="948"/>
      <c r="D58" s="949"/>
      <c r="E58" s="950"/>
      <c r="F58" s="593" t="s">
        <v>1618</v>
      </c>
      <c r="G58" s="582">
        <v>0.02</v>
      </c>
    </row>
    <row r="59" spans="1:7" x14ac:dyDescent="0.25">
      <c r="A59" s="931"/>
      <c r="B59" s="933"/>
      <c r="C59" s="948"/>
      <c r="D59" s="949"/>
      <c r="E59" s="950"/>
      <c r="F59" s="593" t="s">
        <v>1619</v>
      </c>
      <c r="G59" s="582">
        <v>0.02</v>
      </c>
    </row>
    <row r="60" spans="1:7" x14ac:dyDescent="0.25">
      <c r="A60" s="931"/>
      <c r="B60" s="933"/>
      <c r="C60" s="943"/>
      <c r="D60" s="945"/>
      <c r="E60" s="947"/>
      <c r="F60" s="593" t="s">
        <v>1620</v>
      </c>
      <c r="G60" s="582">
        <v>0.02</v>
      </c>
    </row>
    <row r="61" spans="1:7" ht="25.5" x14ac:dyDescent="0.25">
      <c r="A61" s="931"/>
      <c r="B61" s="933"/>
      <c r="C61" s="942" t="s">
        <v>843</v>
      </c>
      <c r="D61" s="944" t="s">
        <v>385</v>
      </c>
      <c r="E61" s="946">
        <v>0.5</v>
      </c>
      <c r="F61" s="593" t="s">
        <v>1621</v>
      </c>
      <c r="G61" s="582">
        <v>0.08</v>
      </c>
    </row>
    <row r="62" spans="1:7" ht="25.5" x14ac:dyDescent="0.25">
      <c r="A62" s="931"/>
      <c r="B62" s="933"/>
      <c r="C62" s="948"/>
      <c r="D62" s="949"/>
      <c r="E62" s="950"/>
      <c r="F62" s="593" t="s">
        <v>1622</v>
      </c>
      <c r="G62" s="582">
        <v>0.05</v>
      </c>
    </row>
    <row r="63" spans="1:7" ht="38.25" x14ac:dyDescent="0.25">
      <c r="A63" s="931"/>
      <c r="B63" s="933"/>
      <c r="C63" s="948"/>
      <c r="D63" s="949"/>
      <c r="E63" s="950"/>
      <c r="F63" s="593" t="s">
        <v>1623</v>
      </c>
      <c r="G63" s="582">
        <v>0.13</v>
      </c>
    </row>
    <row r="64" spans="1:7" ht="38.25" x14ac:dyDescent="0.25">
      <c r="A64" s="931"/>
      <c r="B64" s="933"/>
      <c r="C64" s="948"/>
      <c r="D64" s="949"/>
      <c r="E64" s="950"/>
      <c r="F64" s="593" t="s">
        <v>1624</v>
      </c>
      <c r="G64" s="582">
        <v>0.1</v>
      </c>
    </row>
    <row r="65" spans="1:7" ht="38.25" x14ac:dyDescent="0.25">
      <c r="A65" s="931"/>
      <c r="B65" s="933"/>
      <c r="C65" s="948"/>
      <c r="D65" s="949"/>
      <c r="E65" s="950"/>
      <c r="F65" s="593" t="s">
        <v>1625</v>
      </c>
      <c r="G65" s="582">
        <v>0.12</v>
      </c>
    </row>
    <row r="66" spans="1:7" ht="38.25" x14ac:dyDescent="0.25">
      <c r="A66" s="931"/>
      <c r="B66" s="933"/>
      <c r="C66" s="943"/>
      <c r="D66" s="945"/>
      <c r="E66" s="947"/>
      <c r="F66" s="593" t="s">
        <v>1626</v>
      </c>
      <c r="G66" s="582">
        <v>0.02</v>
      </c>
    </row>
    <row r="67" spans="1:7" x14ac:dyDescent="0.25">
      <c r="A67" s="931"/>
      <c r="B67" s="933"/>
      <c r="C67" s="956" t="s">
        <v>890</v>
      </c>
      <c r="D67" s="957" t="s">
        <v>943</v>
      </c>
      <c r="E67" s="958">
        <v>0.15</v>
      </c>
      <c r="F67" s="593" t="s">
        <v>1627</v>
      </c>
      <c r="G67" s="582">
        <v>7.0000000000000007E-2</v>
      </c>
    </row>
    <row r="68" spans="1:7" x14ac:dyDescent="0.25">
      <c r="A68" s="931"/>
      <c r="B68" s="933"/>
      <c r="C68" s="956"/>
      <c r="D68" s="957"/>
      <c r="E68" s="959"/>
      <c r="F68" s="593" t="s">
        <v>1628</v>
      </c>
      <c r="G68" s="582">
        <v>0.08</v>
      </c>
    </row>
    <row r="69" spans="1:7" x14ac:dyDescent="0.25">
      <c r="A69" s="931"/>
      <c r="B69" s="934"/>
      <c r="C69" s="960" t="s">
        <v>1629</v>
      </c>
      <c r="D69" s="961"/>
      <c r="E69" s="587">
        <f>SUM(E46:E68)</f>
        <v>1</v>
      </c>
      <c r="F69" s="587"/>
      <c r="G69" s="587">
        <f>SUM(G46:G68)</f>
        <v>1.0000000000000002</v>
      </c>
    </row>
    <row r="70" spans="1:7" x14ac:dyDescent="0.25">
      <c r="A70" s="579"/>
      <c r="B70" s="579"/>
      <c r="C70" s="580"/>
      <c r="D70" s="579"/>
      <c r="E70" s="588"/>
      <c r="F70" s="579"/>
      <c r="G70" s="589"/>
    </row>
    <row r="71" spans="1:7" x14ac:dyDescent="0.25">
      <c r="A71" s="931" t="s">
        <v>1288</v>
      </c>
      <c r="B71" s="932">
        <v>0.3</v>
      </c>
      <c r="C71" s="953" t="s">
        <v>386</v>
      </c>
      <c r="D71" s="938" t="s">
        <v>387</v>
      </c>
      <c r="E71" s="946">
        <v>0.2</v>
      </c>
      <c r="F71" s="581" t="s">
        <v>1630</v>
      </c>
      <c r="G71" s="582">
        <v>7.0000000000000007E-2</v>
      </c>
    </row>
    <row r="72" spans="1:7" x14ac:dyDescent="0.25">
      <c r="A72" s="931"/>
      <c r="B72" s="933"/>
      <c r="C72" s="954"/>
      <c r="D72" s="939"/>
      <c r="E72" s="950"/>
      <c r="F72" s="581" t="s">
        <v>1631</v>
      </c>
      <c r="G72" s="582">
        <v>7.0000000000000007E-2</v>
      </c>
    </row>
    <row r="73" spans="1:7" x14ac:dyDescent="0.25">
      <c r="A73" s="931"/>
      <c r="B73" s="933"/>
      <c r="C73" s="955"/>
      <c r="D73" s="940"/>
      <c r="E73" s="947"/>
      <c r="F73" s="581" t="s">
        <v>1632</v>
      </c>
      <c r="G73" s="582">
        <v>0.06</v>
      </c>
    </row>
    <row r="74" spans="1:7" x14ac:dyDescent="0.25">
      <c r="A74" s="931"/>
      <c r="B74" s="933"/>
      <c r="C74" s="953" t="s">
        <v>915</v>
      </c>
      <c r="D74" s="938" t="s">
        <v>916</v>
      </c>
      <c r="E74" s="946">
        <v>0.2</v>
      </c>
      <c r="F74" s="581" t="s">
        <v>1633</v>
      </c>
      <c r="G74" s="582">
        <v>7.0000000000000007E-2</v>
      </c>
    </row>
    <row r="75" spans="1:7" x14ac:dyDescent="0.25">
      <c r="A75" s="931"/>
      <c r="B75" s="933"/>
      <c r="C75" s="954"/>
      <c r="D75" s="939"/>
      <c r="E75" s="950"/>
      <c r="F75" s="581" t="s">
        <v>1634</v>
      </c>
      <c r="G75" s="582">
        <v>7.0000000000000007E-2</v>
      </c>
    </row>
    <row r="76" spans="1:7" x14ac:dyDescent="0.25">
      <c r="A76" s="931"/>
      <c r="B76" s="933"/>
      <c r="C76" s="955"/>
      <c r="D76" s="940"/>
      <c r="E76" s="947"/>
      <c r="F76" s="581" t="s">
        <v>1635</v>
      </c>
      <c r="G76" s="582">
        <v>0.06</v>
      </c>
    </row>
    <row r="77" spans="1:7" x14ac:dyDescent="0.25">
      <c r="A77" s="931"/>
      <c r="B77" s="933"/>
      <c r="C77" s="953" t="s">
        <v>917</v>
      </c>
      <c r="D77" s="938" t="s">
        <v>918</v>
      </c>
      <c r="E77" s="946">
        <v>0.2</v>
      </c>
      <c r="F77" s="581" t="s">
        <v>1636</v>
      </c>
      <c r="G77" s="582">
        <v>0.04</v>
      </c>
    </row>
    <row r="78" spans="1:7" x14ac:dyDescent="0.25">
      <c r="A78" s="931"/>
      <c r="B78" s="933"/>
      <c r="C78" s="954"/>
      <c r="D78" s="939"/>
      <c r="E78" s="950"/>
      <c r="F78" s="581" t="s">
        <v>1637</v>
      </c>
      <c r="G78" s="582">
        <v>0.05</v>
      </c>
    </row>
    <row r="79" spans="1:7" x14ac:dyDescent="0.25">
      <c r="A79" s="931"/>
      <c r="B79" s="933"/>
      <c r="C79" s="954"/>
      <c r="D79" s="939"/>
      <c r="E79" s="950"/>
      <c r="F79" s="581" t="s">
        <v>1638</v>
      </c>
      <c r="G79" s="582">
        <v>0.02</v>
      </c>
    </row>
    <row r="80" spans="1:7" x14ac:dyDescent="0.25">
      <c r="A80" s="931"/>
      <c r="B80" s="933"/>
      <c r="C80" s="954"/>
      <c r="D80" s="939"/>
      <c r="E80" s="950"/>
      <c r="F80" s="581" t="s">
        <v>1639</v>
      </c>
      <c r="G80" s="582">
        <v>0.03</v>
      </c>
    </row>
    <row r="81" spans="1:7" x14ac:dyDescent="0.25">
      <c r="A81" s="931"/>
      <c r="B81" s="933"/>
      <c r="C81" s="955"/>
      <c r="D81" s="940"/>
      <c r="E81" s="947"/>
      <c r="F81" s="581" t="s">
        <v>1640</v>
      </c>
      <c r="G81" s="582">
        <v>0.06</v>
      </c>
    </row>
    <row r="82" spans="1:7" x14ac:dyDescent="0.25">
      <c r="A82" s="931"/>
      <c r="B82" s="933"/>
      <c r="C82" s="953" t="s">
        <v>919</v>
      </c>
      <c r="D82" s="938" t="s">
        <v>920</v>
      </c>
      <c r="E82" s="946">
        <v>0.2</v>
      </c>
      <c r="F82" s="581" t="s">
        <v>1641</v>
      </c>
      <c r="G82" s="582">
        <v>0.1</v>
      </c>
    </row>
    <row r="83" spans="1:7" ht="25.5" x14ac:dyDescent="0.25">
      <c r="A83" s="931"/>
      <c r="B83" s="933"/>
      <c r="C83" s="955"/>
      <c r="D83" s="940"/>
      <c r="E83" s="947"/>
      <c r="F83" s="581" t="s">
        <v>1642</v>
      </c>
      <c r="G83" s="582">
        <v>0.1</v>
      </c>
    </row>
    <row r="84" spans="1:7" x14ac:dyDescent="0.25">
      <c r="A84" s="931"/>
      <c r="B84" s="933"/>
      <c r="C84" s="953" t="s">
        <v>921</v>
      </c>
      <c r="D84" s="938" t="s">
        <v>922</v>
      </c>
      <c r="E84" s="946">
        <v>0.2</v>
      </c>
      <c r="F84" s="581" t="s">
        <v>1643</v>
      </c>
      <c r="G84" s="582">
        <v>0.05</v>
      </c>
    </row>
    <row r="85" spans="1:7" x14ac:dyDescent="0.25">
      <c r="A85" s="931"/>
      <c r="B85" s="933"/>
      <c r="C85" s="954"/>
      <c r="D85" s="939"/>
      <c r="E85" s="950"/>
      <c r="F85" s="581" t="s">
        <v>1644</v>
      </c>
      <c r="G85" s="582">
        <v>0.05</v>
      </c>
    </row>
    <row r="86" spans="1:7" x14ac:dyDescent="0.25">
      <c r="A86" s="931"/>
      <c r="B86" s="933"/>
      <c r="C86" s="954"/>
      <c r="D86" s="939"/>
      <c r="E86" s="950"/>
      <c r="F86" s="581" t="s">
        <v>1645</v>
      </c>
      <c r="G86" s="582">
        <v>0.02</v>
      </c>
    </row>
    <row r="87" spans="1:7" x14ac:dyDescent="0.25">
      <c r="A87" s="931"/>
      <c r="B87" s="933"/>
      <c r="C87" s="954"/>
      <c r="D87" s="939"/>
      <c r="E87" s="950"/>
      <c r="F87" s="581" t="s">
        <v>1646</v>
      </c>
      <c r="G87" s="582">
        <v>0.03</v>
      </c>
    </row>
    <row r="88" spans="1:7" x14ac:dyDescent="0.25">
      <c r="A88" s="931"/>
      <c r="B88" s="933"/>
      <c r="C88" s="954"/>
      <c r="D88" s="939"/>
      <c r="E88" s="950"/>
      <c r="F88" s="581" t="s">
        <v>1647</v>
      </c>
      <c r="G88" s="582">
        <v>1.4999999999999999E-2</v>
      </c>
    </row>
    <row r="89" spans="1:7" x14ac:dyDescent="0.25">
      <c r="A89" s="931"/>
      <c r="B89" s="933"/>
      <c r="C89" s="954"/>
      <c r="D89" s="939"/>
      <c r="E89" s="950"/>
      <c r="F89" s="581" t="s">
        <v>1648</v>
      </c>
      <c r="G89" s="582">
        <v>0.02</v>
      </c>
    </row>
    <row r="90" spans="1:7" x14ac:dyDescent="0.25">
      <c r="A90" s="931"/>
      <c r="B90" s="933"/>
      <c r="C90" s="955"/>
      <c r="D90" s="940"/>
      <c r="E90" s="947"/>
      <c r="F90" s="581" t="s">
        <v>1649</v>
      </c>
      <c r="G90" s="582">
        <v>1.4999999999999999E-2</v>
      </c>
    </row>
    <row r="91" spans="1:7" x14ac:dyDescent="0.25">
      <c r="A91" s="931"/>
      <c r="B91" s="934"/>
      <c r="C91" s="960" t="s">
        <v>1650</v>
      </c>
      <c r="D91" s="961"/>
      <c r="E91" s="587">
        <f>SUM(E71:E90)</f>
        <v>1</v>
      </c>
      <c r="F91" s="587"/>
      <c r="G91" s="587">
        <f>SUM(G71:G90)</f>
        <v>1.0000000000000002</v>
      </c>
    </row>
    <row r="92" spans="1:7" x14ac:dyDescent="0.25">
      <c r="A92" s="579"/>
      <c r="B92" s="579"/>
      <c r="C92" s="580"/>
      <c r="D92" s="579"/>
      <c r="E92" s="588"/>
      <c r="F92" s="579"/>
      <c r="G92" s="594"/>
    </row>
    <row r="93" spans="1:7" x14ac:dyDescent="0.25">
      <c r="A93" s="931" t="s">
        <v>1289</v>
      </c>
      <c r="B93" s="932">
        <v>0.2</v>
      </c>
      <c r="C93" s="935" t="s">
        <v>940</v>
      </c>
      <c r="D93" s="938" t="s">
        <v>1651</v>
      </c>
      <c r="E93" s="941">
        <v>0.5</v>
      </c>
      <c r="F93" s="581" t="s">
        <v>1652</v>
      </c>
      <c r="G93" s="582">
        <v>0.08</v>
      </c>
    </row>
    <row r="94" spans="1:7" ht="25.5" x14ac:dyDescent="0.25">
      <c r="A94" s="931"/>
      <c r="B94" s="933"/>
      <c r="C94" s="936"/>
      <c r="D94" s="939"/>
      <c r="E94" s="936"/>
      <c r="F94" s="581" t="s">
        <v>1653</v>
      </c>
      <c r="G94" s="582">
        <v>0.08</v>
      </c>
    </row>
    <row r="95" spans="1:7" x14ac:dyDescent="0.25">
      <c r="A95" s="931"/>
      <c r="B95" s="933"/>
      <c r="C95" s="936"/>
      <c r="D95" s="939"/>
      <c r="E95" s="936"/>
      <c r="F95" s="581" t="s">
        <v>1654</v>
      </c>
      <c r="G95" s="582">
        <v>0.04</v>
      </c>
    </row>
    <row r="96" spans="1:7" ht="25.5" x14ac:dyDescent="0.25">
      <c r="A96" s="931"/>
      <c r="B96" s="933"/>
      <c r="C96" s="936"/>
      <c r="D96" s="939"/>
      <c r="E96" s="936"/>
      <c r="F96" s="581" t="s">
        <v>1655</v>
      </c>
      <c r="G96" s="582">
        <v>0.15</v>
      </c>
    </row>
    <row r="97" spans="1:7" ht="25.5" x14ac:dyDescent="0.25">
      <c r="A97" s="931"/>
      <c r="B97" s="933"/>
      <c r="C97" s="937"/>
      <c r="D97" s="940"/>
      <c r="E97" s="937"/>
      <c r="F97" s="581" t="s">
        <v>1656</v>
      </c>
      <c r="G97" s="582">
        <v>0.15</v>
      </c>
    </row>
    <row r="98" spans="1:7" x14ac:dyDescent="0.25">
      <c r="A98" s="931"/>
      <c r="B98" s="933"/>
      <c r="C98" s="935" t="s">
        <v>941</v>
      </c>
      <c r="D98" s="938" t="s">
        <v>293</v>
      </c>
      <c r="E98" s="941">
        <v>0.2</v>
      </c>
      <c r="F98" s="581" t="s">
        <v>1657</v>
      </c>
      <c r="G98" s="582">
        <v>0.1</v>
      </c>
    </row>
    <row r="99" spans="1:7" x14ac:dyDescent="0.25">
      <c r="A99" s="931"/>
      <c r="B99" s="933"/>
      <c r="C99" s="937"/>
      <c r="D99" s="940"/>
      <c r="E99" s="937"/>
      <c r="F99" s="581" t="s">
        <v>1658</v>
      </c>
      <c r="G99" s="582">
        <v>0.1</v>
      </c>
    </row>
    <row r="100" spans="1:7" x14ac:dyDescent="0.25">
      <c r="A100" s="931"/>
      <c r="B100" s="933"/>
      <c r="C100" s="935" t="s">
        <v>1659</v>
      </c>
      <c r="D100" s="938" t="s">
        <v>1660</v>
      </c>
      <c r="E100" s="941">
        <v>0.3</v>
      </c>
      <c r="F100" s="581" t="s">
        <v>1661</v>
      </c>
      <c r="G100" s="582">
        <v>0.06</v>
      </c>
    </row>
    <row r="101" spans="1:7" x14ac:dyDescent="0.25">
      <c r="A101" s="931"/>
      <c r="B101" s="933"/>
      <c r="C101" s="936"/>
      <c r="D101" s="939"/>
      <c r="E101" s="936"/>
      <c r="F101" s="581" t="s">
        <v>1662</v>
      </c>
      <c r="G101" s="582">
        <v>0.06</v>
      </c>
    </row>
    <row r="102" spans="1:7" x14ac:dyDescent="0.25">
      <c r="A102" s="931"/>
      <c r="B102" s="933"/>
      <c r="C102" s="936"/>
      <c r="D102" s="939"/>
      <c r="E102" s="936"/>
      <c r="F102" s="581" t="s">
        <v>1663</v>
      </c>
      <c r="G102" s="582">
        <v>0.06</v>
      </c>
    </row>
    <row r="103" spans="1:7" x14ac:dyDescent="0.25">
      <c r="A103" s="931"/>
      <c r="B103" s="933"/>
      <c r="C103" s="936"/>
      <c r="D103" s="939"/>
      <c r="E103" s="936"/>
      <c r="F103" s="581" t="s">
        <v>1664</v>
      </c>
      <c r="G103" s="582">
        <v>0.06</v>
      </c>
    </row>
    <row r="104" spans="1:7" x14ac:dyDescent="0.25">
      <c r="A104" s="931"/>
      <c r="B104" s="933"/>
      <c r="C104" s="937"/>
      <c r="D104" s="940"/>
      <c r="E104" s="937"/>
      <c r="F104" s="581" t="s">
        <v>1665</v>
      </c>
      <c r="G104" s="582">
        <v>0.06</v>
      </c>
    </row>
    <row r="105" spans="1:7" x14ac:dyDescent="0.25">
      <c r="A105" s="931"/>
      <c r="B105" s="934"/>
      <c r="C105" s="960" t="s">
        <v>1666</v>
      </c>
      <c r="D105" s="961"/>
      <c r="E105" s="587">
        <f>SUM(E93:E104)</f>
        <v>1</v>
      </c>
      <c r="F105" s="587"/>
      <c r="G105" s="587">
        <f>SUM(G93:G104)</f>
        <v>1.0000000000000002</v>
      </c>
    </row>
    <row r="106" spans="1:7" s="597" customFormat="1" ht="25.5" x14ac:dyDescent="0.25">
      <c r="A106" s="595" t="s">
        <v>1667</v>
      </c>
      <c r="B106" s="596">
        <f>+B5+B46+B71+B93</f>
        <v>1</v>
      </c>
      <c r="C106" s="962" t="s">
        <v>1668</v>
      </c>
      <c r="D106" s="962"/>
      <c r="E106" s="596">
        <f>SUM(E93:E104)</f>
        <v>1</v>
      </c>
      <c r="F106" s="596" t="s">
        <v>1669</v>
      </c>
      <c r="G106" s="596">
        <f>SUM(G93:G104)</f>
        <v>1.0000000000000002</v>
      </c>
    </row>
  </sheetData>
  <mergeCells count="82">
    <mergeCell ref="C106:D106"/>
    <mergeCell ref="D98:D99"/>
    <mergeCell ref="E98:E99"/>
    <mergeCell ref="C100:C104"/>
    <mergeCell ref="D100:D104"/>
    <mergeCell ref="E100:E104"/>
    <mergeCell ref="C105:D105"/>
    <mergeCell ref="E93:E97"/>
    <mergeCell ref="C98:C99"/>
    <mergeCell ref="A71:A91"/>
    <mergeCell ref="B71:B91"/>
    <mergeCell ref="C82:C83"/>
    <mergeCell ref="D82:D83"/>
    <mergeCell ref="E82:E83"/>
    <mergeCell ref="C74:C76"/>
    <mergeCell ref="C91:D91"/>
    <mergeCell ref="A93:A105"/>
    <mergeCell ref="B93:B105"/>
    <mergeCell ref="C93:C97"/>
    <mergeCell ref="D93:D97"/>
    <mergeCell ref="C71:C73"/>
    <mergeCell ref="D71:D73"/>
    <mergeCell ref="E71:E73"/>
    <mergeCell ref="C84:C90"/>
    <mergeCell ref="D84:D90"/>
    <mergeCell ref="E84:E90"/>
    <mergeCell ref="D74:D76"/>
    <mergeCell ref="E74:E76"/>
    <mergeCell ref="C77:C81"/>
    <mergeCell ref="D77:D81"/>
    <mergeCell ref="E77:E81"/>
    <mergeCell ref="C40:C43"/>
    <mergeCell ref="D40:D43"/>
    <mergeCell ref="E40:E43"/>
    <mergeCell ref="C44:D44"/>
    <mergeCell ref="D49:D50"/>
    <mergeCell ref="E49:E50"/>
    <mergeCell ref="A46:A69"/>
    <mergeCell ref="B46:B69"/>
    <mergeCell ref="C47:C48"/>
    <mergeCell ref="D47:D48"/>
    <mergeCell ref="E47:E48"/>
    <mergeCell ref="C49:C50"/>
    <mergeCell ref="C61:C66"/>
    <mergeCell ref="D61:D66"/>
    <mergeCell ref="E61:E66"/>
    <mergeCell ref="C51:C60"/>
    <mergeCell ref="D51:D60"/>
    <mergeCell ref="E51:E60"/>
    <mergeCell ref="C67:C68"/>
    <mergeCell ref="D67:D68"/>
    <mergeCell ref="E67:E68"/>
    <mergeCell ref="C69:D69"/>
    <mergeCell ref="E25:E29"/>
    <mergeCell ref="C30:C33"/>
    <mergeCell ref="D30:D33"/>
    <mergeCell ref="E30:E33"/>
    <mergeCell ref="C37:C39"/>
    <mergeCell ref="D37:D39"/>
    <mergeCell ref="E37:E39"/>
    <mergeCell ref="A5:A44"/>
    <mergeCell ref="B5:B44"/>
    <mergeCell ref="C5:C11"/>
    <mergeCell ref="D5:D11"/>
    <mergeCell ref="E5:E11"/>
    <mergeCell ref="C12:C15"/>
    <mergeCell ref="D12:D15"/>
    <mergeCell ref="E12:E15"/>
    <mergeCell ref="C16:C20"/>
    <mergeCell ref="D16:D20"/>
    <mergeCell ref="E16:E20"/>
    <mergeCell ref="C21:C24"/>
    <mergeCell ref="D21:D24"/>
    <mergeCell ref="E21:E24"/>
    <mergeCell ref="C25:C29"/>
    <mergeCell ref="D25:D29"/>
    <mergeCell ref="G1:G3"/>
    <mergeCell ref="A1:A3"/>
    <mergeCell ref="B1:B3"/>
    <mergeCell ref="C1:D3"/>
    <mergeCell ref="E1:E3"/>
    <mergeCell ref="F1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O1 POBLACION</vt:lpstr>
      <vt:lpstr>O2 TERRITORIO</vt:lpstr>
      <vt:lpstr>O3 ECONOMIA</vt:lpstr>
      <vt:lpstr>O4 INSTITUCIONALIDAD</vt:lpstr>
      <vt:lpstr>Resumen Inversión</vt:lpstr>
      <vt:lpstr>Fuentes Financiación</vt:lpstr>
      <vt:lpstr>Ponderaciones</vt:lpstr>
      <vt:lpstr>'O1 POBLACION'!Títulos_a_imprimir</vt:lpstr>
      <vt:lpstr>'O2 TERRITORIO'!Títulos_a_imprimir</vt:lpstr>
      <vt:lpstr>'O3 ECONOMIA'!Títulos_a_imprimir</vt:lpstr>
      <vt:lpstr>'O4 INSTITUCIONALIDAD'!Títulos_a_imprimir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PLANEACION1</cp:lastModifiedBy>
  <cp:lastPrinted>2012-04-28T16:18:45Z</cp:lastPrinted>
  <dcterms:created xsi:type="dcterms:W3CDTF">2012-02-21T14:17:33Z</dcterms:created>
  <dcterms:modified xsi:type="dcterms:W3CDTF">2014-08-26T22:08:02Z</dcterms:modified>
</cp:coreProperties>
</file>