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Nestor\Documents\NOVEDADES 2026\HORAS EXTRAS 2026\NOMINA JULIO\"/>
    </mc:Choice>
  </mc:AlternateContent>
  <bookViews>
    <workbookView xWindow="0" yWindow="0" windowWidth="13695" windowHeight="10950" tabRatio="500" firstSheet="2" activeTab="2"/>
  </bookViews>
  <sheets>
    <sheet name="BD_PLANTA" sheetId="1" state="hidden" r:id="rId1"/>
    <sheet name="DATOS_IED" sheetId="2" state="hidden" r:id="rId2"/>
    <sheet name="REPORTE" sheetId="3" r:id="rId3"/>
    <sheet name="AUX" sheetId="4" state="hidden" r:id="rId4"/>
    <sheet name="CONSOLIDADO" sheetId="5" r:id="rId5"/>
  </sheets>
  <definedNames>
    <definedName name="_xlnm.Print_Area" localSheetId="2">REPORTE!$A$1:$L$153</definedName>
    <definedName name="CEDULAS">BD_PLANTA!$A$2:$A$7567</definedName>
    <definedName name="IED_LIST">OFFSET(DATOS_IED!$L$2,0,0,MAX(1,COUNTIF(DATOS_IED!$B$2:$B$154,REPORTE!$C$9)),1)</definedName>
    <definedName name="MUNICIPIOS">DATOS_IED!$J$2:$J$29</definedName>
    <definedName name="RECTORES">BD_PLANTA!$H$2:$H$150</definedName>
  </definedNames>
  <calcPr calcId="162913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61" i="4" l="1"/>
  <c r="C361" i="4"/>
  <c r="I361" i="4" s="1"/>
  <c r="B361" i="4"/>
  <c r="C360" i="4"/>
  <c r="I360" i="4" s="1"/>
  <c r="B360" i="4"/>
  <c r="D359" i="4"/>
  <c r="E359" i="4" s="1"/>
  <c r="C359" i="4"/>
  <c r="I359" i="4" s="1"/>
  <c r="B359" i="4"/>
  <c r="H358" i="4"/>
  <c r="D358" i="4"/>
  <c r="E358" i="4" s="1"/>
  <c r="C358" i="4"/>
  <c r="I358" i="4" s="1"/>
  <c r="B358" i="4"/>
  <c r="I357" i="4"/>
  <c r="H357" i="4"/>
  <c r="C357" i="4"/>
  <c r="B357" i="4"/>
  <c r="D356" i="4"/>
  <c r="E356" i="4" s="1"/>
  <c r="C356" i="4"/>
  <c r="I356" i="4" s="1"/>
  <c r="B356" i="4"/>
  <c r="H355" i="4"/>
  <c r="D355" i="4"/>
  <c r="C355" i="4"/>
  <c r="I355" i="4" s="1"/>
  <c r="B355" i="4"/>
  <c r="C354" i="4"/>
  <c r="B354" i="4"/>
  <c r="D353" i="4"/>
  <c r="E353" i="4" s="1"/>
  <c r="C353" i="4"/>
  <c r="I353" i="4" s="1"/>
  <c r="B353" i="4"/>
  <c r="H352" i="4"/>
  <c r="D352" i="4"/>
  <c r="J352" i="4" s="1"/>
  <c r="C352" i="4"/>
  <c r="I352" i="4" s="1"/>
  <c r="B352" i="4"/>
  <c r="C351" i="4"/>
  <c r="I351" i="4" s="1"/>
  <c r="B351" i="4"/>
  <c r="D350" i="4"/>
  <c r="E350" i="4" s="1"/>
  <c r="C350" i="4"/>
  <c r="I350" i="4" s="1"/>
  <c r="B350" i="4"/>
  <c r="H349" i="4"/>
  <c r="D349" i="4"/>
  <c r="E349" i="4" s="1"/>
  <c r="C349" i="4"/>
  <c r="I349" i="4" s="1"/>
  <c r="B349" i="4"/>
  <c r="I348" i="4"/>
  <c r="H348" i="4"/>
  <c r="C348" i="4"/>
  <c r="B348" i="4"/>
  <c r="D347" i="4"/>
  <c r="E347" i="4" s="1"/>
  <c r="C347" i="4"/>
  <c r="I347" i="4" s="1"/>
  <c r="B347" i="4"/>
  <c r="H346" i="4"/>
  <c r="D346" i="4"/>
  <c r="C346" i="4"/>
  <c r="I346" i="4" s="1"/>
  <c r="B346" i="4"/>
  <c r="C345" i="4"/>
  <c r="B345" i="4"/>
  <c r="D344" i="4"/>
  <c r="E344" i="4" s="1"/>
  <c r="C344" i="4"/>
  <c r="I344" i="4" s="1"/>
  <c r="B344" i="4"/>
  <c r="H343" i="4"/>
  <c r="D343" i="4"/>
  <c r="C343" i="4"/>
  <c r="I343" i="4" s="1"/>
  <c r="B343" i="4"/>
  <c r="H342" i="4"/>
  <c r="C342" i="4"/>
  <c r="I342" i="4" s="1"/>
  <c r="B342" i="4"/>
  <c r="D341" i="4"/>
  <c r="E341" i="4" s="1"/>
  <c r="C341" i="4"/>
  <c r="I341" i="4" s="1"/>
  <c r="B341" i="4"/>
  <c r="H340" i="4"/>
  <c r="D340" i="4"/>
  <c r="E340" i="4" s="1"/>
  <c r="C340" i="4"/>
  <c r="I340" i="4" s="1"/>
  <c r="B340" i="4"/>
  <c r="I339" i="4"/>
  <c r="H339" i="4"/>
  <c r="C339" i="4"/>
  <c r="B339" i="4"/>
  <c r="D338" i="4"/>
  <c r="E338" i="4" s="1"/>
  <c r="C338" i="4"/>
  <c r="I338" i="4" s="1"/>
  <c r="B338" i="4"/>
  <c r="H337" i="4"/>
  <c r="D337" i="4"/>
  <c r="C337" i="4"/>
  <c r="I337" i="4" s="1"/>
  <c r="B337" i="4"/>
  <c r="C336" i="4"/>
  <c r="B336" i="4"/>
  <c r="D335" i="4"/>
  <c r="E335" i="4" s="1"/>
  <c r="C335" i="4"/>
  <c r="I335" i="4" s="1"/>
  <c r="B335" i="4"/>
  <c r="H334" i="4"/>
  <c r="D334" i="4"/>
  <c r="C334" i="4"/>
  <c r="I334" i="4" s="1"/>
  <c r="B334" i="4"/>
  <c r="H333" i="4"/>
  <c r="C333" i="4"/>
  <c r="I333" i="4" s="1"/>
  <c r="B333" i="4"/>
  <c r="D332" i="4"/>
  <c r="E332" i="4" s="1"/>
  <c r="C332" i="4"/>
  <c r="I332" i="4" s="1"/>
  <c r="B332" i="4"/>
  <c r="H331" i="4"/>
  <c r="D331" i="4"/>
  <c r="E331" i="4" s="1"/>
  <c r="C331" i="4"/>
  <c r="I331" i="4" s="1"/>
  <c r="B331" i="4"/>
  <c r="I330" i="4"/>
  <c r="H330" i="4"/>
  <c r="C330" i="4"/>
  <c r="B330" i="4"/>
  <c r="D329" i="4"/>
  <c r="E329" i="4" s="1"/>
  <c r="C329" i="4"/>
  <c r="I329" i="4" s="1"/>
  <c r="B329" i="4"/>
  <c r="H328" i="4"/>
  <c r="D328" i="4"/>
  <c r="E328" i="4" s="1"/>
  <c r="C328" i="4"/>
  <c r="I328" i="4" s="1"/>
  <c r="B328" i="4"/>
  <c r="C327" i="4"/>
  <c r="B327" i="4"/>
  <c r="D326" i="4"/>
  <c r="E326" i="4" s="1"/>
  <c r="C326" i="4"/>
  <c r="I326" i="4" s="1"/>
  <c r="B326" i="4"/>
  <c r="H325" i="4"/>
  <c r="D325" i="4"/>
  <c r="C325" i="4"/>
  <c r="I325" i="4" s="1"/>
  <c r="B325" i="4"/>
  <c r="H324" i="4"/>
  <c r="C324" i="4"/>
  <c r="I324" i="4" s="1"/>
  <c r="B324" i="4"/>
  <c r="D323" i="4"/>
  <c r="E323" i="4" s="1"/>
  <c r="C323" i="4"/>
  <c r="I323" i="4" s="1"/>
  <c r="B323" i="4"/>
  <c r="H322" i="4"/>
  <c r="D322" i="4"/>
  <c r="E322" i="4" s="1"/>
  <c r="C322" i="4"/>
  <c r="I322" i="4" s="1"/>
  <c r="B322" i="4"/>
  <c r="I321" i="4"/>
  <c r="H321" i="4"/>
  <c r="C321" i="4"/>
  <c r="B321" i="4"/>
  <c r="D320" i="4"/>
  <c r="E320" i="4" s="1"/>
  <c r="C320" i="4"/>
  <c r="I320" i="4" s="1"/>
  <c r="B320" i="4"/>
  <c r="H319" i="4"/>
  <c r="D319" i="4"/>
  <c r="C319" i="4"/>
  <c r="I319" i="4" s="1"/>
  <c r="B319" i="4"/>
  <c r="C318" i="4"/>
  <c r="B318" i="4"/>
  <c r="D317" i="4"/>
  <c r="E317" i="4" s="1"/>
  <c r="C317" i="4"/>
  <c r="I317" i="4" s="1"/>
  <c r="B317" i="4"/>
  <c r="H316" i="4"/>
  <c r="D316" i="4"/>
  <c r="C316" i="4"/>
  <c r="I316" i="4" s="1"/>
  <c r="B316" i="4"/>
  <c r="H315" i="4"/>
  <c r="C315" i="4"/>
  <c r="I315" i="4" s="1"/>
  <c r="B315" i="4"/>
  <c r="D314" i="4"/>
  <c r="E314" i="4" s="1"/>
  <c r="C314" i="4"/>
  <c r="I314" i="4" s="1"/>
  <c r="B314" i="4"/>
  <c r="H313" i="4"/>
  <c r="D313" i="4"/>
  <c r="E313" i="4" s="1"/>
  <c r="C313" i="4"/>
  <c r="I313" i="4" s="1"/>
  <c r="B313" i="4"/>
  <c r="I312" i="4"/>
  <c r="H312" i="4"/>
  <c r="C312" i="4"/>
  <c r="B312" i="4"/>
  <c r="D311" i="4"/>
  <c r="E311" i="4" s="1"/>
  <c r="C311" i="4"/>
  <c r="I311" i="4" s="1"/>
  <c r="B311" i="4"/>
  <c r="H310" i="4"/>
  <c r="D310" i="4"/>
  <c r="C310" i="4"/>
  <c r="I310" i="4" s="1"/>
  <c r="B310" i="4"/>
  <c r="C309" i="4"/>
  <c r="B309" i="4"/>
  <c r="D308" i="4"/>
  <c r="E308" i="4" s="1"/>
  <c r="C308" i="4"/>
  <c r="I308" i="4" s="1"/>
  <c r="B308" i="4"/>
  <c r="H307" i="4"/>
  <c r="D307" i="4"/>
  <c r="C307" i="4"/>
  <c r="I307" i="4" s="1"/>
  <c r="B307" i="4"/>
  <c r="H306" i="4"/>
  <c r="C306" i="4"/>
  <c r="I306" i="4" s="1"/>
  <c r="B306" i="4"/>
  <c r="D305" i="4"/>
  <c r="E305" i="4" s="1"/>
  <c r="C305" i="4"/>
  <c r="I305" i="4" s="1"/>
  <c r="B305" i="4"/>
  <c r="H304" i="4"/>
  <c r="D304" i="4"/>
  <c r="E304" i="4" s="1"/>
  <c r="C304" i="4"/>
  <c r="I304" i="4" s="1"/>
  <c r="B304" i="4"/>
  <c r="I303" i="4"/>
  <c r="H303" i="4"/>
  <c r="C303" i="4"/>
  <c r="B303" i="4"/>
  <c r="D302" i="4"/>
  <c r="E302" i="4" s="1"/>
  <c r="C302" i="4"/>
  <c r="I302" i="4" s="1"/>
  <c r="B302" i="4"/>
  <c r="H301" i="4"/>
  <c r="D301" i="4"/>
  <c r="E301" i="4" s="1"/>
  <c r="C301" i="4"/>
  <c r="I301" i="4" s="1"/>
  <c r="B301" i="4"/>
  <c r="C300" i="4"/>
  <c r="B300" i="4"/>
  <c r="D299" i="4"/>
  <c r="E299" i="4" s="1"/>
  <c r="C299" i="4"/>
  <c r="I299" i="4" s="1"/>
  <c r="B299" i="4"/>
  <c r="H298" i="4"/>
  <c r="D298" i="4"/>
  <c r="C298" i="4"/>
  <c r="I298" i="4" s="1"/>
  <c r="B298" i="4"/>
  <c r="H297" i="4"/>
  <c r="C297" i="4"/>
  <c r="I297" i="4" s="1"/>
  <c r="B297" i="4"/>
  <c r="D296" i="4"/>
  <c r="E296" i="4" s="1"/>
  <c r="C296" i="4"/>
  <c r="I296" i="4" s="1"/>
  <c r="B296" i="4"/>
  <c r="H295" i="4"/>
  <c r="D295" i="4"/>
  <c r="E295" i="4" s="1"/>
  <c r="C295" i="4"/>
  <c r="I295" i="4" s="1"/>
  <c r="B295" i="4"/>
  <c r="I294" i="4"/>
  <c r="H294" i="4"/>
  <c r="C294" i="4"/>
  <c r="B294" i="4"/>
  <c r="D293" i="4"/>
  <c r="E293" i="4" s="1"/>
  <c r="C293" i="4"/>
  <c r="I293" i="4" s="1"/>
  <c r="B293" i="4"/>
  <c r="H292" i="4"/>
  <c r="D292" i="4"/>
  <c r="C292" i="4"/>
  <c r="I292" i="4" s="1"/>
  <c r="B292" i="4"/>
  <c r="C291" i="4"/>
  <c r="B291" i="4"/>
  <c r="D290" i="4"/>
  <c r="E290" i="4" s="1"/>
  <c r="C290" i="4"/>
  <c r="I290" i="4" s="1"/>
  <c r="B290" i="4"/>
  <c r="H289" i="4"/>
  <c r="D289" i="4"/>
  <c r="C289" i="4"/>
  <c r="I289" i="4" s="1"/>
  <c r="B289" i="4"/>
  <c r="H288" i="4"/>
  <c r="C288" i="4"/>
  <c r="I288" i="4" s="1"/>
  <c r="B288" i="4"/>
  <c r="D287" i="4"/>
  <c r="E287" i="4" s="1"/>
  <c r="C287" i="4"/>
  <c r="I287" i="4" s="1"/>
  <c r="B287" i="4"/>
  <c r="H286" i="4"/>
  <c r="D286" i="4"/>
  <c r="E286" i="4" s="1"/>
  <c r="C286" i="4"/>
  <c r="I286" i="4" s="1"/>
  <c r="B286" i="4"/>
  <c r="I285" i="4"/>
  <c r="H285" i="4"/>
  <c r="C285" i="4"/>
  <c r="B285" i="4"/>
  <c r="D284" i="4"/>
  <c r="E284" i="4" s="1"/>
  <c r="C284" i="4"/>
  <c r="I284" i="4" s="1"/>
  <c r="B284" i="4"/>
  <c r="H283" i="4"/>
  <c r="D283" i="4"/>
  <c r="C283" i="4"/>
  <c r="I283" i="4" s="1"/>
  <c r="B283" i="4"/>
  <c r="C282" i="4"/>
  <c r="B282" i="4"/>
  <c r="D281" i="4"/>
  <c r="E281" i="4" s="1"/>
  <c r="C281" i="4"/>
  <c r="I281" i="4" s="1"/>
  <c r="B281" i="4"/>
  <c r="H280" i="4"/>
  <c r="D280" i="4"/>
  <c r="C280" i="4"/>
  <c r="I280" i="4" s="1"/>
  <c r="B280" i="4"/>
  <c r="H279" i="4"/>
  <c r="C279" i="4"/>
  <c r="I279" i="4" s="1"/>
  <c r="B279" i="4"/>
  <c r="D278" i="4"/>
  <c r="E278" i="4" s="1"/>
  <c r="C278" i="4"/>
  <c r="I278" i="4" s="1"/>
  <c r="B278" i="4"/>
  <c r="H277" i="4"/>
  <c r="D277" i="4"/>
  <c r="E277" i="4" s="1"/>
  <c r="C277" i="4"/>
  <c r="I277" i="4" s="1"/>
  <c r="B277" i="4"/>
  <c r="I276" i="4"/>
  <c r="H276" i="4"/>
  <c r="C276" i="4"/>
  <c r="B276" i="4"/>
  <c r="D275" i="4"/>
  <c r="E275" i="4" s="1"/>
  <c r="C275" i="4"/>
  <c r="I275" i="4" s="1"/>
  <c r="B275" i="4"/>
  <c r="H274" i="4"/>
  <c r="D274" i="4"/>
  <c r="E274" i="4" s="1"/>
  <c r="C274" i="4"/>
  <c r="I274" i="4" s="1"/>
  <c r="B274" i="4"/>
  <c r="C273" i="4"/>
  <c r="B273" i="4"/>
  <c r="D272" i="4"/>
  <c r="E272" i="4" s="1"/>
  <c r="C272" i="4"/>
  <c r="I272" i="4" s="1"/>
  <c r="B272" i="4"/>
  <c r="H271" i="4"/>
  <c r="D271" i="4"/>
  <c r="C271" i="4"/>
  <c r="I271" i="4" s="1"/>
  <c r="B271" i="4"/>
  <c r="H270" i="4"/>
  <c r="C270" i="4"/>
  <c r="I270" i="4" s="1"/>
  <c r="B270" i="4"/>
  <c r="D269" i="4"/>
  <c r="E269" i="4" s="1"/>
  <c r="C269" i="4"/>
  <c r="I269" i="4" s="1"/>
  <c r="B269" i="4"/>
  <c r="H268" i="4"/>
  <c r="D268" i="4"/>
  <c r="E268" i="4" s="1"/>
  <c r="C268" i="4"/>
  <c r="I268" i="4" s="1"/>
  <c r="B268" i="4"/>
  <c r="I267" i="4"/>
  <c r="H267" i="4"/>
  <c r="C267" i="4"/>
  <c r="B267" i="4"/>
  <c r="D266" i="4"/>
  <c r="E266" i="4" s="1"/>
  <c r="C266" i="4"/>
  <c r="I266" i="4" s="1"/>
  <c r="B266" i="4"/>
  <c r="H265" i="4"/>
  <c r="D265" i="4"/>
  <c r="C265" i="4"/>
  <c r="I265" i="4" s="1"/>
  <c r="B265" i="4"/>
  <c r="C264" i="4"/>
  <c r="B264" i="4"/>
  <c r="D263" i="4"/>
  <c r="E263" i="4" s="1"/>
  <c r="C263" i="4"/>
  <c r="I263" i="4" s="1"/>
  <c r="B263" i="4"/>
  <c r="H262" i="4"/>
  <c r="D262" i="4"/>
  <c r="C262" i="4"/>
  <c r="I262" i="4" s="1"/>
  <c r="B262" i="4"/>
  <c r="H261" i="4"/>
  <c r="C261" i="4"/>
  <c r="I261" i="4" s="1"/>
  <c r="B261" i="4"/>
  <c r="D260" i="4"/>
  <c r="E260" i="4" s="1"/>
  <c r="C260" i="4"/>
  <c r="I260" i="4" s="1"/>
  <c r="B260" i="4"/>
  <c r="H259" i="4"/>
  <c r="D259" i="4"/>
  <c r="E259" i="4" s="1"/>
  <c r="C259" i="4"/>
  <c r="I259" i="4" s="1"/>
  <c r="B259" i="4"/>
  <c r="I258" i="4"/>
  <c r="H258" i="4"/>
  <c r="C258" i="4"/>
  <c r="B258" i="4"/>
  <c r="D257" i="4"/>
  <c r="E257" i="4" s="1"/>
  <c r="C257" i="4"/>
  <c r="I257" i="4" s="1"/>
  <c r="B257" i="4"/>
  <c r="H256" i="4"/>
  <c r="D256" i="4"/>
  <c r="C256" i="4"/>
  <c r="I256" i="4" s="1"/>
  <c r="B256" i="4"/>
  <c r="C255" i="4"/>
  <c r="B255" i="4"/>
  <c r="D254" i="4"/>
  <c r="E254" i="4" s="1"/>
  <c r="C254" i="4"/>
  <c r="I254" i="4" s="1"/>
  <c r="B254" i="4"/>
  <c r="H253" i="4"/>
  <c r="D253" i="4"/>
  <c r="C253" i="4"/>
  <c r="I253" i="4" s="1"/>
  <c r="B253" i="4"/>
  <c r="H252" i="4"/>
  <c r="C252" i="4"/>
  <c r="I252" i="4" s="1"/>
  <c r="B252" i="4"/>
  <c r="D251" i="4"/>
  <c r="E251" i="4" s="1"/>
  <c r="C251" i="4"/>
  <c r="I251" i="4" s="1"/>
  <c r="B251" i="4"/>
  <c r="H250" i="4"/>
  <c r="D250" i="4"/>
  <c r="E250" i="4" s="1"/>
  <c r="C250" i="4"/>
  <c r="I250" i="4" s="1"/>
  <c r="B250" i="4"/>
  <c r="I249" i="4"/>
  <c r="H249" i="4"/>
  <c r="C249" i="4"/>
  <c r="B249" i="4"/>
  <c r="D248" i="4"/>
  <c r="E248" i="4" s="1"/>
  <c r="C248" i="4"/>
  <c r="I248" i="4" s="1"/>
  <c r="B248" i="4"/>
  <c r="H247" i="4"/>
  <c r="D247" i="4"/>
  <c r="E247" i="4" s="1"/>
  <c r="C247" i="4"/>
  <c r="I247" i="4" s="1"/>
  <c r="B247" i="4"/>
  <c r="C246" i="4"/>
  <c r="B246" i="4"/>
  <c r="D245" i="4"/>
  <c r="E245" i="4" s="1"/>
  <c r="C245" i="4"/>
  <c r="I245" i="4" s="1"/>
  <c r="B245" i="4"/>
  <c r="H244" i="4"/>
  <c r="D244" i="4"/>
  <c r="C244" i="4"/>
  <c r="I244" i="4" s="1"/>
  <c r="B244" i="4"/>
  <c r="H243" i="4"/>
  <c r="C243" i="4"/>
  <c r="I243" i="4" s="1"/>
  <c r="B243" i="4"/>
  <c r="D242" i="4"/>
  <c r="E242" i="4" s="1"/>
  <c r="C242" i="4"/>
  <c r="I242" i="4" s="1"/>
  <c r="B242" i="4"/>
  <c r="H241" i="4"/>
  <c r="D241" i="4"/>
  <c r="E241" i="4" s="1"/>
  <c r="C241" i="4"/>
  <c r="I241" i="4" s="1"/>
  <c r="B241" i="4"/>
  <c r="I240" i="4"/>
  <c r="H240" i="4"/>
  <c r="C240" i="4"/>
  <c r="B240" i="4"/>
  <c r="D239" i="4"/>
  <c r="E239" i="4" s="1"/>
  <c r="C239" i="4"/>
  <c r="I239" i="4" s="1"/>
  <c r="B239" i="4"/>
  <c r="H238" i="4"/>
  <c r="D238" i="4"/>
  <c r="C238" i="4"/>
  <c r="I238" i="4" s="1"/>
  <c r="B238" i="4"/>
  <c r="C237" i="4"/>
  <c r="B237" i="4"/>
  <c r="D236" i="4"/>
  <c r="E236" i="4" s="1"/>
  <c r="C236" i="4"/>
  <c r="I236" i="4" s="1"/>
  <c r="B236" i="4"/>
  <c r="H235" i="4"/>
  <c r="D235" i="4"/>
  <c r="C235" i="4"/>
  <c r="I235" i="4" s="1"/>
  <c r="B235" i="4"/>
  <c r="H234" i="4"/>
  <c r="C234" i="4"/>
  <c r="I234" i="4" s="1"/>
  <c r="B234" i="4"/>
  <c r="D233" i="4"/>
  <c r="E233" i="4" s="1"/>
  <c r="C233" i="4"/>
  <c r="I233" i="4" s="1"/>
  <c r="B233" i="4"/>
  <c r="H232" i="4"/>
  <c r="D232" i="4"/>
  <c r="E232" i="4" s="1"/>
  <c r="C232" i="4"/>
  <c r="I232" i="4" s="1"/>
  <c r="B232" i="4"/>
  <c r="I231" i="4"/>
  <c r="H231" i="4"/>
  <c r="C231" i="4"/>
  <c r="B231" i="4"/>
  <c r="D230" i="4"/>
  <c r="E230" i="4" s="1"/>
  <c r="C230" i="4"/>
  <c r="I230" i="4" s="1"/>
  <c r="B230" i="4"/>
  <c r="H229" i="4"/>
  <c r="D229" i="4"/>
  <c r="C229" i="4"/>
  <c r="I229" i="4" s="1"/>
  <c r="B229" i="4"/>
  <c r="C228" i="4"/>
  <c r="B228" i="4"/>
  <c r="D227" i="4"/>
  <c r="E227" i="4" s="1"/>
  <c r="C227" i="4"/>
  <c r="I227" i="4" s="1"/>
  <c r="B227" i="4"/>
  <c r="H226" i="4"/>
  <c r="D226" i="4"/>
  <c r="C226" i="4"/>
  <c r="I226" i="4" s="1"/>
  <c r="B226" i="4"/>
  <c r="H225" i="4"/>
  <c r="C225" i="4"/>
  <c r="I225" i="4" s="1"/>
  <c r="B225" i="4"/>
  <c r="D224" i="4"/>
  <c r="E224" i="4" s="1"/>
  <c r="C224" i="4"/>
  <c r="I224" i="4" s="1"/>
  <c r="B224" i="4"/>
  <c r="H223" i="4"/>
  <c r="D223" i="4"/>
  <c r="E223" i="4" s="1"/>
  <c r="C223" i="4"/>
  <c r="I223" i="4" s="1"/>
  <c r="B223" i="4"/>
  <c r="I222" i="4"/>
  <c r="H222" i="4"/>
  <c r="C222" i="4"/>
  <c r="B222" i="4"/>
  <c r="D221" i="4"/>
  <c r="E221" i="4" s="1"/>
  <c r="C221" i="4"/>
  <c r="I221" i="4" s="1"/>
  <c r="B221" i="4"/>
  <c r="H220" i="4"/>
  <c r="D220" i="4"/>
  <c r="E220" i="4" s="1"/>
  <c r="C220" i="4"/>
  <c r="I220" i="4" s="1"/>
  <c r="B220" i="4"/>
  <c r="C219" i="4"/>
  <c r="B219" i="4"/>
  <c r="D218" i="4"/>
  <c r="E218" i="4" s="1"/>
  <c r="C218" i="4"/>
  <c r="I218" i="4" s="1"/>
  <c r="B218" i="4"/>
  <c r="H217" i="4"/>
  <c r="D217" i="4"/>
  <c r="C217" i="4"/>
  <c r="I217" i="4" s="1"/>
  <c r="B217" i="4"/>
  <c r="H216" i="4"/>
  <c r="C216" i="4"/>
  <c r="I216" i="4" s="1"/>
  <c r="B216" i="4"/>
  <c r="D215" i="4"/>
  <c r="E215" i="4" s="1"/>
  <c r="C215" i="4"/>
  <c r="I215" i="4" s="1"/>
  <c r="B215" i="4"/>
  <c r="H214" i="4"/>
  <c r="D214" i="4"/>
  <c r="E214" i="4" s="1"/>
  <c r="C214" i="4"/>
  <c r="I214" i="4" s="1"/>
  <c r="B214" i="4"/>
  <c r="I213" i="4"/>
  <c r="H213" i="4"/>
  <c r="C213" i="4"/>
  <c r="B213" i="4"/>
  <c r="D212" i="4"/>
  <c r="E212" i="4" s="1"/>
  <c r="C212" i="4"/>
  <c r="I212" i="4" s="1"/>
  <c r="B212" i="4"/>
  <c r="H211" i="4"/>
  <c r="D211" i="4"/>
  <c r="C211" i="4"/>
  <c r="I211" i="4" s="1"/>
  <c r="B211" i="4"/>
  <c r="C210" i="4"/>
  <c r="B210" i="4"/>
  <c r="D209" i="4"/>
  <c r="E209" i="4" s="1"/>
  <c r="C209" i="4"/>
  <c r="I209" i="4" s="1"/>
  <c r="B209" i="4"/>
  <c r="H208" i="4"/>
  <c r="D208" i="4"/>
  <c r="C208" i="4"/>
  <c r="I208" i="4" s="1"/>
  <c r="B208" i="4"/>
  <c r="H207" i="4"/>
  <c r="C207" i="4"/>
  <c r="I207" i="4" s="1"/>
  <c r="B207" i="4"/>
  <c r="D206" i="4"/>
  <c r="E206" i="4" s="1"/>
  <c r="C206" i="4"/>
  <c r="I206" i="4" s="1"/>
  <c r="B206" i="4"/>
  <c r="H205" i="4"/>
  <c r="D205" i="4"/>
  <c r="E205" i="4" s="1"/>
  <c r="C205" i="4"/>
  <c r="I205" i="4" s="1"/>
  <c r="B205" i="4"/>
  <c r="I204" i="4"/>
  <c r="H204" i="4"/>
  <c r="C204" i="4"/>
  <c r="B204" i="4"/>
  <c r="D203" i="4"/>
  <c r="E203" i="4" s="1"/>
  <c r="C203" i="4"/>
  <c r="I203" i="4" s="1"/>
  <c r="B203" i="4"/>
  <c r="H202" i="4"/>
  <c r="D202" i="4"/>
  <c r="C202" i="4"/>
  <c r="I202" i="4" s="1"/>
  <c r="B202" i="4"/>
  <c r="C201" i="4"/>
  <c r="B201" i="4"/>
  <c r="D200" i="4"/>
  <c r="E200" i="4" s="1"/>
  <c r="C200" i="4"/>
  <c r="I200" i="4" s="1"/>
  <c r="B200" i="4"/>
  <c r="H199" i="4"/>
  <c r="D199" i="4"/>
  <c r="C199" i="4"/>
  <c r="I199" i="4" s="1"/>
  <c r="B199" i="4"/>
  <c r="H198" i="4"/>
  <c r="C198" i="4"/>
  <c r="I198" i="4" s="1"/>
  <c r="B198" i="4"/>
  <c r="D197" i="4"/>
  <c r="E197" i="4" s="1"/>
  <c r="C197" i="4"/>
  <c r="I197" i="4" s="1"/>
  <c r="B197" i="4"/>
  <c r="H196" i="4"/>
  <c r="D196" i="4"/>
  <c r="E196" i="4" s="1"/>
  <c r="C196" i="4"/>
  <c r="I196" i="4" s="1"/>
  <c r="B196" i="4"/>
  <c r="I195" i="4"/>
  <c r="H195" i="4"/>
  <c r="C195" i="4"/>
  <c r="B195" i="4"/>
  <c r="D194" i="4"/>
  <c r="E194" i="4" s="1"/>
  <c r="C194" i="4"/>
  <c r="I194" i="4" s="1"/>
  <c r="B194" i="4"/>
  <c r="H193" i="4"/>
  <c r="D193" i="4"/>
  <c r="E193" i="4" s="1"/>
  <c r="C193" i="4"/>
  <c r="I193" i="4" s="1"/>
  <c r="B193" i="4"/>
  <c r="C192" i="4"/>
  <c r="B192" i="4"/>
  <c r="D191" i="4"/>
  <c r="C191" i="4"/>
  <c r="I191" i="4" s="1"/>
  <c r="B191" i="4"/>
  <c r="H190" i="4"/>
  <c r="D190" i="4"/>
  <c r="C190" i="4"/>
  <c r="B190" i="4"/>
  <c r="C189" i="4"/>
  <c r="B189" i="4"/>
  <c r="D188" i="4"/>
  <c r="C188" i="4"/>
  <c r="I188" i="4" s="1"/>
  <c r="B188" i="4"/>
  <c r="H187" i="4"/>
  <c r="D187" i="4"/>
  <c r="C187" i="4"/>
  <c r="B187" i="4"/>
  <c r="C186" i="4"/>
  <c r="B186" i="4"/>
  <c r="D185" i="4"/>
  <c r="C185" i="4"/>
  <c r="I185" i="4" s="1"/>
  <c r="B185" i="4"/>
  <c r="H184" i="4"/>
  <c r="D184" i="4"/>
  <c r="E184" i="4" s="1"/>
  <c r="C184" i="4"/>
  <c r="B184" i="4"/>
  <c r="C183" i="4"/>
  <c r="B183" i="4"/>
  <c r="D182" i="4"/>
  <c r="C182" i="4"/>
  <c r="I182" i="4" s="1"/>
  <c r="B182" i="4"/>
  <c r="H181" i="4"/>
  <c r="D181" i="4"/>
  <c r="E181" i="4" s="1"/>
  <c r="C181" i="4"/>
  <c r="B181" i="4"/>
  <c r="C180" i="4"/>
  <c r="B180" i="4"/>
  <c r="D179" i="4"/>
  <c r="C179" i="4"/>
  <c r="I179" i="4" s="1"/>
  <c r="B179" i="4"/>
  <c r="H178" i="4"/>
  <c r="D178" i="4"/>
  <c r="C178" i="4"/>
  <c r="B178" i="4"/>
  <c r="C177" i="4"/>
  <c r="B177" i="4"/>
  <c r="D176" i="4"/>
  <c r="C176" i="4"/>
  <c r="I176" i="4" s="1"/>
  <c r="B176" i="4"/>
  <c r="H175" i="4"/>
  <c r="D175" i="4"/>
  <c r="E175" i="4" s="1"/>
  <c r="C175" i="4"/>
  <c r="B175" i="4"/>
  <c r="C174" i="4"/>
  <c r="B174" i="4"/>
  <c r="D173" i="4"/>
  <c r="C173" i="4"/>
  <c r="I173" i="4" s="1"/>
  <c r="B173" i="4"/>
  <c r="H172" i="4"/>
  <c r="D172" i="4"/>
  <c r="C172" i="4"/>
  <c r="B172" i="4"/>
  <c r="C171" i="4"/>
  <c r="B171" i="4"/>
  <c r="D170" i="4"/>
  <c r="C170" i="4"/>
  <c r="I170" i="4" s="1"/>
  <c r="B170" i="4"/>
  <c r="H169" i="4"/>
  <c r="D169" i="4"/>
  <c r="C169" i="4"/>
  <c r="B169" i="4"/>
  <c r="C168" i="4"/>
  <c r="B168" i="4"/>
  <c r="D167" i="4"/>
  <c r="C167" i="4"/>
  <c r="I167" i="4" s="1"/>
  <c r="B167" i="4"/>
  <c r="H166" i="4"/>
  <c r="D166" i="4"/>
  <c r="E166" i="4" s="1"/>
  <c r="C166" i="4"/>
  <c r="B166" i="4"/>
  <c r="C165" i="4"/>
  <c r="I165" i="4" s="1"/>
  <c r="B165" i="4"/>
  <c r="D164" i="4"/>
  <c r="E164" i="4" s="1"/>
  <c r="C164" i="4"/>
  <c r="H164" i="4" s="1"/>
  <c r="B164" i="4"/>
  <c r="H163" i="4"/>
  <c r="C163" i="4"/>
  <c r="I163" i="4" s="1"/>
  <c r="B163" i="4"/>
  <c r="C162" i="4"/>
  <c r="I162" i="4" s="1"/>
  <c r="B162" i="4"/>
  <c r="D162" i="4" s="1"/>
  <c r="I161" i="4"/>
  <c r="D161" i="4"/>
  <c r="E161" i="4" s="1"/>
  <c r="C161" i="4"/>
  <c r="H161" i="4" s="1"/>
  <c r="B161" i="4"/>
  <c r="H160" i="4"/>
  <c r="C160" i="4"/>
  <c r="B160" i="4"/>
  <c r="C159" i="4"/>
  <c r="I159" i="4" s="1"/>
  <c r="B159" i="4"/>
  <c r="D159" i="4" s="1"/>
  <c r="D158" i="4"/>
  <c r="E158" i="4" s="1"/>
  <c r="C158" i="4"/>
  <c r="H158" i="4" s="1"/>
  <c r="B158" i="4"/>
  <c r="H157" i="4"/>
  <c r="C157" i="4"/>
  <c r="B157" i="4"/>
  <c r="C156" i="4"/>
  <c r="I156" i="4" s="1"/>
  <c r="B156" i="4"/>
  <c r="D156" i="4" s="1"/>
  <c r="E156" i="4" s="1"/>
  <c r="D155" i="4"/>
  <c r="E155" i="4" s="1"/>
  <c r="C155" i="4"/>
  <c r="H155" i="4" s="1"/>
  <c r="B155" i="4"/>
  <c r="H154" i="4"/>
  <c r="C154" i="4"/>
  <c r="I154" i="4" s="1"/>
  <c r="B154" i="4"/>
  <c r="C153" i="4"/>
  <c r="I153" i="4" s="1"/>
  <c r="B153" i="4"/>
  <c r="D153" i="4" s="1"/>
  <c r="I152" i="4"/>
  <c r="D152" i="4"/>
  <c r="E152" i="4" s="1"/>
  <c r="C152" i="4"/>
  <c r="H152" i="4" s="1"/>
  <c r="B152" i="4"/>
  <c r="H151" i="4"/>
  <c r="C151" i="4"/>
  <c r="B151" i="4"/>
  <c r="C150" i="4"/>
  <c r="I150" i="4" s="1"/>
  <c r="B150" i="4"/>
  <c r="D150" i="4" s="1"/>
  <c r="D149" i="4"/>
  <c r="E149" i="4" s="1"/>
  <c r="C149" i="4"/>
  <c r="H149" i="4" s="1"/>
  <c r="B149" i="4"/>
  <c r="H148" i="4"/>
  <c r="C148" i="4"/>
  <c r="B148" i="4"/>
  <c r="C147" i="4"/>
  <c r="I147" i="4" s="1"/>
  <c r="B147" i="4"/>
  <c r="D147" i="4" s="1"/>
  <c r="E147" i="4" s="1"/>
  <c r="D146" i="4"/>
  <c r="E146" i="4" s="1"/>
  <c r="C146" i="4"/>
  <c r="H146" i="4" s="1"/>
  <c r="B146" i="4"/>
  <c r="H145" i="4"/>
  <c r="C145" i="4"/>
  <c r="I145" i="4" s="1"/>
  <c r="B145" i="4"/>
  <c r="C144" i="4"/>
  <c r="I144" i="4" s="1"/>
  <c r="B144" i="4"/>
  <c r="D144" i="4" s="1"/>
  <c r="I143" i="4"/>
  <c r="D143" i="4"/>
  <c r="E143" i="4" s="1"/>
  <c r="C143" i="4"/>
  <c r="H143" i="4" s="1"/>
  <c r="B143" i="4"/>
  <c r="H142" i="4"/>
  <c r="C142" i="4"/>
  <c r="B142" i="4"/>
  <c r="C141" i="4"/>
  <c r="I141" i="4" s="1"/>
  <c r="B141" i="4"/>
  <c r="D141" i="4" s="1"/>
  <c r="D140" i="4"/>
  <c r="E140" i="4" s="1"/>
  <c r="C140" i="4"/>
  <c r="H140" i="4" s="1"/>
  <c r="B140" i="4"/>
  <c r="H139" i="4"/>
  <c r="C139" i="4"/>
  <c r="B139" i="4"/>
  <c r="C138" i="4"/>
  <c r="I138" i="4" s="1"/>
  <c r="B138" i="4"/>
  <c r="D138" i="4" s="1"/>
  <c r="E138" i="4" s="1"/>
  <c r="D137" i="4"/>
  <c r="E137" i="4" s="1"/>
  <c r="C137" i="4"/>
  <c r="H137" i="4" s="1"/>
  <c r="B137" i="4"/>
  <c r="H136" i="4"/>
  <c r="C136" i="4"/>
  <c r="I136" i="4" s="1"/>
  <c r="B136" i="4"/>
  <c r="C135" i="4"/>
  <c r="I135" i="4" s="1"/>
  <c r="B135" i="4"/>
  <c r="D135" i="4" s="1"/>
  <c r="I134" i="4"/>
  <c r="D134" i="4"/>
  <c r="E134" i="4" s="1"/>
  <c r="C134" i="4"/>
  <c r="H134" i="4" s="1"/>
  <c r="B134" i="4"/>
  <c r="H133" i="4"/>
  <c r="C133" i="4"/>
  <c r="B133" i="4"/>
  <c r="C132" i="4"/>
  <c r="I132" i="4" s="1"/>
  <c r="B132" i="4"/>
  <c r="D132" i="4" s="1"/>
  <c r="D131" i="4"/>
  <c r="E131" i="4" s="1"/>
  <c r="C131" i="4"/>
  <c r="H131" i="4" s="1"/>
  <c r="B131" i="4"/>
  <c r="H130" i="4"/>
  <c r="C130" i="4"/>
  <c r="B130" i="4"/>
  <c r="C129" i="4"/>
  <c r="I129" i="4" s="1"/>
  <c r="B129" i="4"/>
  <c r="D129" i="4" s="1"/>
  <c r="E129" i="4" s="1"/>
  <c r="D128" i="4"/>
  <c r="E128" i="4" s="1"/>
  <c r="C128" i="4"/>
  <c r="H128" i="4" s="1"/>
  <c r="B128" i="4"/>
  <c r="H127" i="4"/>
  <c r="C127" i="4"/>
  <c r="I127" i="4" s="1"/>
  <c r="B127" i="4"/>
  <c r="C126" i="4"/>
  <c r="I126" i="4" s="1"/>
  <c r="B126" i="4"/>
  <c r="D126" i="4" s="1"/>
  <c r="I125" i="4"/>
  <c r="D125" i="4"/>
  <c r="E125" i="4" s="1"/>
  <c r="C125" i="4"/>
  <c r="H125" i="4" s="1"/>
  <c r="B125" i="4"/>
  <c r="H124" i="4"/>
  <c r="C124" i="4"/>
  <c r="B124" i="4"/>
  <c r="C123" i="4"/>
  <c r="I123" i="4" s="1"/>
  <c r="B123" i="4"/>
  <c r="D123" i="4" s="1"/>
  <c r="D122" i="4"/>
  <c r="E122" i="4" s="1"/>
  <c r="C122" i="4"/>
  <c r="H122" i="4" s="1"/>
  <c r="B122" i="4"/>
  <c r="H121" i="4"/>
  <c r="C121" i="4"/>
  <c r="B121" i="4"/>
  <c r="C120" i="4"/>
  <c r="I120" i="4" s="1"/>
  <c r="B120" i="4"/>
  <c r="D120" i="4" s="1"/>
  <c r="E120" i="4" s="1"/>
  <c r="D119" i="4"/>
  <c r="E119" i="4" s="1"/>
  <c r="C119" i="4"/>
  <c r="H119" i="4" s="1"/>
  <c r="B119" i="4"/>
  <c r="H118" i="4"/>
  <c r="C118" i="4"/>
  <c r="I118" i="4" s="1"/>
  <c r="B118" i="4"/>
  <c r="C117" i="4"/>
  <c r="I117" i="4" s="1"/>
  <c r="B117" i="4"/>
  <c r="D117" i="4" s="1"/>
  <c r="I116" i="4"/>
  <c r="D116" i="4"/>
  <c r="E116" i="4" s="1"/>
  <c r="C116" i="4"/>
  <c r="H116" i="4" s="1"/>
  <c r="B116" i="4"/>
  <c r="H115" i="4"/>
  <c r="C115" i="4"/>
  <c r="B115" i="4"/>
  <c r="C114" i="4"/>
  <c r="I114" i="4" s="1"/>
  <c r="B114" i="4"/>
  <c r="D114" i="4" s="1"/>
  <c r="D113" i="4"/>
  <c r="E113" i="4" s="1"/>
  <c r="C113" i="4"/>
  <c r="H113" i="4" s="1"/>
  <c r="B113" i="4"/>
  <c r="H112" i="4"/>
  <c r="C112" i="4"/>
  <c r="B112" i="4"/>
  <c r="C111" i="4"/>
  <c r="I111" i="4" s="1"/>
  <c r="B111" i="4"/>
  <c r="D111" i="4" s="1"/>
  <c r="E111" i="4" s="1"/>
  <c r="D110" i="4"/>
  <c r="E110" i="4" s="1"/>
  <c r="C110" i="4"/>
  <c r="H110" i="4" s="1"/>
  <c r="B110" i="4"/>
  <c r="H109" i="4"/>
  <c r="C109" i="4"/>
  <c r="I109" i="4" s="1"/>
  <c r="B109" i="4"/>
  <c r="C108" i="4"/>
  <c r="I108" i="4" s="1"/>
  <c r="B108" i="4"/>
  <c r="D108" i="4" s="1"/>
  <c r="I107" i="4"/>
  <c r="D107" i="4"/>
  <c r="E107" i="4" s="1"/>
  <c r="C107" i="4"/>
  <c r="H107" i="4" s="1"/>
  <c r="B107" i="4"/>
  <c r="H106" i="4"/>
  <c r="C106" i="4"/>
  <c r="B106" i="4"/>
  <c r="C105" i="4"/>
  <c r="I105" i="4" s="1"/>
  <c r="B105" i="4"/>
  <c r="D105" i="4" s="1"/>
  <c r="D104" i="4"/>
  <c r="E104" i="4" s="1"/>
  <c r="C104" i="4"/>
  <c r="H104" i="4" s="1"/>
  <c r="B104" i="4"/>
  <c r="H103" i="4"/>
  <c r="C103" i="4"/>
  <c r="B103" i="4"/>
  <c r="C102" i="4"/>
  <c r="I102" i="4" s="1"/>
  <c r="B102" i="4"/>
  <c r="D102" i="4" s="1"/>
  <c r="E102" i="4" s="1"/>
  <c r="D101" i="4"/>
  <c r="E101" i="4" s="1"/>
  <c r="C101" i="4"/>
  <c r="H101" i="4" s="1"/>
  <c r="B101" i="4"/>
  <c r="H100" i="4"/>
  <c r="C100" i="4"/>
  <c r="I100" i="4" s="1"/>
  <c r="B100" i="4"/>
  <c r="C99" i="4"/>
  <c r="I99" i="4" s="1"/>
  <c r="B99" i="4"/>
  <c r="D99" i="4" s="1"/>
  <c r="I98" i="4"/>
  <c r="D98" i="4"/>
  <c r="E98" i="4" s="1"/>
  <c r="C98" i="4"/>
  <c r="H98" i="4" s="1"/>
  <c r="B98" i="4"/>
  <c r="H97" i="4"/>
  <c r="C97" i="4"/>
  <c r="B97" i="4"/>
  <c r="C96" i="4"/>
  <c r="I96" i="4" s="1"/>
  <c r="B96" i="4"/>
  <c r="D96" i="4" s="1"/>
  <c r="D95" i="4"/>
  <c r="E95" i="4" s="1"/>
  <c r="C95" i="4"/>
  <c r="H95" i="4" s="1"/>
  <c r="B95" i="4"/>
  <c r="H94" i="4"/>
  <c r="C94" i="4"/>
  <c r="B94" i="4"/>
  <c r="C93" i="4"/>
  <c r="I93" i="4" s="1"/>
  <c r="B93" i="4"/>
  <c r="D93" i="4" s="1"/>
  <c r="E93" i="4" s="1"/>
  <c r="D92" i="4"/>
  <c r="E92" i="4" s="1"/>
  <c r="C92" i="4"/>
  <c r="H92" i="4" s="1"/>
  <c r="B92" i="4"/>
  <c r="H91" i="4"/>
  <c r="C91" i="4"/>
  <c r="I91" i="4" s="1"/>
  <c r="B91" i="4"/>
  <c r="C90" i="4"/>
  <c r="I90" i="4" s="1"/>
  <c r="B90" i="4"/>
  <c r="D90" i="4" s="1"/>
  <c r="I89" i="4"/>
  <c r="D89" i="4"/>
  <c r="E89" i="4" s="1"/>
  <c r="C89" i="4"/>
  <c r="H89" i="4" s="1"/>
  <c r="B89" i="4"/>
  <c r="H88" i="4"/>
  <c r="C88" i="4"/>
  <c r="B88" i="4"/>
  <c r="C87" i="4"/>
  <c r="I87" i="4" s="1"/>
  <c r="B87" i="4"/>
  <c r="D87" i="4" s="1"/>
  <c r="D86" i="4"/>
  <c r="E86" i="4" s="1"/>
  <c r="C86" i="4"/>
  <c r="H86" i="4" s="1"/>
  <c r="B86" i="4"/>
  <c r="H85" i="4"/>
  <c r="C85" i="4"/>
  <c r="B85" i="4"/>
  <c r="C84" i="4"/>
  <c r="I84" i="4" s="1"/>
  <c r="B84" i="4"/>
  <c r="D84" i="4" s="1"/>
  <c r="E84" i="4" s="1"/>
  <c r="D83" i="4"/>
  <c r="E83" i="4" s="1"/>
  <c r="C83" i="4"/>
  <c r="H83" i="4" s="1"/>
  <c r="B83" i="4"/>
  <c r="H82" i="4"/>
  <c r="C82" i="4"/>
  <c r="I82" i="4" s="1"/>
  <c r="B82" i="4"/>
  <c r="C81" i="4"/>
  <c r="I81" i="4" s="1"/>
  <c r="B81" i="4"/>
  <c r="D81" i="4" s="1"/>
  <c r="I80" i="4"/>
  <c r="D80" i="4"/>
  <c r="E80" i="4" s="1"/>
  <c r="C80" i="4"/>
  <c r="H80" i="4" s="1"/>
  <c r="B80" i="4"/>
  <c r="H79" i="4"/>
  <c r="C79" i="4"/>
  <c r="B79" i="4"/>
  <c r="C78" i="4"/>
  <c r="I78" i="4" s="1"/>
  <c r="B78" i="4"/>
  <c r="D78" i="4" s="1"/>
  <c r="D77" i="4"/>
  <c r="E77" i="4" s="1"/>
  <c r="C77" i="4"/>
  <c r="H77" i="4" s="1"/>
  <c r="B77" i="4"/>
  <c r="H76" i="4"/>
  <c r="C76" i="4"/>
  <c r="B76" i="4"/>
  <c r="C75" i="4"/>
  <c r="I75" i="4" s="1"/>
  <c r="B75" i="4"/>
  <c r="D75" i="4" s="1"/>
  <c r="E75" i="4" s="1"/>
  <c r="D74" i="4"/>
  <c r="E74" i="4" s="1"/>
  <c r="C74" i="4"/>
  <c r="H74" i="4" s="1"/>
  <c r="B74" i="4"/>
  <c r="H73" i="4"/>
  <c r="C73" i="4"/>
  <c r="I73" i="4" s="1"/>
  <c r="B73" i="4"/>
  <c r="C72" i="4"/>
  <c r="I72" i="4" s="1"/>
  <c r="B72" i="4"/>
  <c r="D72" i="4" s="1"/>
  <c r="I71" i="4"/>
  <c r="D71" i="4"/>
  <c r="E71" i="4" s="1"/>
  <c r="C71" i="4"/>
  <c r="H71" i="4" s="1"/>
  <c r="B71" i="4"/>
  <c r="H70" i="4"/>
  <c r="C70" i="4"/>
  <c r="B70" i="4"/>
  <c r="C69" i="4"/>
  <c r="I69" i="4" s="1"/>
  <c r="B69" i="4"/>
  <c r="D69" i="4" s="1"/>
  <c r="D68" i="4"/>
  <c r="E68" i="4" s="1"/>
  <c r="C68" i="4"/>
  <c r="H68" i="4" s="1"/>
  <c r="B68" i="4"/>
  <c r="H67" i="4"/>
  <c r="C67" i="4"/>
  <c r="B67" i="4"/>
  <c r="C66" i="4"/>
  <c r="I66" i="4" s="1"/>
  <c r="B66" i="4"/>
  <c r="D66" i="4" s="1"/>
  <c r="E66" i="4" s="1"/>
  <c r="D65" i="4"/>
  <c r="E65" i="4" s="1"/>
  <c r="C65" i="4"/>
  <c r="H65" i="4" s="1"/>
  <c r="B65" i="4"/>
  <c r="H64" i="4"/>
  <c r="C64" i="4"/>
  <c r="I64" i="4" s="1"/>
  <c r="B64" i="4"/>
  <c r="C63" i="4"/>
  <c r="I63" i="4" s="1"/>
  <c r="B63" i="4"/>
  <c r="D63" i="4" s="1"/>
  <c r="I62" i="4"/>
  <c r="D62" i="4"/>
  <c r="E62" i="4" s="1"/>
  <c r="C62" i="4"/>
  <c r="H62" i="4" s="1"/>
  <c r="B62" i="4"/>
  <c r="H61" i="4"/>
  <c r="C61" i="4"/>
  <c r="B61" i="4"/>
  <c r="C60" i="4"/>
  <c r="I60" i="4" s="1"/>
  <c r="B60" i="4"/>
  <c r="D60" i="4" s="1"/>
  <c r="D59" i="4"/>
  <c r="E59" i="4" s="1"/>
  <c r="C59" i="4"/>
  <c r="H59" i="4" s="1"/>
  <c r="B59" i="4"/>
  <c r="H58" i="4"/>
  <c r="C58" i="4"/>
  <c r="B58" i="4"/>
  <c r="C57" i="4"/>
  <c r="I57" i="4" s="1"/>
  <c r="B57" i="4"/>
  <c r="D57" i="4" s="1"/>
  <c r="E57" i="4" s="1"/>
  <c r="D56" i="4"/>
  <c r="E56" i="4" s="1"/>
  <c r="C56" i="4"/>
  <c r="H56" i="4" s="1"/>
  <c r="B56" i="4"/>
  <c r="H55" i="4"/>
  <c r="C55" i="4"/>
  <c r="I55" i="4" s="1"/>
  <c r="B55" i="4"/>
  <c r="C54" i="4"/>
  <c r="I54" i="4" s="1"/>
  <c r="B54" i="4"/>
  <c r="D54" i="4" s="1"/>
  <c r="I53" i="4"/>
  <c r="D53" i="4"/>
  <c r="E53" i="4" s="1"/>
  <c r="C53" i="4"/>
  <c r="H53" i="4" s="1"/>
  <c r="B53" i="4"/>
  <c r="H52" i="4"/>
  <c r="C52" i="4"/>
  <c r="B52" i="4"/>
  <c r="C51" i="4"/>
  <c r="I51" i="4" s="1"/>
  <c r="B51" i="4"/>
  <c r="D51" i="4" s="1"/>
  <c r="D50" i="4"/>
  <c r="E50" i="4" s="1"/>
  <c r="C50" i="4"/>
  <c r="H50" i="4" s="1"/>
  <c r="B50" i="4"/>
  <c r="H49" i="4"/>
  <c r="C49" i="4"/>
  <c r="B49" i="4"/>
  <c r="C48" i="4"/>
  <c r="I48" i="4" s="1"/>
  <c r="B48" i="4"/>
  <c r="D48" i="4" s="1"/>
  <c r="E48" i="4" s="1"/>
  <c r="D47" i="4"/>
  <c r="E47" i="4" s="1"/>
  <c r="C47" i="4"/>
  <c r="H47" i="4" s="1"/>
  <c r="B47" i="4"/>
  <c r="H46" i="4"/>
  <c r="C46" i="4"/>
  <c r="I46" i="4" s="1"/>
  <c r="B46" i="4"/>
  <c r="C45" i="4"/>
  <c r="I45" i="4" s="1"/>
  <c r="B45" i="4"/>
  <c r="D45" i="4" s="1"/>
  <c r="I44" i="4"/>
  <c r="D44" i="4"/>
  <c r="E44" i="4" s="1"/>
  <c r="C44" i="4"/>
  <c r="H44" i="4" s="1"/>
  <c r="B44" i="4"/>
  <c r="H43" i="4"/>
  <c r="C43" i="4"/>
  <c r="B43" i="4"/>
  <c r="C42" i="4"/>
  <c r="I42" i="4" s="1"/>
  <c r="B42" i="4"/>
  <c r="D42" i="4" s="1"/>
  <c r="D41" i="4"/>
  <c r="E41" i="4" s="1"/>
  <c r="C41" i="4"/>
  <c r="H41" i="4" s="1"/>
  <c r="B41" i="4"/>
  <c r="H40" i="4"/>
  <c r="C40" i="4"/>
  <c r="B40" i="4"/>
  <c r="C39" i="4"/>
  <c r="I39" i="4" s="1"/>
  <c r="B39" i="4"/>
  <c r="D39" i="4" s="1"/>
  <c r="E39" i="4" s="1"/>
  <c r="D38" i="4"/>
  <c r="E38" i="4" s="1"/>
  <c r="C38" i="4"/>
  <c r="H38" i="4" s="1"/>
  <c r="B38" i="4"/>
  <c r="H37" i="4"/>
  <c r="C37" i="4"/>
  <c r="I37" i="4" s="1"/>
  <c r="B37" i="4"/>
  <c r="C36" i="4"/>
  <c r="B36" i="4"/>
  <c r="D36" i="4" s="1"/>
  <c r="I35" i="4"/>
  <c r="D35" i="4"/>
  <c r="E35" i="4" s="1"/>
  <c r="C35" i="4"/>
  <c r="H35" i="4" s="1"/>
  <c r="B35" i="4"/>
  <c r="H34" i="4"/>
  <c r="C34" i="4"/>
  <c r="B34" i="4"/>
  <c r="I33" i="4"/>
  <c r="C33" i="4"/>
  <c r="H33" i="4" s="1"/>
  <c r="B33" i="4"/>
  <c r="D33" i="4" s="1"/>
  <c r="I32" i="4"/>
  <c r="D32" i="4"/>
  <c r="E32" i="4" s="1"/>
  <c r="C32" i="4"/>
  <c r="H32" i="4" s="1"/>
  <c r="B32" i="4"/>
  <c r="H31" i="4"/>
  <c r="C31" i="4"/>
  <c r="B31" i="4"/>
  <c r="I30" i="4"/>
  <c r="C30" i="4"/>
  <c r="H30" i="4" s="1"/>
  <c r="B30" i="4"/>
  <c r="D30" i="4" s="1"/>
  <c r="I29" i="4"/>
  <c r="D29" i="4"/>
  <c r="E29" i="4" s="1"/>
  <c r="C29" i="4"/>
  <c r="H29" i="4" s="1"/>
  <c r="B29" i="4"/>
  <c r="H28" i="4"/>
  <c r="C28" i="4"/>
  <c r="B28" i="4"/>
  <c r="I27" i="4"/>
  <c r="C27" i="4"/>
  <c r="H27" i="4" s="1"/>
  <c r="B27" i="4"/>
  <c r="D27" i="4" s="1"/>
  <c r="I26" i="4"/>
  <c r="D26" i="4"/>
  <c r="E26" i="4" s="1"/>
  <c r="C26" i="4"/>
  <c r="H26" i="4" s="1"/>
  <c r="B26" i="4"/>
  <c r="H25" i="4"/>
  <c r="C25" i="4"/>
  <c r="I25" i="4" s="1"/>
  <c r="B25" i="4"/>
  <c r="I24" i="4"/>
  <c r="C24" i="4"/>
  <c r="H24" i="4" s="1"/>
  <c r="B24" i="4"/>
  <c r="D24" i="4" s="1"/>
  <c r="I23" i="4"/>
  <c r="D23" i="4"/>
  <c r="E23" i="4" s="1"/>
  <c r="C23" i="4"/>
  <c r="H23" i="4" s="1"/>
  <c r="B23" i="4"/>
  <c r="H22" i="4"/>
  <c r="C22" i="4"/>
  <c r="I22" i="4" s="1"/>
  <c r="B22" i="4"/>
  <c r="I21" i="4"/>
  <c r="C21" i="4"/>
  <c r="H21" i="4" s="1"/>
  <c r="B21" i="4"/>
  <c r="D21" i="4" s="1"/>
  <c r="I20" i="4"/>
  <c r="D20" i="4"/>
  <c r="E20" i="4" s="1"/>
  <c r="C20" i="4"/>
  <c r="H20" i="4" s="1"/>
  <c r="B20" i="4"/>
  <c r="H19" i="4"/>
  <c r="C19" i="4"/>
  <c r="I19" i="4" s="1"/>
  <c r="B19" i="4"/>
  <c r="I18" i="4"/>
  <c r="C18" i="4"/>
  <c r="H18" i="4" s="1"/>
  <c r="B18" i="4"/>
  <c r="D18" i="4" s="1"/>
  <c r="I17" i="4"/>
  <c r="D17" i="4"/>
  <c r="E17" i="4" s="1"/>
  <c r="C17" i="4"/>
  <c r="H17" i="4" s="1"/>
  <c r="B17" i="4"/>
  <c r="H16" i="4"/>
  <c r="C16" i="4"/>
  <c r="I16" i="4" s="1"/>
  <c r="B16" i="4"/>
  <c r="I15" i="4"/>
  <c r="C15" i="4"/>
  <c r="H15" i="4" s="1"/>
  <c r="B15" i="4"/>
  <c r="D15" i="4" s="1"/>
  <c r="I14" i="4"/>
  <c r="D14" i="4"/>
  <c r="E14" i="4" s="1"/>
  <c r="C14" i="4"/>
  <c r="H14" i="4" s="1"/>
  <c r="B14" i="4"/>
  <c r="H13" i="4"/>
  <c r="C13" i="4"/>
  <c r="I13" i="4" s="1"/>
  <c r="B13" i="4"/>
  <c r="I12" i="4"/>
  <c r="C12" i="4"/>
  <c r="H12" i="4" s="1"/>
  <c r="B12" i="4"/>
  <c r="D12" i="4" s="1"/>
  <c r="I11" i="4"/>
  <c r="D11" i="4"/>
  <c r="E11" i="4" s="1"/>
  <c r="C11" i="4"/>
  <c r="H11" i="4" s="1"/>
  <c r="B11" i="4"/>
  <c r="H10" i="4"/>
  <c r="C10" i="4"/>
  <c r="I10" i="4" s="1"/>
  <c r="B10" i="4"/>
  <c r="I9" i="4"/>
  <c r="C9" i="4"/>
  <c r="H9" i="4" s="1"/>
  <c r="B9" i="4"/>
  <c r="D9" i="4" s="1"/>
  <c r="I8" i="4"/>
  <c r="D8" i="4"/>
  <c r="E8" i="4" s="1"/>
  <c r="C8" i="4"/>
  <c r="H8" i="4" s="1"/>
  <c r="B8" i="4"/>
  <c r="H7" i="4"/>
  <c r="C7" i="4"/>
  <c r="I7" i="4" s="1"/>
  <c r="B7" i="4"/>
  <c r="I6" i="4"/>
  <c r="C6" i="4"/>
  <c r="H6" i="4" s="1"/>
  <c r="B6" i="4"/>
  <c r="D6" i="4" s="1"/>
  <c r="E6" i="4" s="1"/>
  <c r="I5" i="4"/>
  <c r="D5" i="4"/>
  <c r="E5" i="4" s="1"/>
  <c r="C5" i="4"/>
  <c r="H5" i="4" s="1"/>
  <c r="B5" i="4"/>
  <c r="H4" i="4"/>
  <c r="C4" i="4"/>
  <c r="B4" i="4"/>
  <c r="C3" i="4"/>
  <c r="I3" i="4" s="1"/>
  <c r="B3" i="4"/>
  <c r="D3" i="4" s="1"/>
  <c r="E3" i="4" s="1"/>
  <c r="D2" i="4"/>
  <c r="E2" i="4" s="1"/>
  <c r="C2" i="4"/>
  <c r="H2" i="4" s="1"/>
  <c r="B2" i="4"/>
  <c r="J142" i="3"/>
  <c r="D142" i="3"/>
  <c r="I138" i="3"/>
  <c r="H138" i="3"/>
  <c r="G138" i="3"/>
  <c r="F138" i="3"/>
  <c r="L137" i="3"/>
  <c r="K137" i="3"/>
  <c r="J137" i="3"/>
  <c r="E137" i="3"/>
  <c r="G359" i="4" s="1"/>
  <c r="D137" i="3"/>
  <c r="C137" i="3"/>
  <c r="L136" i="3"/>
  <c r="K136" i="3"/>
  <c r="J136" i="3"/>
  <c r="E136" i="3"/>
  <c r="D136" i="3"/>
  <c r="C136" i="3"/>
  <c r="L135" i="3"/>
  <c r="K135" i="3"/>
  <c r="J135" i="3"/>
  <c r="E135" i="3"/>
  <c r="G353" i="4" s="1"/>
  <c r="D135" i="3"/>
  <c r="C135" i="3"/>
  <c r="L134" i="3"/>
  <c r="K134" i="3"/>
  <c r="J134" i="3"/>
  <c r="E134" i="3"/>
  <c r="D134" i="3"/>
  <c r="C134" i="3"/>
  <c r="L133" i="3"/>
  <c r="K133" i="3"/>
  <c r="J133" i="3"/>
  <c r="E133" i="3"/>
  <c r="G347" i="4" s="1"/>
  <c r="D133" i="3"/>
  <c r="C133" i="3"/>
  <c r="L132" i="3"/>
  <c r="K132" i="3"/>
  <c r="J132" i="3"/>
  <c r="E132" i="3"/>
  <c r="D132" i="3"/>
  <c r="C132" i="3"/>
  <c r="L131" i="3"/>
  <c r="K131" i="3"/>
  <c r="J131" i="3"/>
  <c r="E131" i="3"/>
  <c r="D131" i="3"/>
  <c r="C131" i="3"/>
  <c r="L130" i="3"/>
  <c r="K130" i="3"/>
  <c r="J130" i="3"/>
  <c r="E130" i="3"/>
  <c r="D130" i="3"/>
  <c r="C130" i="3"/>
  <c r="L129" i="3"/>
  <c r="K129" i="3"/>
  <c r="J129" i="3"/>
  <c r="E129" i="3"/>
  <c r="D129" i="3"/>
  <c r="C129" i="3"/>
  <c r="L128" i="3"/>
  <c r="K128" i="3"/>
  <c r="J128" i="3"/>
  <c r="E128" i="3"/>
  <c r="D128" i="3"/>
  <c r="C128" i="3"/>
  <c r="L127" i="3"/>
  <c r="K127" i="3"/>
  <c r="J127" i="3"/>
  <c r="E127" i="3"/>
  <c r="G332" i="4" s="1"/>
  <c r="D127" i="3"/>
  <c r="C127" i="3"/>
  <c r="L126" i="3"/>
  <c r="K126" i="3"/>
  <c r="J126" i="3"/>
  <c r="E126" i="3"/>
  <c r="G326" i="4" s="1"/>
  <c r="D126" i="3"/>
  <c r="C126" i="3"/>
  <c r="L125" i="3"/>
  <c r="K125" i="3"/>
  <c r="J125" i="3"/>
  <c r="E125" i="3"/>
  <c r="D125" i="3"/>
  <c r="C125" i="3"/>
  <c r="L124" i="3"/>
  <c r="K124" i="3"/>
  <c r="J124" i="3"/>
  <c r="E124" i="3"/>
  <c r="D124" i="3"/>
  <c r="C124" i="3"/>
  <c r="L123" i="3"/>
  <c r="K123" i="3"/>
  <c r="J123" i="3"/>
  <c r="E123" i="3"/>
  <c r="D123" i="3"/>
  <c r="C123" i="3"/>
  <c r="L122" i="3"/>
  <c r="K122" i="3"/>
  <c r="J122" i="3"/>
  <c r="E122" i="3"/>
  <c r="D122" i="3"/>
  <c r="C122" i="3"/>
  <c r="L121" i="3"/>
  <c r="K121" i="3"/>
  <c r="J121" i="3"/>
  <c r="E121" i="3"/>
  <c r="D121" i="3"/>
  <c r="C121" i="3"/>
  <c r="L120" i="3"/>
  <c r="K120" i="3"/>
  <c r="J120" i="3"/>
  <c r="E120" i="3"/>
  <c r="D120" i="3"/>
  <c r="C120" i="3"/>
  <c r="L119" i="3"/>
  <c r="K119" i="3"/>
  <c r="J119" i="3"/>
  <c r="E119" i="3"/>
  <c r="D119" i="3"/>
  <c r="C119" i="3"/>
  <c r="L118" i="3"/>
  <c r="K118" i="3"/>
  <c r="J118" i="3"/>
  <c r="E118" i="3"/>
  <c r="D118" i="3"/>
  <c r="C118" i="3"/>
  <c r="L117" i="3"/>
  <c r="K117" i="3"/>
  <c r="J117" i="3"/>
  <c r="E117" i="3"/>
  <c r="D117" i="3"/>
  <c r="C117" i="3"/>
  <c r="L116" i="3"/>
  <c r="K116" i="3"/>
  <c r="J116" i="3"/>
  <c r="E116" i="3"/>
  <c r="D116" i="3"/>
  <c r="C116" i="3"/>
  <c r="L115" i="3"/>
  <c r="K115" i="3"/>
  <c r="J115" i="3"/>
  <c r="E115" i="3"/>
  <c r="D115" i="3"/>
  <c r="C115" i="3"/>
  <c r="L114" i="3"/>
  <c r="K114" i="3"/>
  <c r="J114" i="3"/>
  <c r="E114" i="3"/>
  <c r="G290" i="4" s="1"/>
  <c r="D114" i="3"/>
  <c r="C114" i="3"/>
  <c r="L113" i="3"/>
  <c r="K113" i="3"/>
  <c r="J113" i="3"/>
  <c r="E113" i="3"/>
  <c r="D113" i="3"/>
  <c r="C113" i="3"/>
  <c r="L112" i="3"/>
  <c r="K112" i="3"/>
  <c r="J112" i="3"/>
  <c r="E112" i="3"/>
  <c r="D112" i="3"/>
  <c r="C112" i="3"/>
  <c r="L111" i="3"/>
  <c r="K111" i="3"/>
  <c r="J111" i="3"/>
  <c r="E111" i="3"/>
  <c r="G281" i="4" s="1"/>
  <c r="D111" i="3"/>
  <c r="C111" i="3"/>
  <c r="L110" i="3"/>
  <c r="K110" i="3"/>
  <c r="J110" i="3"/>
  <c r="E110" i="3"/>
  <c r="D110" i="3"/>
  <c r="C110" i="3"/>
  <c r="L109" i="3"/>
  <c r="K109" i="3"/>
  <c r="J109" i="3"/>
  <c r="E109" i="3"/>
  <c r="D109" i="3"/>
  <c r="C109" i="3"/>
  <c r="L108" i="3"/>
  <c r="K108" i="3"/>
  <c r="J108" i="3"/>
  <c r="E108" i="3"/>
  <c r="D108" i="3"/>
  <c r="C108" i="3"/>
  <c r="L107" i="3"/>
  <c r="K107" i="3"/>
  <c r="J107" i="3"/>
  <c r="E107" i="3"/>
  <c r="D107" i="3"/>
  <c r="C107" i="3"/>
  <c r="L106" i="3"/>
  <c r="K106" i="3"/>
  <c r="J106" i="3"/>
  <c r="E106" i="3"/>
  <c r="D106" i="3"/>
  <c r="C106" i="3"/>
  <c r="L105" i="3"/>
  <c r="K105" i="3"/>
  <c r="J105" i="3"/>
  <c r="E105" i="3"/>
  <c r="D105" i="3"/>
  <c r="C105" i="3"/>
  <c r="L104" i="3"/>
  <c r="K104" i="3"/>
  <c r="J104" i="3"/>
  <c r="E104" i="3"/>
  <c r="D104" i="3"/>
  <c r="C104" i="3"/>
  <c r="L103" i="3"/>
  <c r="K103" i="3"/>
  <c r="J103" i="3"/>
  <c r="E103" i="3"/>
  <c r="D103" i="3"/>
  <c r="C103" i="3"/>
  <c r="L102" i="3"/>
  <c r="K102" i="3"/>
  <c r="J102" i="3"/>
  <c r="E102" i="3"/>
  <c r="D102" i="3"/>
  <c r="C102" i="3"/>
  <c r="L101" i="3"/>
  <c r="K101" i="3"/>
  <c r="J101" i="3"/>
  <c r="E101" i="3"/>
  <c r="G251" i="4" s="1"/>
  <c r="D101" i="3"/>
  <c r="C101" i="3"/>
  <c r="L100" i="3"/>
  <c r="K100" i="3"/>
  <c r="J100" i="3"/>
  <c r="E100" i="3"/>
  <c r="D100" i="3"/>
  <c r="C100" i="3"/>
  <c r="L99" i="3"/>
  <c r="K99" i="3"/>
  <c r="J99" i="3"/>
  <c r="E99" i="3"/>
  <c r="D99" i="3"/>
  <c r="C99" i="3"/>
  <c r="L98" i="3"/>
  <c r="K98" i="3"/>
  <c r="J98" i="3"/>
  <c r="E98" i="3"/>
  <c r="D98" i="3"/>
  <c r="C98" i="3"/>
  <c r="L97" i="3"/>
  <c r="K97" i="3"/>
  <c r="J97" i="3"/>
  <c r="E97" i="3"/>
  <c r="D97" i="3"/>
  <c r="C97" i="3"/>
  <c r="L96" i="3"/>
  <c r="K96" i="3"/>
  <c r="J96" i="3"/>
  <c r="E96" i="3"/>
  <c r="D96" i="3"/>
  <c r="C96" i="3"/>
  <c r="L95" i="3"/>
  <c r="K95" i="3"/>
  <c r="J95" i="3"/>
  <c r="E95" i="3"/>
  <c r="D95" i="3"/>
  <c r="C95" i="3"/>
  <c r="L94" i="3"/>
  <c r="K94" i="3"/>
  <c r="J94" i="3"/>
  <c r="E94" i="3"/>
  <c r="D94" i="3"/>
  <c r="C94" i="3"/>
  <c r="L93" i="3"/>
  <c r="K93" i="3"/>
  <c r="J93" i="3"/>
  <c r="E93" i="3"/>
  <c r="D93" i="3"/>
  <c r="C93" i="3"/>
  <c r="L92" i="3"/>
  <c r="K92" i="3"/>
  <c r="J92" i="3"/>
  <c r="E92" i="3"/>
  <c r="D92" i="3"/>
  <c r="C92" i="3"/>
  <c r="L91" i="3"/>
  <c r="K91" i="3"/>
  <c r="J91" i="3"/>
  <c r="E91" i="3"/>
  <c r="D91" i="3"/>
  <c r="C91" i="3"/>
  <c r="L90" i="3"/>
  <c r="K90" i="3"/>
  <c r="J90" i="3"/>
  <c r="E90" i="3"/>
  <c r="D90" i="3"/>
  <c r="C90" i="3"/>
  <c r="L89" i="3"/>
  <c r="K89" i="3"/>
  <c r="J89" i="3"/>
  <c r="E89" i="3"/>
  <c r="D89" i="3"/>
  <c r="C89" i="3"/>
  <c r="L88" i="3"/>
  <c r="K88" i="3"/>
  <c r="J88" i="3"/>
  <c r="E88" i="3"/>
  <c r="G212" i="4" s="1"/>
  <c r="D88" i="3"/>
  <c r="C88" i="3"/>
  <c r="L87" i="3"/>
  <c r="K87" i="3"/>
  <c r="J87" i="3"/>
  <c r="E87" i="3"/>
  <c r="D87" i="3"/>
  <c r="C87" i="3"/>
  <c r="L86" i="3"/>
  <c r="K86" i="3"/>
  <c r="J86" i="3"/>
  <c r="E86" i="3"/>
  <c r="D86" i="3"/>
  <c r="F206" i="4" s="1"/>
  <c r="C86" i="3"/>
  <c r="L85" i="3"/>
  <c r="K85" i="3"/>
  <c r="J85" i="3"/>
  <c r="E85" i="3"/>
  <c r="D85" i="3"/>
  <c r="C85" i="3"/>
  <c r="L84" i="3"/>
  <c r="K84" i="3"/>
  <c r="J84" i="3"/>
  <c r="E84" i="3"/>
  <c r="D84" i="3"/>
  <c r="C84" i="3"/>
  <c r="L83" i="3"/>
  <c r="K83" i="3"/>
  <c r="J83" i="3"/>
  <c r="E83" i="3"/>
  <c r="D83" i="3"/>
  <c r="C83" i="3"/>
  <c r="L82" i="3"/>
  <c r="K82" i="3"/>
  <c r="J82" i="3"/>
  <c r="E82" i="3"/>
  <c r="D82" i="3"/>
  <c r="C82" i="3"/>
  <c r="L81" i="3"/>
  <c r="K81" i="3"/>
  <c r="J81" i="3"/>
  <c r="E81" i="3"/>
  <c r="D81" i="3"/>
  <c r="C81" i="3"/>
  <c r="L80" i="3"/>
  <c r="K80" i="3"/>
  <c r="J80" i="3"/>
  <c r="E80" i="3"/>
  <c r="D80" i="3"/>
  <c r="C80" i="3"/>
  <c r="L79" i="3"/>
  <c r="K79" i="3"/>
  <c r="J79" i="3"/>
  <c r="E79" i="3"/>
  <c r="D79" i="3"/>
  <c r="C79" i="3"/>
  <c r="L78" i="3"/>
  <c r="K78" i="3"/>
  <c r="J78" i="3"/>
  <c r="E78" i="3"/>
  <c r="D78" i="3"/>
  <c r="C78" i="3"/>
  <c r="L77" i="3"/>
  <c r="K77" i="3"/>
  <c r="J77" i="3"/>
  <c r="E77" i="3"/>
  <c r="D77" i="3"/>
  <c r="C77" i="3"/>
  <c r="L76" i="3"/>
  <c r="K76" i="3"/>
  <c r="J76" i="3"/>
  <c r="E76" i="3"/>
  <c r="D76" i="3"/>
  <c r="C76" i="3"/>
  <c r="L75" i="3"/>
  <c r="K75" i="3"/>
  <c r="J75" i="3"/>
  <c r="E75" i="3"/>
  <c r="D75" i="3"/>
  <c r="C75" i="3"/>
  <c r="L74" i="3"/>
  <c r="K74" i="3"/>
  <c r="J74" i="3"/>
  <c r="E74" i="3"/>
  <c r="D74" i="3"/>
  <c r="C74" i="3"/>
  <c r="L73" i="3"/>
  <c r="K73" i="3"/>
  <c r="J73" i="3"/>
  <c r="E73" i="3"/>
  <c r="G167" i="4" s="1"/>
  <c r="D73" i="3"/>
  <c r="C73" i="3"/>
  <c r="L72" i="3"/>
  <c r="K72" i="3"/>
  <c r="J72" i="3"/>
  <c r="E72" i="3"/>
  <c r="D72" i="3"/>
  <c r="C72" i="3"/>
  <c r="L71" i="3"/>
  <c r="K71" i="3"/>
  <c r="J71" i="3"/>
  <c r="E71" i="3"/>
  <c r="D71" i="3"/>
  <c r="C71" i="3"/>
  <c r="L70" i="3"/>
  <c r="K70" i="3"/>
  <c r="J70" i="3"/>
  <c r="E70" i="3"/>
  <c r="D70" i="3"/>
  <c r="C70" i="3"/>
  <c r="L69" i="3"/>
  <c r="K69" i="3"/>
  <c r="J69" i="3"/>
  <c r="E69" i="3"/>
  <c r="D69" i="3"/>
  <c r="C69" i="3"/>
  <c r="L68" i="3"/>
  <c r="K68" i="3"/>
  <c r="J68" i="3"/>
  <c r="E68" i="3"/>
  <c r="D68" i="3"/>
  <c r="C68" i="3"/>
  <c r="L67" i="3"/>
  <c r="K67" i="3"/>
  <c r="J67" i="3"/>
  <c r="E67" i="3"/>
  <c r="D67" i="3"/>
  <c r="C67" i="3"/>
  <c r="L66" i="3"/>
  <c r="K66" i="3"/>
  <c r="J66" i="3"/>
  <c r="E66" i="3"/>
  <c r="D66" i="3"/>
  <c r="C66" i="3"/>
  <c r="L65" i="3"/>
  <c r="K65" i="3"/>
  <c r="J65" i="3"/>
  <c r="E65" i="3"/>
  <c r="D65" i="3"/>
  <c r="C65" i="3"/>
  <c r="L64" i="3"/>
  <c r="K64" i="3"/>
  <c r="J64" i="3"/>
  <c r="E64" i="3"/>
  <c r="D64" i="3"/>
  <c r="C64" i="3"/>
  <c r="L63" i="3"/>
  <c r="K63" i="3"/>
  <c r="J63" i="3"/>
  <c r="E63" i="3"/>
  <c r="D63" i="3"/>
  <c r="C63" i="3"/>
  <c r="L62" i="3"/>
  <c r="K62" i="3"/>
  <c r="J62" i="3"/>
  <c r="E62" i="3"/>
  <c r="D62" i="3"/>
  <c r="C62" i="3"/>
  <c r="L61" i="3"/>
  <c r="K61" i="3"/>
  <c r="J61" i="3"/>
  <c r="E61" i="3"/>
  <c r="D61" i="3"/>
  <c r="C61" i="3"/>
  <c r="L60" i="3"/>
  <c r="K60" i="3"/>
  <c r="J60" i="3"/>
  <c r="E60" i="3"/>
  <c r="D60" i="3"/>
  <c r="C60" i="3"/>
  <c r="L59" i="3"/>
  <c r="K59" i="3"/>
  <c r="J59" i="3"/>
  <c r="E59" i="3"/>
  <c r="D59" i="3"/>
  <c r="C59" i="3"/>
  <c r="L58" i="3"/>
  <c r="K58" i="3"/>
  <c r="J58" i="3"/>
  <c r="E58" i="3"/>
  <c r="D58" i="3"/>
  <c r="C58" i="3"/>
  <c r="L57" i="3"/>
  <c r="K57" i="3"/>
  <c r="J57" i="3"/>
  <c r="E57" i="3"/>
  <c r="G121" i="4" s="1"/>
  <c r="D57" i="3"/>
  <c r="C57" i="3"/>
  <c r="L56" i="3"/>
  <c r="K56" i="3"/>
  <c r="J56" i="3"/>
  <c r="E56" i="3"/>
  <c r="D56" i="3"/>
  <c r="C56" i="3"/>
  <c r="L55" i="3"/>
  <c r="K55" i="3"/>
  <c r="J55" i="3"/>
  <c r="E55" i="3"/>
  <c r="D55" i="3"/>
  <c r="C55" i="3"/>
  <c r="L54" i="3"/>
  <c r="K54" i="3"/>
  <c r="J54" i="3"/>
  <c r="E54" i="3"/>
  <c r="D54" i="3"/>
  <c r="C54" i="3"/>
  <c r="L53" i="3"/>
  <c r="K53" i="3"/>
  <c r="J53" i="3"/>
  <c r="E53" i="3"/>
  <c r="D53" i="3"/>
  <c r="F107" i="4" s="1"/>
  <c r="C53" i="3"/>
  <c r="L52" i="3"/>
  <c r="K52" i="3"/>
  <c r="J52" i="3"/>
  <c r="E52" i="3"/>
  <c r="D52" i="3"/>
  <c r="C52" i="3"/>
  <c r="L51" i="3"/>
  <c r="K51" i="3"/>
  <c r="J51" i="3"/>
  <c r="E51" i="3"/>
  <c r="D51" i="3"/>
  <c r="C51" i="3"/>
  <c r="L50" i="3"/>
  <c r="K50" i="3"/>
  <c r="J50" i="3"/>
  <c r="E50" i="3"/>
  <c r="D50" i="3"/>
  <c r="C50" i="3"/>
  <c r="L49" i="3"/>
  <c r="K49" i="3"/>
  <c r="J49" i="3"/>
  <c r="E49" i="3"/>
  <c r="D49" i="3"/>
  <c r="C49" i="3"/>
  <c r="L48" i="3"/>
  <c r="K48" i="3"/>
  <c r="J48" i="3"/>
  <c r="E48" i="3"/>
  <c r="D48" i="3"/>
  <c r="F92" i="4" s="1"/>
  <c r="C48" i="3"/>
  <c r="L47" i="3"/>
  <c r="K47" i="3"/>
  <c r="J47" i="3"/>
  <c r="E47" i="3"/>
  <c r="D47" i="3"/>
  <c r="C47" i="3"/>
  <c r="L46" i="3"/>
  <c r="K46" i="3"/>
  <c r="J46" i="3"/>
  <c r="E46" i="3"/>
  <c r="D46" i="3"/>
  <c r="C46" i="3"/>
  <c r="L45" i="3"/>
  <c r="K45" i="3"/>
  <c r="J45" i="3"/>
  <c r="E45" i="3"/>
  <c r="D45" i="3"/>
  <c r="C45" i="3"/>
  <c r="L44" i="3"/>
  <c r="K44" i="3"/>
  <c r="J44" i="3"/>
  <c r="E44" i="3"/>
  <c r="D44" i="3"/>
  <c r="C44" i="3"/>
  <c r="L43" i="3"/>
  <c r="K43" i="3"/>
  <c r="J43" i="3"/>
  <c r="E43" i="3"/>
  <c r="D43" i="3"/>
  <c r="C43" i="3"/>
  <c r="L42" i="3"/>
  <c r="K42" i="3"/>
  <c r="J42" i="3"/>
  <c r="E42" i="3"/>
  <c r="G76" i="4" s="1"/>
  <c r="D42" i="3"/>
  <c r="F74" i="4" s="1"/>
  <c r="C42" i="3"/>
  <c r="L41" i="3"/>
  <c r="K41" i="3"/>
  <c r="J41" i="3"/>
  <c r="E41" i="3"/>
  <c r="D41" i="3"/>
  <c r="C41" i="3"/>
  <c r="L40" i="3"/>
  <c r="K40" i="3"/>
  <c r="J40" i="3"/>
  <c r="E40" i="3"/>
  <c r="D40" i="3"/>
  <c r="C40" i="3"/>
  <c r="L39" i="3"/>
  <c r="K39" i="3"/>
  <c r="J39" i="3"/>
  <c r="E39" i="3"/>
  <c r="D39" i="3"/>
  <c r="C39" i="3"/>
  <c r="L38" i="3"/>
  <c r="K38" i="3"/>
  <c r="J38" i="3"/>
  <c r="E38" i="3"/>
  <c r="D38" i="3"/>
  <c r="C38" i="3"/>
  <c r="L37" i="3"/>
  <c r="K37" i="3"/>
  <c r="J37" i="3"/>
  <c r="E37" i="3"/>
  <c r="D37" i="3"/>
  <c r="C37" i="3"/>
  <c r="L36" i="3"/>
  <c r="K36" i="3"/>
  <c r="J36" i="3"/>
  <c r="E36" i="3"/>
  <c r="D36" i="3"/>
  <c r="C36" i="3"/>
  <c r="L35" i="3"/>
  <c r="K35" i="3"/>
  <c r="J35" i="3"/>
  <c r="E35" i="3"/>
  <c r="D35" i="3"/>
  <c r="C35" i="3"/>
  <c r="L34" i="3"/>
  <c r="K34" i="3"/>
  <c r="J34" i="3"/>
  <c r="E34" i="3"/>
  <c r="D34" i="3"/>
  <c r="C34" i="3"/>
  <c r="L33" i="3"/>
  <c r="K33" i="3"/>
  <c r="J33" i="3"/>
  <c r="E33" i="3"/>
  <c r="D33" i="3"/>
  <c r="F47" i="4" s="1"/>
  <c r="C33" i="3"/>
  <c r="L32" i="3"/>
  <c r="K32" i="3"/>
  <c r="J32" i="3"/>
  <c r="E32" i="3"/>
  <c r="D32" i="3"/>
  <c r="C32" i="3"/>
  <c r="L31" i="3"/>
  <c r="K31" i="3"/>
  <c r="J31" i="3"/>
  <c r="E31" i="3"/>
  <c r="D31" i="3"/>
  <c r="C31" i="3"/>
  <c r="L30" i="3"/>
  <c r="K30" i="3"/>
  <c r="J30" i="3"/>
  <c r="E30" i="3"/>
  <c r="D30" i="3"/>
  <c r="C30" i="3"/>
  <c r="L29" i="3"/>
  <c r="K29" i="3"/>
  <c r="J29" i="3"/>
  <c r="E29" i="3"/>
  <c r="D29" i="3"/>
  <c r="F35" i="4" s="1"/>
  <c r="C29" i="3"/>
  <c r="L28" i="3"/>
  <c r="K28" i="3"/>
  <c r="J28" i="3"/>
  <c r="E28" i="3"/>
  <c r="D28" i="3"/>
  <c r="C28" i="3"/>
  <c r="L27" i="3"/>
  <c r="K27" i="3"/>
  <c r="J27" i="3"/>
  <c r="E27" i="3"/>
  <c r="D27" i="3"/>
  <c r="C27" i="3"/>
  <c r="L26" i="3"/>
  <c r="K26" i="3"/>
  <c r="J26" i="3"/>
  <c r="E26" i="3"/>
  <c r="D26" i="3"/>
  <c r="C26" i="3"/>
  <c r="L25" i="3"/>
  <c r="K25" i="3"/>
  <c r="J25" i="3"/>
  <c r="E25" i="3"/>
  <c r="D25" i="3"/>
  <c r="C25" i="3"/>
  <c r="L24" i="3"/>
  <c r="K24" i="3"/>
  <c r="J24" i="3"/>
  <c r="E24" i="3"/>
  <c r="D24" i="3"/>
  <c r="C24" i="3"/>
  <c r="L23" i="3"/>
  <c r="K23" i="3"/>
  <c r="J23" i="3"/>
  <c r="E23" i="3"/>
  <c r="D23" i="3"/>
  <c r="C23" i="3"/>
  <c r="L22" i="3"/>
  <c r="K22" i="3"/>
  <c r="J22" i="3"/>
  <c r="E22" i="3"/>
  <c r="D22" i="3"/>
  <c r="C22" i="3"/>
  <c r="L21" i="3"/>
  <c r="K21" i="3"/>
  <c r="J21" i="3"/>
  <c r="E21" i="3"/>
  <c r="D21" i="3"/>
  <c r="C21" i="3"/>
  <c r="L20" i="3"/>
  <c r="K20" i="3"/>
  <c r="J20" i="3"/>
  <c r="E20" i="3"/>
  <c r="D20" i="3"/>
  <c r="C20" i="3"/>
  <c r="L19" i="3"/>
  <c r="K19" i="3"/>
  <c r="J19" i="3"/>
  <c r="E19" i="3"/>
  <c r="G7" i="4" s="1"/>
  <c r="D19" i="3"/>
  <c r="F5" i="4" s="1"/>
  <c r="C19" i="3"/>
  <c r="L18" i="3"/>
  <c r="L138" i="3" s="1"/>
  <c r="K18" i="3"/>
  <c r="K138" i="3" s="1"/>
  <c r="J18" i="3"/>
  <c r="J138" i="3" s="1"/>
  <c r="E18" i="3"/>
  <c r="G4" i="4" s="1"/>
  <c r="D18" i="3"/>
  <c r="F2" i="4" s="1"/>
  <c r="C18" i="3"/>
  <c r="N154" i="2"/>
  <c r="M154" i="2"/>
  <c r="N153" i="2"/>
  <c r="M153" i="2"/>
  <c r="N152" i="2"/>
  <c r="M152" i="2"/>
  <c r="N151" i="2"/>
  <c r="M151" i="2"/>
  <c r="N150" i="2"/>
  <c r="M150" i="2"/>
  <c r="N149" i="2"/>
  <c r="M149" i="2"/>
  <c r="N148" i="2"/>
  <c r="M148" i="2"/>
  <c r="N147" i="2"/>
  <c r="M147" i="2"/>
  <c r="N146" i="2"/>
  <c r="M146" i="2"/>
  <c r="N145" i="2"/>
  <c r="M145" i="2"/>
  <c r="N144" i="2"/>
  <c r="M144" i="2"/>
  <c r="N143" i="2"/>
  <c r="M143" i="2"/>
  <c r="N142" i="2"/>
  <c r="M142" i="2"/>
  <c r="N141" i="2"/>
  <c r="M141" i="2"/>
  <c r="N140" i="2"/>
  <c r="M140" i="2"/>
  <c r="N139" i="2"/>
  <c r="M139" i="2"/>
  <c r="N138" i="2"/>
  <c r="M138" i="2"/>
  <c r="N137" i="2"/>
  <c r="M137" i="2"/>
  <c r="N136" i="2"/>
  <c r="M136" i="2"/>
  <c r="N135" i="2"/>
  <c r="M135" i="2"/>
  <c r="N134" i="2"/>
  <c r="M134" i="2"/>
  <c r="N133" i="2"/>
  <c r="M133" i="2"/>
  <c r="N132" i="2"/>
  <c r="M132" i="2"/>
  <c r="N131" i="2"/>
  <c r="M131" i="2"/>
  <c r="N130" i="2"/>
  <c r="M130" i="2"/>
  <c r="N129" i="2"/>
  <c r="M129" i="2"/>
  <c r="N128" i="2"/>
  <c r="M128" i="2"/>
  <c r="N127" i="2"/>
  <c r="M127" i="2"/>
  <c r="N126" i="2"/>
  <c r="M126" i="2"/>
  <c r="N125" i="2"/>
  <c r="M125" i="2"/>
  <c r="N124" i="2"/>
  <c r="M124" i="2"/>
  <c r="N123" i="2"/>
  <c r="M123" i="2"/>
  <c r="N122" i="2"/>
  <c r="M122" i="2"/>
  <c r="N121" i="2"/>
  <c r="M121" i="2"/>
  <c r="N120" i="2"/>
  <c r="M120" i="2"/>
  <c r="N119" i="2"/>
  <c r="M119" i="2"/>
  <c r="N118" i="2"/>
  <c r="M118" i="2"/>
  <c r="N117" i="2"/>
  <c r="M117" i="2"/>
  <c r="N116" i="2"/>
  <c r="M116" i="2"/>
  <c r="N115" i="2"/>
  <c r="M115" i="2"/>
  <c r="N114" i="2"/>
  <c r="M114" i="2"/>
  <c r="N113" i="2"/>
  <c r="M113" i="2"/>
  <c r="N112" i="2"/>
  <c r="M112" i="2"/>
  <c r="N111" i="2"/>
  <c r="M111" i="2"/>
  <c r="N110" i="2"/>
  <c r="M110" i="2"/>
  <c r="N109" i="2"/>
  <c r="M109" i="2"/>
  <c r="N108" i="2"/>
  <c r="M108" i="2"/>
  <c r="N107" i="2"/>
  <c r="M107" i="2"/>
  <c r="N106" i="2"/>
  <c r="M106" i="2"/>
  <c r="N105" i="2"/>
  <c r="M105" i="2"/>
  <c r="N104" i="2"/>
  <c r="M104" i="2"/>
  <c r="N103" i="2"/>
  <c r="M103" i="2"/>
  <c r="N102" i="2"/>
  <c r="M102" i="2"/>
  <c r="N101" i="2"/>
  <c r="M101" i="2"/>
  <c r="N100" i="2"/>
  <c r="M100" i="2"/>
  <c r="N99" i="2"/>
  <c r="M99" i="2"/>
  <c r="N98" i="2"/>
  <c r="M98" i="2"/>
  <c r="N97" i="2"/>
  <c r="M97" i="2"/>
  <c r="N96" i="2"/>
  <c r="M96" i="2"/>
  <c r="N95" i="2"/>
  <c r="M95" i="2"/>
  <c r="N94" i="2"/>
  <c r="M94" i="2"/>
  <c r="N93" i="2"/>
  <c r="M93" i="2"/>
  <c r="N92" i="2"/>
  <c r="M92" i="2"/>
  <c r="N91" i="2"/>
  <c r="M91" i="2"/>
  <c r="N90" i="2"/>
  <c r="M90" i="2"/>
  <c r="N89" i="2"/>
  <c r="M89" i="2"/>
  <c r="N88" i="2"/>
  <c r="M88" i="2"/>
  <c r="N87" i="2"/>
  <c r="M87" i="2"/>
  <c r="N86" i="2"/>
  <c r="M86" i="2"/>
  <c r="N85" i="2"/>
  <c r="M85" i="2"/>
  <c r="N84" i="2"/>
  <c r="M84" i="2"/>
  <c r="N83" i="2"/>
  <c r="M83" i="2"/>
  <c r="N82" i="2"/>
  <c r="M82" i="2"/>
  <c r="N81" i="2"/>
  <c r="M81" i="2"/>
  <c r="N80" i="2"/>
  <c r="M80" i="2"/>
  <c r="N79" i="2"/>
  <c r="M79" i="2"/>
  <c r="N78" i="2"/>
  <c r="M78" i="2"/>
  <c r="N77" i="2"/>
  <c r="M77" i="2"/>
  <c r="N76" i="2"/>
  <c r="M76" i="2"/>
  <c r="N75" i="2"/>
  <c r="M75" i="2"/>
  <c r="N74" i="2"/>
  <c r="M74" i="2"/>
  <c r="N73" i="2"/>
  <c r="M73" i="2"/>
  <c r="N72" i="2"/>
  <c r="M72" i="2"/>
  <c r="N71" i="2"/>
  <c r="M71" i="2"/>
  <c r="N70" i="2"/>
  <c r="M70" i="2"/>
  <c r="N69" i="2"/>
  <c r="M69" i="2"/>
  <c r="N68" i="2"/>
  <c r="M68" i="2"/>
  <c r="N67" i="2"/>
  <c r="M67" i="2"/>
  <c r="N66" i="2"/>
  <c r="M66" i="2"/>
  <c r="N65" i="2"/>
  <c r="M65" i="2"/>
  <c r="N64" i="2"/>
  <c r="M64" i="2"/>
  <c r="N63" i="2"/>
  <c r="M63" i="2"/>
  <c r="N62" i="2"/>
  <c r="M62" i="2"/>
  <c r="N61" i="2"/>
  <c r="M61" i="2"/>
  <c r="N60" i="2"/>
  <c r="M60" i="2"/>
  <c r="N59" i="2"/>
  <c r="M59" i="2"/>
  <c r="N58" i="2"/>
  <c r="M58" i="2"/>
  <c r="N57" i="2"/>
  <c r="M57" i="2"/>
  <c r="N56" i="2"/>
  <c r="M56" i="2"/>
  <c r="N55" i="2"/>
  <c r="M55" i="2"/>
  <c r="N54" i="2"/>
  <c r="M54" i="2"/>
  <c r="N53" i="2"/>
  <c r="M53" i="2"/>
  <c r="N52" i="2"/>
  <c r="M52" i="2"/>
  <c r="N51" i="2"/>
  <c r="M51" i="2"/>
  <c r="N50" i="2"/>
  <c r="M50" i="2"/>
  <c r="N49" i="2"/>
  <c r="M49" i="2"/>
  <c r="N48" i="2"/>
  <c r="M48" i="2"/>
  <c r="N47" i="2"/>
  <c r="M47" i="2"/>
  <c r="N46" i="2"/>
  <c r="M46" i="2"/>
  <c r="N45" i="2"/>
  <c r="M45" i="2"/>
  <c r="N44" i="2"/>
  <c r="M44" i="2"/>
  <c r="N43" i="2"/>
  <c r="M43" i="2"/>
  <c r="N42" i="2"/>
  <c r="M42" i="2"/>
  <c r="N41" i="2"/>
  <c r="M41" i="2"/>
  <c r="N40" i="2"/>
  <c r="M40" i="2"/>
  <c r="N39" i="2"/>
  <c r="M39" i="2"/>
  <c r="N38" i="2"/>
  <c r="M38" i="2"/>
  <c r="N37" i="2"/>
  <c r="M37" i="2"/>
  <c r="N36" i="2"/>
  <c r="M36" i="2"/>
  <c r="N35" i="2"/>
  <c r="M35" i="2"/>
  <c r="N34" i="2"/>
  <c r="M34" i="2"/>
  <c r="N33" i="2"/>
  <c r="M33" i="2"/>
  <c r="N32" i="2"/>
  <c r="M32" i="2"/>
  <c r="N31" i="2"/>
  <c r="M31" i="2"/>
  <c r="N30" i="2"/>
  <c r="M30" i="2"/>
  <c r="N29" i="2"/>
  <c r="M29" i="2"/>
  <c r="N28" i="2"/>
  <c r="M28" i="2"/>
  <c r="N27" i="2"/>
  <c r="M27" i="2"/>
  <c r="N26" i="2"/>
  <c r="M26" i="2"/>
  <c r="N25" i="2"/>
  <c r="M25" i="2"/>
  <c r="N24" i="2"/>
  <c r="M24" i="2"/>
  <c r="N23" i="2"/>
  <c r="M23" i="2"/>
  <c r="N22" i="2"/>
  <c r="M22" i="2"/>
  <c r="N21" i="2"/>
  <c r="M21" i="2"/>
  <c r="N20" i="2"/>
  <c r="M20" i="2"/>
  <c r="N19" i="2"/>
  <c r="M19" i="2"/>
  <c r="N18" i="2"/>
  <c r="M18" i="2"/>
  <c r="N17" i="2"/>
  <c r="M17" i="2"/>
  <c r="N16" i="2"/>
  <c r="M16" i="2"/>
  <c r="N15" i="2"/>
  <c r="M15" i="2"/>
  <c r="N14" i="2"/>
  <c r="M14" i="2"/>
  <c r="N13" i="2"/>
  <c r="M13" i="2"/>
  <c r="N12" i="2"/>
  <c r="M12" i="2"/>
  <c r="N11" i="2"/>
  <c r="M11" i="2"/>
  <c r="N10" i="2"/>
  <c r="M10" i="2"/>
  <c r="N9" i="2"/>
  <c r="M9" i="2"/>
  <c r="N8" i="2"/>
  <c r="M8" i="2"/>
  <c r="N7" i="2"/>
  <c r="M7" i="2"/>
  <c r="N6" i="2"/>
  <c r="M6" i="2"/>
  <c r="N5" i="2"/>
  <c r="M5" i="2"/>
  <c r="N4" i="2"/>
  <c r="M4" i="2"/>
  <c r="N3" i="2"/>
  <c r="M3" i="2"/>
  <c r="N2" i="2"/>
  <c r="N1" i="3" s="1"/>
  <c r="M2" i="2"/>
  <c r="J277" i="4" l="1"/>
  <c r="F14" i="4"/>
  <c r="F26" i="4"/>
  <c r="F38" i="4"/>
  <c r="F53" i="4"/>
  <c r="F65" i="4"/>
  <c r="F80" i="4"/>
  <c r="F95" i="4"/>
  <c r="F110" i="4"/>
  <c r="F125" i="4"/>
  <c r="F140" i="4"/>
  <c r="G18" i="4"/>
  <c r="G30" i="4"/>
  <c r="G40" i="4"/>
  <c r="F8" i="4"/>
  <c r="F23" i="4"/>
  <c r="F32" i="4"/>
  <c r="F44" i="4"/>
  <c r="F59" i="4"/>
  <c r="F71" i="4"/>
  <c r="F86" i="4"/>
  <c r="F101" i="4"/>
  <c r="F116" i="4"/>
  <c r="F131" i="4"/>
  <c r="F146" i="4"/>
  <c r="F158" i="4"/>
  <c r="F170" i="4"/>
  <c r="F182" i="4"/>
  <c r="F194" i="4"/>
  <c r="F203" i="4"/>
  <c r="G9" i="4"/>
  <c r="G21" i="4"/>
  <c r="G33" i="4"/>
  <c r="G85" i="4"/>
  <c r="G103" i="4"/>
  <c r="G139" i="4"/>
  <c r="G157" i="4"/>
  <c r="G170" i="4"/>
  <c r="G179" i="4"/>
  <c r="G188" i="4"/>
  <c r="G197" i="4"/>
  <c r="G221" i="4"/>
  <c r="G230" i="4"/>
  <c r="G239" i="4"/>
  <c r="G245" i="4"/>
  <c r="G254" i="4"/>
  <c r="G263" i="4"/>
  <c r="G272" i="4"/>
  <c r="G299" i="4"/>
  <c r="G308" i="4"/>
  <c r="G317" i="4"/>
  <c r="F20" i="4"/>
  <c r="F50" i="4"/>
  <c r="F62" i="4"/>
  <c r="F77" i="4"/>
  <c r="F89" i="4"/>
  <c r="F104" i="4"/>
  <c r="F119" i="4"/>
  <c r="F134" i="4"/>
  <c r="F149" i="4"/>
  <c r="F161" i="4"/>
  <c r="F173" i="4"/>
  <c r="F185" i="4"/>
  <c r="F197" i="4"/>
  <c r="F209" i="4"/>
  <c r="G12" i="4"/>
  <c r="G24" i="4"/>
  <c r="G176" i="4"/>
  <c r="G185" i="4"/>
  <c r="G194" i="4"/>
  <c r="G203" i="4"/>
  <c r="G209" i="4"/>
  <c r="G218" i="4"/>
  <c r="G227" i="4"/>
  <c r="G236" i="4"/>
  <c r="G260" i="4"/>
  <c r="G269" i="4"/>
  <c r="G287" i="4"/>
  <c r="G296" i="4"/>
  <c r="G305" i="4"/>
  <c r="G314" i="4"/>
  <c r="G338" i="4"/>
  <c r="G350" i="4"/>
  <c r="G356" i="4"/>
  <c r="F17" i="4"/>
  <c r="F29" i="4"/>
  <c r="F41" i="4"/>
  <c r="F56" i="4"/>
  <c r="F68" i="4"/>
  <c r="F83" i="4"/>
  <c r="F98" i="4"/>
  <c r="F113" i="4"/>
  <c r="F128" i="4"/>
  <c r="F143" i="4"/>
  <c r="F155" i="4"/>
  <c r="F167" i="4"/>
  <c r="F179" i="4"/>
  <c r="F191" i="4"/>
  <c r="L145" i="2"/>
  <c r="G15" i="4"/>
  <c r="G27" i="4"/>
  <c r="G36" i="4"/>
  <c r="G49" i="4"/>
  <c r="G58" i="4"/>
  <c r="G67" i="4"/>
  <c r="G94" i="4"/>
  <c r="G112" i="4"/>
  <c r="G130" i="4"/>
  <c r="G148" i="4"/>
  <c r="G164" i="4"/>
  <c r="G173" i="4"/>
  <c r="G182" i="4"/>
  <c r="G191" i="4"/>
  <c r="G200" i="4"/>
  <c r="G206" i="4"/>
  <c r="G215" i="4"/>
  <c r="G224" i="4"/>
  <c r="G233" i="4"/>
  <c r="G242" i="4"/>
  <c r="G248" i="4"/>
  <c r="G257" i="4"/>
  <c r="G266" i="4"/>
  <c r="G275" i="4"/>
  <c r="G284" i="4"/>
  <c r="G293" i="4"/>
  <c r="G302" i="4"/>
  <c r="G311" i="4"/>
  <c r="G320" i="4"/>
  <c r="G323" i="4"/>
  <c r="G329" i="4"/>
  <c r="G335" i="4"/>
  <c r="G341" i="4"/>
  <c r="G344" i="4"/>
  <c r="G278" i="4"/>
  <c r="F11" i="4"/>
  <c r="F122" i="4"/>
  <c r="F137" i="4"/>
  <c r="F152" i="4"/>
  <c r="F164" i="4"/>
  <c r="F176" i="4"/>
  <c r="F188" i="4"/>
  <c r="F200" i="4"/>
  <c r="F212" i="4"/>
  <c r="F215" i="4"/>
  <c r="F218" i="4"/>
  <c r="F221" i="4"/>
  <c r="F224" i="4"/>
  <c r="F227" i="4"/>
  <c r="F230" i="4"/>
  <c r="F233" i="4"/>
  <c r="F236" i="4"/>
  <c r="F239" i="4"/>
  <c r="F242" i="4"/>
  <c r="F245" i="4"/>
  <c r="F248" i="4"/>
  <c r="F251" i="4"/>
  <c r="F254" i="4"/>
  <c r="F257" i="4"/>
  <c r="F260" i="4"/>
  <c r="F263" i="4"/>
  <c r="F266" i="4"/>
  <c r="F269" i="4"/>
  <c r="F272" i="4"/>
  <c r="F275" i="4"/>
  <c r="F278" i="4"/>
  <c r="F281" i="4"/>
  <c r="F284" i="4"/>
  <c r="F287" i="4"/>
  <c r="F290" i="4"/>
  <c r="F293" i="4"/>
  <c r="F296" i="4"/>
  <c r="F299" i="4"/>
  <c r="F302" i="4"/>
  <c r="F305" i="4"/>
  <c r="F308" i="4"/>
  <c r="F311" i="4"/>
  <c r="F314" i="4"/>
  <c r="F317" i="4"/>
  <c r="F320" i="4"/>
  <c r="F323" i="4"/>
  <c r="F326" i="4"/>
  <c r="F329" i="4"/>
  <c r="F332" i="4"/>
  <c r="F335" i="4"/>
  <c r="F338" i="4"/>
  <c r="F341" i="4"/>
  <c r="F344" i="4"/>
  <c r="F347" i="4"/>
  <c r="F350" i="4"/>
  <c r="F353" i="4"/>
  <c r="F356" i="4"/>
  <c r="F359" i="4"/>
  <c r="L153" i="2"/>
  <c r="L143" i="2"/>
  <c r="J304" i="4"/>
  <c r="J313" i="4"/>
  <c r="J322" i="4"/>
  <c r="J295" i="4"/>
  <c r="J232" i="4"/>
  <c r="J241" i="4"/>
  <c r="L13" i="2"/>
  <c r="L25" i="2"/>
  <c r="L37" i="2"/>
  <c r="L49" i="2"/>
  <c r="L61" i="2"/>
  <c r="L73" i="2"/>
  <c r="L85" i="2"/>
  <c r="L97" i="2"/>
  <c r="L109" i="2"/>
  <c r="L121" i="2"/>
  <c r="L133" i="2"/>
  <c r="L11" i="2"/>
  <c r="L23" i="2"/>
  <c r="L59" i="2"/>
  <c r="G8" i="4"/>
  <c r="G11" i="4"/>
  <c r="G14" i="4"/>
  <c r="G17" i="4"/>
  <c r="G20" i="4"/>
  <c r="G23" i="4"/>
  <c r="G26" i="4"/>
  <c r="G29" i="4"/>
  <c r="G32" i="4"/>
  <c r="G35" i="4"/>
  <c r="J286" i="4"/>
  <c r="G316" i="4"/>
  <c r="J358" i="4"/>
  <c r="L35" i="2"/>
  <c r="L71" i="2"/>
  <c r="L83" i="2"/>
  <c r="L95" i="2"/>
  <c r="L119" i="2"/>
  <c r="L131" i="2"/>
  <c r="J8" i="4"/>
  <c r="G10" i="4"/>
  <c r="J11" i="4"/>
  <c r="G13" i="4"/>
  <c r="J14" i="4"/>
  <c r="G16" i="4"/>
  <c r="J17" i="4"/>
  <c r="G19" i="4"/>
  <c r="J20" i="4"/>
  <c r="G22" i="4"/>
  <c r="J23" i="4"/>
  <c r="G25" i="4"/>
  <c r="J26" i="4"/>
  <c r="G28" i="4"/>
  <c r="J29" i="4"/>
  <c r="G31" i="4"/>
  <c r="J32" i="4"/>
  <c r="G34" i="4"/>
  <c r="J35" i="4"/>
  <c r="G52" i="4"/>
  <c r="G70" i="4"/>
  <c r="G88" i="4"/>
  <c r="G106" i="4"/>
  <c r="G124" i="4"/>
  <c r="G142" i="4"/>
  <c r="G160" i="4"/>
  <c r="J196" i="4"/>
  <c r="J205" i="4"/>
  <c r="J214" i="4"/>
  <c r="G262" i="4"/>
  <c r="J331" i="4"/>
  <c r="J349" i="4"/>
  <c r="L9" i="2"/>
  <c r="L21" i="2"/>
  <c r="L33" i="2"/>
  <c r="L45" i="2"/>
  <c r="L57" i="2"/>
  <c r="L69" i="2"/>
  <c r="L81" i="2"/>
  <c r="L93" i="2"/>
  <c r="L105" i="2"/>
  <c r="L117" i="2"/>
  <c r="L129" i="2"/>
  <c r="L141" i="2"/>
  <c r="L154" i="2"/>
  <c r="L7" i="2"/>
  <c r="L19" i="2"/>
  <c r="L31" i="2"/>
  <c r="L43" i="2"/>
  <c r="L55" i="2"/>
  <c r="L67" i="2"/>
  <c r="L79" i="2"/>
  <c r="L91" i="2"/>
  <c r="L103" i="2"/>
  <c r="L115" i="2"/>
  <c r="L127" i="2"/>
  <c r="L139" i="2"/>
  <c r="L151" i="2"/>
  <c r="J223" i="4"/>
  <c r="L47" i="2"/>
  <c r="L107" i="2"/>
  <c r="L5" i="2"/>
  <c r="L17" i="2"/>
  <c r="L29" i="2"/>
  <c r="L41" i="2"/>
  <c r="L53" i="2"/>
  <c r="L65" i="2"/>
  <c r="L77" i="2"/>
  <c r="L89" i="2"/>
  <c r="L101" i="2"/>
  <c r="L113" i="2"/>
  <c r="L125" i="2"/>
  <c r="L137" i="2"/>
  <c r="L149" i="2"/>
  <c r="J340" i="4"/>
  <c r="L3" i="2"/>
  <c r="L15" i="2"/>
  <c r="L27" i="2"/>
  <c r="L39" i="2"/>
  <c r="L51" i="2"/>
  <c r="L63" i="2"/>
  <c r="L75" i="2"/>
  <c r="L87" i="2"/>
  <c r="L99" i="2"/>
  <c r="L111" i="2"/>
  <c r="L123" i="2"/>
  <c r="L135" i="2"/>
  <c r="L147" i="2"/>
  <c r="G43" i="4"/>
  <c r="G61" i="4"/>
  <c r="G79" i="4"/>
  <c r="G97" i="4"/>
  <c r="G115" i="4"/>
  <c r="G133" i="4"/>
  <c r="G151" i="4"/>
  <c r="G208" i="4"/>
  <c r="J250" i="4"/>
  <c r="J259" i="4"/>
  <c r="J268" i="4"/>
  <c r="J265" i="4"/>
  <c r="J42" i="4"/>
  <c r="J54" i="4"/>
  <c r="J60" i="4"/>
  <c r="J72" i="4"/>
  <c r="J78" i="4"/>
  <c r="J90" i="4"/>
  <c r="J96" i="4"/>
  <c r="J108" i="4"/>
  <c r="J114" i="4"/>
  <c r="J126" i="4"/>
  <c r="J132" i="4"/>
  <c r="J144" i="4"/>
  <c r="J150" i="4"/>
  <c r="J162" i="4"/>
  <c r="J81" i="4"/>
  <c r="J99" i="4"/>
  <c r="J343" i="4"/>
  <c r="J292" i="4"/>
  <c r="J193" i="4"/>
  <c r="J301" i="4"/>
  <c r="J274" i="4"/>
  <c r="J337" i="4"/>
  <c r="J45" i="4"/>
  <c r="J51" i="4"/>
  <c r="J63" i="4"/>
  <c r="J69" i="4"/>
  <c r="J87" i="4"/>
  <c r="J105" i="4"/>
  <c r="J117" i="4"/>
  <c r="J123" i="4"/>
  <c r="J135" i="4"/>
  <c r="J141" i="4"/>
  <c r="J153" i="4"/>
  <c r="J159" i="4"/>
  <c r="J211" i="4"/>
  <c r="J247" i="4"/>
  <c r="J319" i="4"/>
  <c r="J202" i="4"/>
  <c r="J310" i="4"/>
  <c r="J220" i="4"/>
  <c r="J226" i="4"/>
  <c r="J283" i="4"/>
  <c r="J328" i="4"/>
  <c r="J334" i="4"/>
  <c r="J229" i="4"/>
  <c r="J280" i="4"/>
  <c r="J238" i="4"/>
  <c r="J253" i="4"/>
  <c r="J346" i="4"/>
  <c r="J355" i="4"/>
  <c r="J199" i="4"/>
  <c r="J256" i="4"/>
  <c r="J307" i="4"/>
  <c r="E13" i="3"/>
  <c r="K13" i="3" s="1"/>
  <c r="B13" i="3"/>
  <c r="H13" i="3" s="1"/>
  <c r="D13" i="3"/>
  <c r="J13" i="3" s="1"/>
  <c r="F13" i="3"/>
  <c r="C13" i="3"/>
  <c r="I13" i="3" s="1"/>
  <c r="G41" i="4"/>
  <c r="G42" i="4"/>
  <c r="G50" i="4"/>
  <c r="G51" i="4"/>
  <c r="G59" i="4"/>
  <c r="G60" i="4"/>
  <c r="G68" i="4"/>
  <c r="G69" i="4"/>
  <c r="G77" i="4"/>
  <c r="G78" i="4"/>
  <c r="G86" i="4"/>
  <c r="G87" i="4"/>
  <c r="G95" i="4"/>
  <c r="G96" i="4"/>
  <c r="G104" i="4"/>
  <c r="G105" i="4"/>
  <c r="G113" i="4"/>
  <c r="G114" i="4"/>
  <c r="G122" i="4"/>
  <c r="G123" i="4"/>
  <c r="G134" i="4"/>
  <c r="G135" i="4"/>
  <c r="G143" i="4"/>
  <c r="G144" i="4"/>
  <c r="G152" i="4"/>
  <c r="G153" i="4"/>
  <c r="G161" i="4"/>
  <c r="G162" i="4"/>
  <c r="I52" i="4"/>
  <c r="I70" i="4"/>
  <c r="I79" i="4"/>
  <c r="I88" i="4"/>
  <c r="I124" i="4"/>
  <c r="I142" i="4"/>
  <c r="F168" i="4"/>
  <c r="F186" i="4"/>
  <c r="E211" i="4"/>
  <c r="G219" i="4"/>
  <c r="F219" i="4"/>
  <c r="D219" i="4"/>
  <c r="G307" i="4"/>
  <c r="I2" i="4"/>
  <c r="J2" i="4" s="1"/>
  <c r="F3" i="4"/>
  <c r="I4" i="4"/>
  <c r="J5" i="4"/>
  <c r="F37" i="4"/>
  <c r="D37" i="4"/>
  <c r="F39" i="4"/>
  <c r="J44" i="4"/>
  <c r="F46" i="4"/>
  <c r="D46" i="4"/>
  <c r="F48" i="4"/>
  <c r="J53" i="4"/>
  <c r="F55" i="4"/>
  <c r="D55" i="4"/>
  <c r="F57" i="4"/>
  <c r="J62" i="4"/>
  <c r="F64" i="4"/>
  <c r="D64" i="4"/>
  <c r="F66" i="4"/>
  <c r="J71" i="4"/>
  <c r="F73" i="4"/>
  <c r="D73" i="4"/>
  <c r="F75" i="4"/>
  <c r="J80" i="4"/>
  <c r="F82" i="4"/>
  <c r="D82" i="4"/>
  <c r="F84" i="4"/>
  <c r="J89" i="4"/>
  <c r="F91" i="4"/>
  <c r="D91" i="4"/>
  <c r="F93" i="4"/>
  <c r="J98" i="4"/>
  <c r="F100" i="4"/>
  <c r="D100" i="4"/>
  <c r="F102" i="4"/>
  <c r="J107" i="4"/>
  <c r="F109" i="4"/>
  <c r="D109" i="4"/>
  <c r="F111" i="4"/>
  <c r="J116" i="4"/>
  <c r="F118" i="4"/>
  <c r="D118" i="4"/>
  <c r="F120" i="4"/>
  <c r="J125" i="4"/>
  <c r="F127" i="4"/>
  <c r="D127" i="4"/>
  <c r="F129" i="4"/>
  <c r="J134" i="4"/>
  <c r="F136" i="4"/>
  <c r="D136" i="4"/>
  <c r="F138" i="4"/>
  <c r="J143" i="4"/>
  <c r="F145" i="4"/>
  <c r="D145" i="4"/>
  <c r="F147" i="4"/>
  <c r="J152" i="4"/>
  <c r="F154" i="4"/>
  <c r="D154" i="4"/>
  <c r="F156" i="4"/>
  <c r="J161" i="4"/>
  <c r="F163" i="4"/>
  <c r="D163" i="4"/>
  <c r="F165" i="4"/>
  <c r="E173" i="4"/>
  <c r="J173" i="4"/>
  <c r="E178" i="4"/>
  <c r="I180" i="4"/>
  <c r="H180" i="4"/>
  <c r="F183" i="4"/>
  <c r="E191" i="4"/>
  <c r="J191" i="4"/>
  <c r="E202" i="4"/>
  <c r="J208" i="4"/>
  <c r="G210" i="4"/>
  <c r="F210" i="4"/>
  <c r="D210" i="4"/>
  <c r="I219" i="4"/>
  <c r="H219" i="4"/>
  <c r="G244" i="4"/>
  <c r="E256" i="4"/>
  <c r="J262" i="4"/>
  <c r="G264" i="4"/>
  <c r="F264" i="4"/>
  <c r="D264" i="4"/>
  <c r="I273" i="4"/>
  <c r="H273" i="4"/>
  <c r="G298" i="4"/>
  <c r="E310" i="4"/>
  <c r="J316" i="4"/>
  <c r="G318" i="4"/>
  <c r="F318" i="4"/>
  <c r="D318" i="4"/>
  <c r="I327" i="4"/>
  <c r="H327" i="4"/>
  <c r="E355" i="4"/>
  <c r="F6" i="4"/>
  <c r="F15" i="4"/>
  <c r="F24" i="4"/>
  <c r="F30" i="4"/>
  <c r="F36" i="4"/>
  <c r="F43" i="4"/>
  <c r="D43" i="4"/>
  <c r="F45" i="4"/>
  <c r="F52" i="4"/>
  <c r="D52" i="4"/>
  <c r="F54" i="4"/>
  <c r="F61" i="4"/>
  <c r="D61" i="4"/>
  <c r="F63" i="4"/>
  <c r="F70" i="4"/>
  <c r="D70" i="4"/>
  <c r="F115" i="4"/>
  <c r="D115" i="4"/>
  <c r="F117" i="4"/>
  <c r="F124" i="4"/>
  <c r="D124" i="4"/>
  <c r="F126" i="4"/>
  <c r="F133" i="4"/>
  <c r="D133" i="4"/>
  <c r="F135" i="4"/>
  <c r="I168" i="4"/>
  <c r="H168" i="4"/>
  <c r="I186" i="4"/>
  <c r="H186" i="4"/>
  <c r="G282" i="4"/>
  <c r="F282" i="4"/>
  <c r="D282" i="4"/>
  <c r="I291" i="4"/>
  <c r="H291" i="4"/>
  <c r="G336" i="4"/>
  <c r="F336" i="4"/>
  <c r="D336" i="4"/>
  <c r="G44" i="4"/>
  <c r="G45" i="4"/>
  <c r="G53" i="4"/>
  <c r="G54" i="4"/>
  <c r="G62" i="4"/>
  <c r="G63" i="4"/>
  <c r="G71" i="4"/>
  <c r="G72" i="4"/>
  <c r="G80" i="4"/>
  <c r="G81" i="4"/>
  <c r="G89" i="4"/>
  <c r="G90" i="4"/>
  <c r="G98" i="4"/>
  <c r="G99" i="4"/>
  <c r="G107" i="4"/>
  <c r="G108" i="4"/>
  <c r="G116" i="4"/>
  <c r="G117" i="4"/>
  <c r="G125" i="4"/>
  <c r="G126" i="4"/>
  <c r="G131" i="4"/>
  <c r="G132" i="4"/>
  <c r="G140" i="4"/>
  <c r="G141" i="4"/>
  <c r="G149" i="4"/>
  <c r="G150" i="4"/>
  <c r="G158" i="4"/>
  <c r="G159" i="4"/>
  <c r="F4" i="4"/>
  <c r="I61" i="4"/>
  <c r="I97" i="4"/>
  <c r="I106" i="4"/>
  <c r="I115" i="4"/>
  <c r="I151" i="4"/>
  <c r="E176" i="4"/>
  <c r="J176" i="4"/>
  <c r="I183" i="4"/>
  <c r="H183" i="4"/>
  <c r="G199" i="4"/>
  <c r="J217" i="4"/>
  <c r="I228" i="4"/>
  <c r="H228" i="4"/>
  <c r="G253" i="4"/>
  <c r="E265" i="4"/>
  <c r="J271" i="4"/>
  <c r="G273" i="4"/>
  <c r="F273" i="4"/>
  <c r="D273" i="4"/>
  <c r="I282" i="4"/>
  <c r="H282" i="4"/>
  <c r="E319" i="4"/>
  <c r="J325" i="4"/>
  <c r="G327" i="4"/>
  <c r="F327" i="4"/>
  <c r="D327" i="4"/>
  <c r="I336" i="4"/>
  <c r="H336" i="4"/>
  <c r="G352" i="4"/>
  <c r="J361" i="4"/>
  <c r="L2" i="2"/>
  <c r="L4" i="2"/>
  <c r="L6" i="2"/>
  <c r="L8" i="2"/>
  <c r="L10" i="2"/>
  <c r="L12" i="2"/>
  <c r="L14" i="2"/>
  <c r="L16" i="2"/>
  <c r="L18" i="2"/>
  <c r="L20" i="2"/>
  <c r="L22" i="2"/>
  <c r="L24" i="2"/>
  <c r="L26" i="2"/>
  <c r="L28" i="2"/>
  <c r="L30" i="2"/>
  <c r="L32" i="2"/>
  <c r="L34" i="2"/>
  <c r="L36" i="2"/>
  <c r="L38" i="2"/>
  <c r="L40" i="2"/>
  <c r="L42" i="2"/>
  <c r="L44" i="2"/>
  <c r="L46" i="2"/>
  <c r="L48" i="2"/>
  <c r="L50" i="2"/>
  <c r="L52" i="2"/>
  <c r="L54" i="2"/>
  <c r="L56" i="2"/>
  <c r="L58" i="2"/>
  <c r="L60" i="2"/>
  <c r="L62" i="2"/>
  <c r="L64" i="2"/>
  <c r="L66" i="2"/>
  <c r="L68" i="2"/>
  <c r="L70" i="2"/>
  <c r="L72" i="2"/>
  <c r="L74" i="2"/>
  <c r="L76" i="2"/>
  <c r="L78" i="2"/>
  <c r="L80" i="2"/>
  <c r="L82" i="2"/>
  <c r="L84" i="2"/>
  <c r="L86" i="2"/>
  <c r="L88" i="2"/>
  <c r="L90" i="2"/>
  <c r="L92" i="2"/>
  <c r="L94" i="2"/>
  <c r="L96" i="2"/>
  <c r="L98" i="2"/>
  <c r="L100" i="2"/>
  <c r="L102" i="2"/>
  <c r="L104" i="2"/>
  <c r="L106" i="2"/>
  <c r="L108" i="2"/>
  <c r="L110" i="2"/>
  <c r="L112" i="2"/>
  <c r="L114" i="2"/>
  <c r="L116" i="2"/>
  <c r="L118" i="2"/>
  <c r="L120" i="2"/>
  <c r="L122" i="2"/>
  <c r="L124" i="2"/>
  <c r="L126" i="2"/>
  <c r="L128" i="2"/>
  <c r="L130" i="2"/>
  <c r="L132" i="2"/>
  <c r="L134" i="2"/>
  <c r="L136" i="2"/>
  <c r="L138" i="2"/>
  <c r="L140" i="2"/>
  <c r="L142" i="2"/>
  <c r="L144" i="2"/>
  <c r="L146" i="2"/>
  <c r="L148" i="2"/>
  <c r="L150" i="2"/>
  <c r="L152" i="2"/>
  <c r="G3" i="4"/>
  <c r="D4" i="4"/>
  <c r="J6" i="4"/>
  <c r="F7" i="4"/>
  <c r="D7" i="4"/>
  <c r="J9" i="4"/>
  <c r="F10" i="4"/>
  <c r="D10" i="4"/>
  <c r="J12" i="4"/>
  <c r="F13" i="4"/>
  <c r="D13" i="4"/>
  <c r="J15" i="4"/>
  <c r="F16" i="4"/>
  <c r="D16" i="4"/>
  <c r="J18" i="4"/>
  <c r="F19" i="4"/>
  <c r="D19" i="4"/>
  <c r="J21" i="4"/>
  <c r="F22" i="4"/>
  <c r="D22" i="4"/>
  <c r="J24" i="4"/>
  <c r="F25" i="4"/>
  <c r="D25" i="4"/>
  <c r="J27" i="4"/>
  <c r="F28" i="4"/>
  <c r="D28" i="4"/>
  <c r="J30" i="4"/>
  <c r="F31" i="4"/>
  <c r="D31" i="4"/>
  <c r="J33" i="4"/>
  <c r="F34" i="4"/>
  <c r="D34" i="4"/>
  <c r="I38" i="4"/>
  <c r="J38" i="4" s="1"/>
  <c r="E42" i="4"/>
  <c r="I47" i="4"/>
  <c r="J47" i="4" s="1"/>
  <c r="E51" i="4"/>
  <c r="I56" i="4"/>
  <c r="J56" i="4" s="1"/>
  <c r="E60" i="4"/>
  <c r="I65" i="4"/>
  <c r="J65" i="4" s="1"/>
  <c r="E69" i="4"/>
  <c r="I74" i="4"/>
  <c r="J74" i="4" s="1"/>
  <c r="E78" i="4"/>
  <c r="I83" i="4"/>
  <c r="J83" i="4" s="1"/>
  <c r="E87" i="4"/>
  <c r="I92" i="4"/>
  <c r="J92" i="4" s="1"/>
  <c r="E96" i="4"/>
  <c r="I101" i="4"/>
  <c r="J101" i="4" s="1"/>
  <c r="E105" i="4"/>
  <c r="I110" i="4"/>
  <c r="J110" i="4" s="1"/>
  <c r="E114" i="4"/>
  <c r="I119" i="4"/>
  <c r="J119" i="4" s="1"/>
  <c r="E123" i="4"/>
  <c r="I128" i="4"/>
  <c r="J128" i="4" s="1"/>
  <c r="E132" i="4"/>
  <c r="I137" i="4"/>
  <c r="J137" i="4" s="1"/>
  <c r="E141" i="4"/>
  <c r="I146" i="4"/>
  <c r="J146" i="4" s="1"/>
  <c r="E150" i="4"/>
  <c r="I155" i="4"/>
  <c r="J155" i="4" s="1"/>
  <c r="E159" i="4"/>
  <c r="I164" i="4"/>
  <c r="J164" i="4" s="1"/>
  <c r="E170" i="4"/>
  <c r="J170" i="4"/>
  <c r="I177" i="4"/>
  <c r="H177" i="4"/>
  <c r="F180" i="4"/>
  <c r="E188" i="4"/>
  <c r="J188" i="4"/>
  <c r="G201" i="4"/>
  <c r="F201" i="4"/>
  <c r="D201" i="4"/>
  <c r="I210" i="4"/>
  <c r="H210" i="4"/>
  <c r="G235" i="4"/>
  <c r="G255" i="4"/>
  <c r="F255" i="4"/>
  <c r="D255" i="4"/>
  <c r="I264" i="4"/>
  <c r="H264" i="4"/>
  <c r="G289" i="4"/>
  <c r="G309" i="4"/>
  <c r="F309" i="4"/>
  <c r="D309" i="4"/>
  <c r="I318" i="4"/>
  <c r="H318" i="4"/>
  <c r="G343" i="4"/>
  <c r="G354" i="4"/>
  <c r="F354" i="4"/>
  <c r="D354" i="4"/>
  <c r="G5" i="4"/>
  <c r="F9" i="4"/>
  <c r="F12" i="4"/>
  <c r="F18" i="4"/>
  <c r="F21" i="4"/>
  <c r="F27" i="4"/>
  <c r="F33" i="4"/>
  <c r="F72" i="4"/>
  <c r="F79" i="4"/>
  <c r="D79" i="4"/>
  <c r="F81" i="4"/>
  <c r="F88" i="4"/>
  <c r="D88" i="4"/>
  <c r="F90" i="4"/>
  <c r="F97" i="4"/>
  <c r="D97" i="4"/>
  <c r="F99" i="4"/>
  <c r="F106" i="4"/>
  <c r="D106" i="4"/>
  <c r="F108" i="4"/>
  <c r="F142" i="4"/>
  <c r="D142" i="4"/>
  <c r="F144" i="4"/>
  <c r="F151" i="4"/>
  <c r="D151" i="4"/>
  <c r="F153" i="4"/>
  <c r="F160" i="4"/>
  <c r="D160" i="4"/>
  <c r="F162" i="4"/>
  <c r="F171" i="4"/>
  <c r="E179" i="4"/>
  <c r="J179" i="4"/>
  <c r="F189" i="4"/>
  <c r="G228" i="4"/>
  <c r="F228" i="4"/>
  <c r="D228" i="4"/>
  <c r="I237" i="4"/>
  <c r="H237" i="4"/>
  <c r="I345" i="4"/>
  <c r="H345" i="4"/>
  <c r="G38" i="4"/>
  <c r="G39" i="4"/>
  <c r="G47" i="4"/>
  <c r="G48" i="4"/>
  <c r="G56" i="4"/>
  <c r="G57" i="4"/>
  <c r="G65" i="4"/>
  <c r="G66" i="4"/>
  <c r="G74" i="4"/>
  <c r="G75" i="4"/>
  <c r="G83" i="4"/>
  <c r="G84" i="4"/>
  <c r="G92" i="4"/>
  <c r="G93" i="4"/>
  <c r="G101" i="4"/>
  <c r="G102" i="4"/>
  <c r="G110" i="4"/>
  <c r="G111" i="4"/>
  <c r="G119" i="4"/>
  <c r="G120" i="4"/>
  <c r="G128" i="4"/>
  <c r="G129" i="4"/>
  <c r="G137" i="4"/>
  <c r="G138" i="4"/>
  <c r="G146" i="4"/>
  <c r="G147" i="4"/>
  <c r="G155" i="4"/>
  <c r="G156" i="4"/>
  <c r="G2" i="4"/>
  <c r="I43" i="4"/>
  <c r="I133" i="4"/>
  <c r="I160" i="4"/>
  <c r="H3" i="4"/>
  <c r="I28" i="4"/>
  <c r="I31" i="4"/>
  <c r="I34" i="4"/>
  <c r="I36" i="4"/>
  <c r="J36" i="4" s="1"/>
  <c r="H36" i="4"/>
  <c r="G37" i="4"/>
  <c r="F40" i="4"/>
  <c r="D40" i="4"/>
  <c r="F42" i="4"/>
  <c r="G46" i="4"/>
  <c r="F49" i="4"/>
  <c r="D49" i="4"/>
  <c r="F51" i="4"/>
  <c r="G55" i="4"/>
  <c r="F58" i="4"/>
  <c r="D58" i="4"/>
  <c r="F60" i="4"/>
  <c r="G64" i="4"/>
  <c r="F67" i="4"/>
  <c r="D67" i="4"/>
  <c r="F69" i="4"/>
  <c r="G73" i="4"/>
  <c r="F76" i="4"/>
  <c r="D76" i="4"/>
  <c r="F78" i="4"/>
  <c r="G82" i="4"/>
  <c r="F85" i="4"/>
  <c r="D85" i="4"/>
  <c r="F87" i="4"/>
  <c r="G91" i="4"/>
  <c r="F94" i="4"/>
  <c r="D94" i="4"/>
  <c r="F96" i="4"/>
  <c r="G100" i="4"/>
  <c r="F103" i="4"/>
  <c r="D103" i="4"/>
  <c r="F105" i="4"/>
  <c r="G109" i="4"/>
  <c r="F112" i="4"/>
  <c r="D112" i="4"/>
  <c r="F114" i="4"/>
  <c r="G118" i="4"/>
  <c r="F121" i="4"/>
  <c r="D121" i="4"/>
  <c r="F123" i="4"/>
  <c r="G127" i="4"/>
  <c r="F130" i="4"/>
  <c r="D130" i="4"/>
  <c r="F132" i="4"/>
  <c r="G136" i="4"/>
  <c r="F139" i="4"/>
  <c r="D139" i="4"/>
  <c r="F141" i="4"/>
  <c r="G145" i="4"/>
  <c r="F148" i="4"/>
  <c r="D148" i="4"/>
  <c r="F150" i="4"/>
  <c r="G154" i="4"/>
  <c r="F157" i="4"/>
  <c r="D157" i="4"/>
  <c r="F159" i="4"/>
  <c r="G163" i="4"/>
  <c r="E167" i="4"/>
  <c r="J167" i="4"/>
  <c r="E172" i="4"/>
  <c r="I174" i="4"/>
  <c r="H174" i="4"/>
  <c r="F177" i="4"/>
  <c r="E185" i="4"/>
  <c r="J185" i="4"/>
  <c r="E190" i="4"/>
  <c r="I192" i="4"/>
  <c r="H192" i="4"/>
  <c r="I201" i="4"/>
  <c r="H201" i="4"/>
  <c r="G226" i="4"/>
  <c r="E238" i="4"/>
  <c r="J244" i="4"/>
  <c r="G246" i="4"/>
  <c r="F246" i="4"/>
  <c r="D246" i="4"/>
  <c r="I255" i="4"/>
  <c r="H255" i="4"/>
  <c r="G280" i="4"/>
  <c r="E292" i="4"/>
  <c r="J298" i="4"/>
  <c r="G300" i="4"/>
  <c r="F300" i="4"/>
  <c r="D300" i="4"/>
  <c r="I309" i="4"/>
  <c r="H309" i="4"/>
  <c r="G334" i="4"/>
  <c r="E346" i="4"/>
  <c r="I354" i="4"/>
  <c r="H354" i="4"/>
  <c r="J3" i="4"/>
  <c r="E9" i="4"/>
  <c r="E12" i="4"/>
  <c r="E15" i="4"/>
  <c r="E18" i="4"/>
  <c r="E21" i="4"/>
  <c r="E24" i="4"/>
  <c r="E27" i="4"/>
  <c r="E30" i="4"/>
  <c r="E33" i="4"/>
  <c r="E36" i="4"/>
  <c r="J39" i="4"/>
  <c r="I40" i="4"/>
  <c r="I41" i="4"/>
  <c r="J41" i="4" s="1"/>
  <c r="E45" i="4"/>
  <c r="J48" i="4"/>
  <c r="I49" i="4"/>
  <c r="I50" i="4"/>
  <c r="J50" i="4" s="1"/>
  <c r="E54" i="4"/>
  <c r="J57" i="4"/>
  <c r="I58" i="4"/>
  <c r="I59" i="4"/>
  <c r="J59" i="4" s="1"/>
  <c r="E63" i="4"/>
  <c r="J66" i="4"/>
  <c r="I67" i="4"/>
  <c r="I68" i="4"/>
  <c r="J68" i="4" s="1"/>
  <c r="E72" i="4"/>
  <c r="J75" i="4"/>
  <c r="I76" i="4"/>
  <c r="I77" i="4"/>
  <c r="J77" i="4" s="1"/>
  <c r="E81" i="4"/>
  <c r="J84" i="4"/>
  <c r="I85" i="4"/>
  <c r="I86" i="4"/>
  <c r="J86" i="4" s="1"/>
  <c r="E90" i="4"/>
  <c r="J93" i="4"/>
  <c r="I94" i="4"/>
  <c r="I95" i="4"/>
  <c r="J95" i="4" s="1"/>
  <c r="E99" i="4"/>
  <c r="J102" i="4"/>
  <c r="I103" i="4"/>
  <c r="I104" i="4"/>
  <c r="J104" i="4" s="1"/>
  <c r="E108" i="4"/>
  <c r="J111" i="4"/>
  <c r="I112" i="4"/>
  <c r="I113" i="4"/>
  <c r="J113" i="4" s="1"/>
  <c r="E117" i="4"/>
  <c r="J120" i="4"/>
  <c r="I121" i="4"/>
  <c r="I122" i="4"/>
  <c r="J122" i="4" s="1"/>
  <c r="E126" i="4"/>
  <c r="J129" i="4"/>
  <c r="I130" i="4"/>
  <c r="I131" i="4"/>
  <c r="J131" i="4" s="1"/>
  <c r="E135" i="4"/>
  <c r="J138" i="4"/>
  <c r="I139" i="4"/>
  <c r="I140" i="4"/>
  <c r="J140" i="4" s="1"/>
  <c r="E144" i="4"/>
  <c r="J147" i="4"/>
  <c r="I148" i="4"/>
  <c r="I149" i="4"/>
  <c r="J149" i="4" s="1"/>
  <c r="E153" i="4"/>
  <c r="J156" i="4"/>
  <c r="I157" i="4"/>
  <c r="I158" i="4"/>
  <c r="J158" i="4" s="1"/>
  <c r="E162" i="4"/>
  <c r="E169" i="4"/>
  <c r="I171" i="4"/>
  <c r="H171" i="4"/>
  <c r="F174" i="4"/>
  <c r="E182" i="4"/>
  <c r="J182" i="4"/>
  <c r="E187" i="4"/>
  <c r="I189" i="4"/>
  <c r="H189" i="4"/>
  <c r="F192" i="4"/>
  <c r="G217" i="4"/>
  <c r="E229" i="4"/>
  <c r="J235" i="4"/>
  <c r="G237" i="4"/>
  <c r="F237" i="4"/>
  <c r="D237" i="4"/>
  <c r="I246" i="4"/>
  <c r="H246" i="4"/>
  <c r="G271" i="4"/>
  <c r="E283" i="4"/>
  <c r="J289" i="4"/>
  <c r="G291" i="4"/>
  <c r="F291" i="4"/>
  <c r="D291" i="4"/>
  <c r="I300" i="4"/>
  <c r="H300" i="4"/>
  <c r="G325" i="4"/>
  <c r="E337" i="4"/>
  <c r="G345" i="4"/>
  <c r="F345" i="4"/>
  <c r="D345" i="4"/>
  <c r="G361" i="4"/>
  <c r="G6" i="4"/>
  <c r="H165" i="4"/>
  <c r="G196" i="4"/>
  <c r="G198" i="4"/>
  <c r="F198" i="4"/>
  <c r="D198" i="4"/>
  <c r="G205" i="4"/>
  <c r="G207" i="4"/>
  <c r="F207" i="4"/>
  <c r="D207" i="4"/>
  <c r="G214" i="4"/>
  <c r="G216" i="4"/>
  <c r="F216" i="4"/>
  <c r="D216" i="4"/>
  <c r="G223" i="4"/>
  <c r="G225" i="4"/>
  <c r="F225" i="4"/>
  <c r="D225" i="4"/>
  <c r="G232" i="4"/>
  <c r="G234" i="4"/>
  <c r="F234" i="4"/>
  <c r="D234" i="4"/>
  <c r="G241" i="4"/>
  <c r="G243" i="4"/>
  <c r="F243" i="4"/>
  <c r="D243" i="4"/>
  <c r="G250" i="4"/>
  <c r="G252" i="4"/>
  <c r="F252" i="4"/>
  <c r="D252" i="4"/>
  <c r="G259" i="4"/>
  <c r="G261" i="4"/>
  <c r="F261" i="4"/>
  <c r="D261" i="4"/>
  <c r="G268" i="4"/>
  <c r="G270" i="4"/>
  <c r="F270" i="4"/>
  <c r="D270" i="4"/>
  <c r="G277" i="4"/>
  <c r="G279" i="4"/>
  <c r="F279" i="4"/>
  <c r="D279" i="4"/>
  <c r="G286" i="4"/>
  <c r="G288" i="4"/>
  <c r="F288" i="4"/>
  <c r="D288" i="4"/>
  <c r="G295" i="4"/>
  <c r="G297" i="4"/>
  <c r="F297" i="4"/>
  <c r="D297" i="4"/>
  <c r="G304" i="4"/>
  <c r="G306" i="4"/>
  <c r="F306" i="4"/>
  <c r="D306" i="4"/>
  <c r="G313" i="4"/>
  <c r="G315" i="4"/>
  <c r="F315" i="4"/>
  <c r="D315" i="4"/>
  <c r="G322" i="4"/>
  <c r="G324" i="4"/>
  <c r="F324" i="4"/>
  <c r="D324" i="4"/>
  <c r="G331" i="4"/>
  <c r="G333" i="4"/>
  <c r="F333" i="4"/>
  <c r="D333" i="4"/>
  <c r="G340" i="4"/>
  <c r="G342" i="4"/>
  <c r="F342" i="4"/>
  <c r="D342" i="4"/>
  <c r="G349" i="4"/>
  <c r="G351" i="4"/>
  <c r="F351" i="4"/>
  <c r="D351" i="4"/>
  <c r="G358" i="4"/>
  <c r="G360" i="4"/>
  <c r="F360" i="4"/>
  <c r="D360" i="4"/>
  <c r="H39" i="4"/>
  <c r="H42" i="4"/>
  <c r="H45" i="4"/>
  <c r="H48" i="4"/>
  <c r="H51" i="4"/>
  <c r="H54" i="4"/>
  <c r="H57" i="4"/>
  <c r="H60" i="4"/>
  <c r="H63" i="4"/>
  <c r="H66" i="4"/>
  <c r="H69" i="4"/>
  <c r="H72" i="4"/>
  <c r="H75" i="4"/>
  <c r="H78" i="4"/>
  <c r="H81" i="4"/>
  <c r="H84" i="4"/>
  <c r="H87" i="4"/>
  <c r="H90" i="4"/>
  <c r="H93" i="4"/>
  <c r="H96" i="4"/>
  <c r="H99" i="4"/>
  <c r="H102" i="4"/>
  <c r="H105" i="4"/>
  <c r="H108" i="4"/>
  <c r="H111" i="4"/>
  <c r="H114" i="4"/>
  <c r="H117" i="4"/>
  <c r="H120" i="4"/>
  <c r="H123" i="4"/>
  <c r="H126" i="4"/>
  <c r="H129" i="4"/>
  <c r="H132" i="4"/>
  <c r="H135" i="4"/>
  <c r="H138" i="4"/>
  <c r="H141" i="4"/>
  <c r="H144" i="4"/>
  <c r="H147" i="4"/>
  <c r="H150" i="4"/>
  <c r="H153" i="4"/>
  <c r="H156" i="4"/>
  <c r="H159" i="4"/>
  <c r="H162" i="4"/>
  <c r="G165" i="4"/>
  <c r="E199" i="4"/>
  <c r="E208" i="4"/>
  <c r="E217" i="4"/>
  <c r="E226" i="4"/>
  <c r="E235" i="4"/>
  <c r="E244" i="4"/>
  <c r="E253" i="4"/>
  <c r="E262" i="4"/>
  <c r="E271" i="4"/>
  <c r="E280" i="4"/>
  <c r="E289" i="4"/>
  <c r="E298" i="4"/>
  <c r="E307" i="4"/>
  <c r="E316" i="4"/>
  <c r="E325" i="4"/>
  <c r="E334" i="4"/>
  <c r="E343" i="4"/>
  <c r="E352" i="4"/>
  <c r="E361" i="4"/>
  <c r="G166" i="4"/>
  <c r="F166" i="4"/>
  <c r="G169" i="4"/>
  <c r="F169" i="4"/>
  <c r="G172" i="4"/>
  <c r="F172" i="4"/>
  <c r="G175" i="4"/>
  <c r="F175" i="4"/>
  <c r="G178" i="4"/>
  <c r="F178" i="4"/>
  <c r="G181" i="4"/>
  <c r="F181" i="4"/>
  <c r="G184" i="4"/>
  <c r="F184" i="4"/>
  <c r="G187" i="4"/>
  <c r="F187" i="4"/>
  <c r="G190" i="4"/>
  <c r="F190" i="4"/>
  <c r="G193" i="4"/>
  <c r="G195" i="4"/>
  <c r="F195" i="4"/>
  <c r="D195" i="4"/>
  <c r="G202" i="4"/>
  <c r="G204" i="4"/>
  <c r="F204" i="4"/>
  <c r="D204" i="4"/>
  <c r="G211" i="4"/>
  <c r="G213" i="4"/>
  <c r="F213" i="4"/>
  <c r="D213" i="4"/>
  <c r="G220" i="4"/>
  <c r="G222" i="4"/>
  <c r="F222" i="4"/>
  <c r="D222" i="4"/>
  <c r="G229" i="4"/>
  <c r="G231" i="4"/>
  <c r="F231" i="4"/>
  <c r="D231" i="4"/>
  <c r="G238" i="4"/>
  <c r="G240" i="4"/>
  <c r="F240" i="4"/>
  <c r="D240" i="4"/>
  <c r="G247" i="4"/>
  <c r="G249" i="4"/>
  <c r="F249" i="4"/>
  <c r="D249" i="4"/>
  <c r="G256" i="4"/>
  <c r="G258" i="4"/>
  <c r="F258" i="4"/>
  <c r="D258" i="4"/>
  <c r="G265" i="4"/>
  <c r="G267" i="4"/>
  <c r="F267" i="4"/>
  <c r="D267" i="4"/>
  <c r="G274" i="4"/>
  <c r="G276" i="4"/>
  <c r="F276" i="4"/>
  <c r="D276" i="4"/>
  <c r="G283" i="4"/>
  <c r="G285" i="4"/>
  <c r="F285" i="4"/>
  <c r="D285" i="4"/>
  <c r="G292" i="4"/>
  <c r="G294" i="4"/>
  <c r="F294" i="4"/>
  <c r="D294" i="4"/>
  <c r="G301" i="4"/>
  <c r="G303" i="4"/>
  <c r="F303" i="4"/>
  <c r="D303" i="4"/>
  <c r="G310" i="4"/>
  <c r="G312" i="4"/>
  <c r="F312" i="4"/>
  <c r="D312" i="4"/>
  <c r="G319" i="4"/>
  <c r="G321" i="4"/>
  <c r="F321" i="4"/>
  <c r="D321" i="4"/>
  <c r="G328" i="4"/>
  <c r="G330" i="4"/>
  <c r="F330" i="4"/>
  <c r="D330" i="4"/>
  <c r="G337" i="4"/>
  <c r="G339" i="4"/>
  <c r="F339" i="4"/>
  <c r="D339" i="4"/>
  <c r="G346" i="4"/>
  <c r="G348" i="4"/>
  <c r="F348" i="4"/>
  <c r="D348" i="4"/>
  <c r="H351" i="4"/>
  <c r="G355" i="4"/>
  <c r="G357" i="4"/>
  <c r="F357" i="4"/>
  <c r="D357" i="4"/>
  <c r="H360" i="4"/>
  <c r="D165" i="4"/>
  <c r="I166" i="4"/>
  <c r="J166" i="4" s="1"/>
  <c r="G168" i="4"/>
  <c r="D168" i="4"/>
  <c r="I169" i="4"/>
  <c r="J169" i="4" s="1"/>
  <c r="G171" i="4"/>
  <c r="D171" i="4"/>
  <c r="I172" i="4"/>
  <c r="J172" i="4" s="1"/>
  <c r="G174" i="4"/>
  <c r="D174" i="4"/>
  <c r="I175" i="4"/>
  <c r="J175" i="4" s="1"/>
  <c r="G177" i="4"/>
  <c r="D177" i="4"/>
  <c r="I178" i="4"/>
  <c r="J178" i="4" s="1"/>
  <c r="G180" i="4"/>
  <c r="D180" i="4"/>
  <c r="I181" i="4"/>
  <c r="J181" i="4" s="1"/>
  <c r="G183" i="4"/>
  <c r="D183" i="4"/>
  <c r="I184" i="4"/>
  <c r="J184" i="4" s="1"/>
  <c r="G186" i="4"/>
  <c r="D186" i="4"/>
  <c r="I187" i="4"/>
  <c r="J187" i="4" s="1"/>
  <c r="G189" i="4"/>
  <c r="D189" i="4"/>
  <c r="I190" i="4"/>
  <c r="J190" i="4" s="1"/>
  <c r="G192" i="4"/>
  <c r="D192" i="4"/>
  <c r="H167" i="4"/>
  <c r="H170" i="4"/>
  <c r="H173" i="4"/>
  <c r="H176" i="4"/>
  <c r="H179" i="4"/>
  <c r="H182" i="4"/>
  <c r="H185" i="4"/>
  <c r="H188" i="4"/>
  <c r="H191" i="4"/>
  <c r="F193" i="4"/>
  <c r="H194" i="4"/>
  <c r="F196" i="4"/>
  <c r="H197" i="4"/>
  <c r="F199" i="4"/>
  <c r="H200" i="4"/>
  <c r="F202" i="4"/>
  <c r="H203" i="4"/>
  <c r="F205" i="4"/>
  <c r="H206" i="4"/>
  <c r="F208" i="4"/>
  <c r="H209" i="4"/>
  <c r="F211" i="4"/>
  <c r="H212" i="4"/>
  <c r="F214" i="4"/>
  <c r="H215" i="4"/>
  <c r="F217" i="4"/>
  <c r="H218" i="4"/>
  <c r="F220" i="4"/>
  <c r="H221" i="4"/>
  <c r="F223" i="4"/>
  <c r="H224" i="4"/>
  <c r="F226" i="4"/>
  <c r="H227" i="4"/>
  <c r="F229" i="4"/>
  <c r="H230" i="4"/>
  <c r="F232" i="4"/>
  <c r="H233" i="4"/>
  <c r="F235" i="4"/>
  <c r="H236" i="4"/>
  <c r="F238" i="4"/>
  <c r="H239" i="4"/>
  <c r="F241" i="4"/>
  <c r="H242" i="4"/>
  <c r="F244" i="4"/>
  <c r="H245" i="4"/>
  <c r="F247" i="4"/>
  <c r="H248" i="4"/>
  <c r="F250" i="4"/>
  <c r="H251" i="4"/>
  <c r="F253" i="4"/>
  <c r="H254" i="4"/>
  <c r="F256" i="4"/>
  <c r="H257" i="4"/>
  <c r="F259" i="4"/>
  <c r="H260" i="4"/>
  <c r="F262" i="4"/>
  <c r="H263" i="4"/>
  <c r="F265" i="4"/>
  <c r="H266" i="4"/>
  <c r="F268" i="4"/>
  <c r="H269" i="4"/>
  <c r="F271" i="4"/>
  <c r="H272" i="4"/>
  <c r="F274" i="4"/>
  <c r="H275" i="4"/>
  <c r="F277" i="4"/>
  <c r="H278" i="4"/>
  <c r="F280" i="4"/>
  <c r="H281" i="4"/>
  <c r="F283" i="4"/>
  <c r="H284" i="4"/>
  <c r="F286" i="4"/>
  <c r="H287" i="4"/>
  <c r="F289" i="4"/>
  <c r="H290" i="4"/>
  <c r="F292" i="4"/>
  <c r="H293" i="4"/>
  <c r="F295" i="4"/>
  <c r="H296" i="4"/>
  <c r="F298" i="4"/>
  <c r="H299" i="4"/>
  <c r="F301" i="4"/>
  <c r="H302" i="4"/>
  <c r="F304" i="4"/>
  <c r="H305" i="4"/>
  <c r="F307" i="4"/>
  <c r="H308" i="4"/>
  <c r="F310" i="4"/>
  <c r="H311" i="4"/>
  <c r="F313" i="4"/>
  <c r="H314" i="4"/>
  <c r="F316" i="4"/>
  <c r="H317" i="4"/>
  <c r="F319" i="4"/>
  <c r="H320" i="4"/>
  <c r="F322" i="4"/>
  <c r="H323" i="4"/>
  <c r="F325" i="4"/>
  <c r="H326" i="4"/>
  <c r="F328" i="4"/>
  <c r="H329" i="4"/>
  <c r="F331" i="4"/>
  <c r="H332" i="4"/>
  <c r="F334" i="4"/>
  <c r="H335" i="4"/>
  <c r="F337" i="4"/>
  <c r="H338" i="4"/>
  <c r="F340" i="4"/>
  <c r="H341" i="4"/>
  <c r="F343" i="4"/>
  <c r="H344" i="4"/>
  <c r="F346" i="4"/>
  <c r="H347" i="4"/>
  <c r="F349" i="4"/>
  <c r="H350" i="4"/>
  <c r="F352" i="4"/>
  <c r="H353" i="4"/>
  <c r="F355" i="4"/>
  <c r="H356" i="4"/>
  <c r="F358" i="4"/>
  <c r="H359" i="4"/>
  <c r="F361" i="4"/>
  <c r="J194" i="4"/>
  <c r="J197" i="4"/>
  <c r="J200" i="4"/>
  <c r="J203" i="4"/>
  <c r="J206" i="4"/>
  <c r="J209" i="4"/>
  <c r="J212" i="4"/>
  <c r="J215" i="4"/>
  <c r="J218" i="4"/>
  <c r="J221" i="4"/>
  <c r="J224" i="4"/>
  <c r="J227" i="4"/>
  <c r="J230" i="4"/>
  <c r="J233" i="4"/>
  <c r="J236" i="4"/>
  <c r="J239" i="4"/>
  <c r="J242" i="4"/>
  <c r="J245" i="4"/>
  <c r="J248" i="4"/>
  <c r="J251" i="4"/>
  <c r="J254" i="4"/>
  <c r="J257" i="4"/>
  <c r="J260" i="4"/>
  <c r="J263" i="4"/>
  <c r="J266" i="4"/>
  <c r="J269" i="4"/>
  <c r="J272" i="4"/>
  <c r="J275" i="4"/>
  <c r="J278" i="4"/>
  <c r="J281" i="4"/>
  <c r="J284" i="4"/>
  <c r="J287" i="4"/>
  <c r="J290" i="4"/>
  <c r="J293" i="4"/>
  <c r="J296" i="4"/>
  <c r="J299" i="4"/>
  <c r="J302" i="4"/>
  <c r="J305" i="4"/>
  <c r="J308" i="4"/>
  <c r="J311" i="4"/>
  <c r="J314" i="4"/>
  <c r="J317" i="4"/>
  <c r="J320" i="4"/>
  <c r="J323" i="4"/>
  <c r="J326" i="4"/>
  <c r="J329" i="4"/>
  <c r="J332" i="4"/>
  <c r="J335" i="4"/>
  <c r="J338" i="4"/>
  <c r="J341" i="4"/>
  <c r="J344" i="4"/>
  <c r="J347" i="4"/>
  <c r="J350" i="4"/>
  <c r="J353" i="4"/>
  <c r="J356" i="4"/>
  <c r="J359" i="4"/>
  <c r="H361" i="4"/>
  <c r="L13" i="3" l="1"/>
  <c r="K2" i="4"/>
  <c r="K3" i="4"/>
  <c r="E192" i="4"/>
  <c r="J192" i="4"/>
  <c r="E180" i="4"/>
  <c r="J180" i="4"/>
  <c r="E168" i="4"/>
  <c r="J168" i="4"/>
  <c r="E276" i="4"/>
  <c r="J276" i="4"/>
  <c r="E222" i="4"/>
  <c r="J222" i="4"/>
  <c r="E195" i="4"/>
  <c r="J195" i="4"/>
  <c r="E225" i="4"/>
  <c r="J225" i="4"/>
  <c r="E198" i="4"/>
  <c r="J198" i="4"/>
  <c r="E345" i="4"/>
  <c r="J345" i="4"/>
  <c r="E255" i="4"/>
  <c r="J255" i="4"/>
  <c r="J28" i="4"/>
  <c r="E28" i="4"/>
  <c r="J16" i="4"/>
  <c r="E16" i="4"/>
  <c r="E61" i="4"/>
  <c r="J61" i="4"/>
  <c r="E264" i="4"/>
  <c r="J264" i="4"/>
  <c r="E339" i="4"/>
  <c r="J339" i="4"/>
  <c r="E258" i="4"/>
  <c r="J258" i="4"/>
  <c r="E342" i="4"/>
  <c r="J342" i="4"/>
  <c r="E261" i="4"/>
  <c r="J261" i="4"/>
  <c r="E291" i="4"/>
  <c r="J291" i="4"/>
  <c r="E139" i="4"/>
  <c r="J139" i="4"/>
  <c r="E160" i="4"/>
  <c r="J160" i="4"/>
  <c r="E142" i="4"/>
  <c r="J142" i="4"/>
  <c r="E97" i="4"/>
  <c r="J97" i="4"/>
  <c r="E79" i="4"/>
  <c r="J79" i="4"/>
  <c r="E210" i="4"/>
  <c r="J210" i="4"/>
  <c r="E219" i="4"/>
  <c r="J219" i="4"/>
  <c r="E228" i="4"/>
  <c r="J228" i="4"/>
  <c r="E354" i="4"/>
  <c r="J354" i="4"/>
  <c r="E201" i="4"/>
  <c r="J201" i="4"/>
  <c r="J34" i="4"/>
  <c r="E34" i="4"/>
  <c r="J10" i="4"/>
  <c r="E10" i="4"/>
  <c r="E285" i="4"/>
  <c r="J285" i="4"/>
  <c r="E288" i="4"/>
  <c r="J288" i="4"/>
  <c r="E207" i="4"/>
  <c r="J207" i="4"/>
  <c r="E58" i="4"/>
  <c r="J58" i="4"/>
  <c r="E115" i="4"/>
  <c r="J115" i="4"/>
  <c r="E37" i="4"/>
  <c r="J37" i="4"/>
  <c r="E183" i="4"/>
  <c r="J183" i="4"/>
  <c r="E171" i="4"/>
  <c r="J171" i="4"/>
  <c r="E348" i="4"/>
  <c r="J348" i="4"/>
  <c r="E321" i="4"/>
  <c r="J321" i="4"/>
  <c r="E294" i="4"/>
  <c r="J294" i="4"/>
  <c r="E267" i="4"/>
  <c r="J267" i="4"/>
  <c r="E240" i="4"/>
  <c r="J240" i="4"/>
  <c r="E213" i="4"/>
  <c r="J213" i="4"/>
  <c r="E351" i="4"/>
  <c r="J351" i="4"/>
  <c r="E324" i="4"/>
  <c r="J324" i="4"/>
  <c r="E297" i="4"/>
  <c r="J297" i="4"/>
  <c r="E270" i="4"/>
  <c r="J270" i="4"/>
  <c r="E243" i="4"/>
  <c r="J243" i="4"/>
  <c r="E216" i="4"/>
  <c r="J216" i="4"/>
  <c r="E237" i="4"/>
  <c r="J237" i="4"/>
  <c r="E148" i="4"/>
  <c r="J148" i="4"/>
  <c r="E121" i="4"/>
  <c r="J121" i="4"/>
  <c r="E94" i="4"/>
  <c r="J94" i="4"/>
  <c r="E67" i="4"/>
  <c r="J67" i="4"/>
  <c r="E40" i="4"/>
  <c r="J40" i="4"/>
  <c r="J31" i="4"/>
  <c r="E31" i="4"/>
  <c r="J25" i="4"/>
  <c r="E25" i="4"/>
  <c r="J19" i="4"/>
  <c r="E19" i="4"/>
  <c r="J13" i="4"/>
  <c r="E13" i="4"/>
  <c r="J7" i="4"/>
  <c r="E7" i="4"/>
  <c r="E70" i="4"/>
  <c r="J70" i="4"/>
  <c r="E52" i="4"/>
  <c r="J52" i="4"/>
  <c r="E154" i="4"/>
  <c r="J154" i="4"/>
  <c r="E127" i="4"/>
  <c r="J127" i="4"/>
  <c r="E100" i="4"/>
  <c r="J100" i="4"/>
  <c r="E73" i="4"/>
  <c r="J73" i="4"/>
  <c r="E46" i="4"/>
  <c r="J46" i="4"/>
  <c r="E186" i="4"/>
  <c r="J186" i="4"/>
  <c r="E174" i="4"/>
  <c r="J174" i="4"/>
  <c r="E330" i="4"/>
  <c r="J330" i="4"/>
  <c r="E303" i="4"/>
  <c r="J303" i="4"/>
  <c r="E249" i="4"/>
  <c r="J249" i="4"/>
  <c r="E360" i="4"/>
  <c r="J360" i="4"/>
  <c r="E333" i="4"/>
  <c r="J333" i="4"/>
  <c r="E306" i="4"/>
  <c r="J306" i="4"/>
  <c r="E279" i="4"/>
  <c r="J279" i="4"/>
  <c r="E252" i="4"/>
  <c r="J252" i="4"/>
  <c r="E246" i="4"/>
  <c r="J246" i="4"/>
  <c r="E309" i="4"/>
  <c r="J309" i="4"/>
  <c r="J22" i="4"/>
  <c r="E22" i="4"/>
  <c r="E4" i="4"/>
  <c r="J4" i="4"/>
  <c r="E43" i="4"/>
  <c r="J43" i="4"/>
  <c r="E312" i="4"/>
  <c r="J312" i="4"/>
  <c r="E231" i="4"/>
  <c r="J231" i="4"/>
  <c r="E204" i="4"/>
  <c r="J204" i="4"/>
  <c r="E315" i="4"/>
  <c r="J315" i="4"/>
  <c r="E234" i="4"/>
  <c r="J234" i="4"/>
  <c r="E112" i="4"/>
  <c r="J112" i="4"/>
  <c r="E85" i="4"/>
  <c r="J85" i="4"/>
  <c r="E133" i="4"/>
  <c r="J133" i="4"/>
  <c r="E145" i="4"/>
  <c r="J145" i="4"/>
  <c r="E118" i="4"/>
  <c r="J118" i="4"/>
  <c r="E91" i="4"/>
  <c r="J91" i="4"/>
  <c r="E64" i="4"/>
  <c r="J64" i="4"/>
  <c r="E189" i="4"/>
  <c r="J189" i="4"/>
  <c r="E177" i="4"/>
  <c r="J177" i="4"/>
  <c r="J165" i="4"/>
  <c r="E165" i="4"/>
  <c r="E357" i="4"/>
  <c r="J357" i="4"/>
  <c r="E300" i="4"/>
  <c r="J300" i="4"/>
  <c r="E327" i="4"/>
  <c r="J327" i="4"/>
  <c r="E282" i="4"/>
  <c r="J282" i="4"/>
  <c r="E124" i="4"/>
  <c r="J124" i="4"/>
  <c r="E318" i="4"/>
  <c r="J318" i="4"/>
  <c r="E157" i="4"/>
  <c r="J157" i="4"/>
  <c r="E130" i="4"/>
  <c r="J130" i="4"/>
  <c r="E103" i="4"/>
  <c r="J103" i="4"/>
  <c r="E76" i="4"/>
  <c r="J76" i="4"/>
  <c r="E49" i="4"/>
  <c r="J49" i="4"/>
  <c r="E151" i="4"/>
  <c r="J151" i="4"/>
  <c r="E106" i="4"/>
  <c r="J106" i="4"/>
  <c r="E88" i="4"/>
  <c r="J88" i="4"/>
  <c r="E273" i="4"/>
  <c r="J273" i="4"/>
  <c r="E336" i="4"/>
  <c r="J336" i="4"/>
  <c r="E163" i="4"/>
  <c r="J163" i="4"/>
  <c r="E136" i="4"/>
  <c r="J136" i="4"/>
  <c r="E109" i="4"/>
  <c r="J109" i="4"/>
  <c r="E82" i="4"/>
  <c r="J82" i="4"/>
  <c r="E55" i="4"/>
  <c r="J55" i="4"/>
  <c r="K27" i="4" l="1"/>
  <c r="K8" i="4"/>
  <c r="K5" i="4"/>
  <c r="K326" i="4"/>
  <c r="K9" i="4"/>
  <c r="K329" i="4"/>
  <c r="K10" i="4"/>
  <c r="K359" i="4"/>
  <c r="K18" i="4"/>
  <c r="K23" i="4"/>
  <c r="K235" i="4"/>
  <c r="K12" i="4"/>
  <c r="K21" i="4"/>
  <c r="K30" i="4"/>
  <c r="K334" i="4"/>
  <c r="K72" i="4"/>
  <c r="K162" i="4"/>
  <c r="K66" i="4"/>
  <c r="K120" i="4"/>
  <c r="K271" i="4"/>
  <c r="K60" i="4"/>
  <c r="K114" i="4"/>
  <c r="K199" i="4"/>
  <c r="K11" i="4"/>
  <c r="K29" i="4"/>
  <c r="K47" i="4"/>
  <c r="K65" i="4"/>
  <c r="K83" i="4"/>
  <c r="K101" i="4"/>
  <c r="K119" i="4"/>
  <c r="K137" i="4"/>
  <c r="K155" i="4"/>
  <c r="K214" i="4"/>
  <c r="K268" i="4"/>
  <c r="K322" i="4"/>
  <c r="K40" i="4"/>
  <c r="K58" i="4"/>
  <c r="K76" i="4"/>
  <c r="K94" i="4"/>
  <c r="K112" i="4"/>
  <c r="K130" i="4"/>
  <c r="K148" i="4"/>
  <c r="K166" i="4"/>
  <c r="K184" i="4"/>
  <c r="K220" i="4"/>
  <c r="K274" i="4"/>
  <c r="K328" i="4"/>
  <c r="K168" i="4"/>
  <c r="K186" i="4"/>
  <c r="K204" i="4"/>
  <c r="K222" i="4"/>
  <c r="K240" i="4"/>
  <c r="K258" i="4"/>
  <c r="K276" i="4"/>
  <c r="K294" i="4"/>
  <c r="K312" i="4"/>
  <c r="K330" i="4"/>
  <c r="K348" i="4"/>
  <c r="K170" i="4"/>
  <c r="K188" i="4"/>
  <c r="K206" i="4"/>
  <c r="K224" i="4"/>
  <c r="K242" i="4"/>
  <c r="K260" i="4"/>
  <c r="K278" i="4"/>
  <c r="K296" i="4"/>
  <c r="K314" i="4"/>
  <c r="K332" i="4"/>
  <c r="K350" i="4"/>
  <c r="K144" i="4"/>
  <c r="K54" i="4"/>
  <c r="K48" i="4"/>
  <c r="K156" i="4"/>
  <c r="K42" i="4"/>
  <c r="K150" i="4"/>
  <c r="K59" i="4"/>
  <c r="K95" i="4"/>
  <c r="K131" i="4"/>
  <c r="K196" i="4"/>
  <c r="K304" i="4"/>
  <c r="K358" i="4"/>
  <c r="K70" i="4"/>
  <c r="K106" i="4"/>
  <c r="K142" i="4"/>
  <c r="K178" i="4"/>
  <c r="K256" i="4"/>
  <c r="K180" i="4"/>
  <c r="K198" i="4"/>
  <c r="K234" i="4"/>
  <c r="K270" i="4"/>
  <c r="K306" i="4"/>
  <c r="K342" i="4"/>
  <c r="K182" i="4"/>
  <c r="K218" i="4"/>
  <c r="K254" i="4"/>
  <c r="K290" i="4"/>
  <c r="K308" i="4"/>
  <c r="K344" i="4"/>
  <c r="K153" i="4"/>
  <c r="K19" i="4"/>
  <c r="K28" i="4"/>
  <c r="K280" i="4"/>
  <c r="K63" i="4"/>
  <c r="K126" i="4"/>
  <c r="K57" i="4"/>
  <c r="K111" i="4"/>
  <c r="K217" i="4"/>
  <c r="K135" i="4"/>
  <c r="K51" i="4"/>
  <c r="K105" i="4"/>
  <c r="K159" i="4"/>
  <c r="K26" i="4"/>
  <c r="K44" i="4"/>
  <c r="K62" i="4"/>
  <c r="K80" i="4"/>
  <c r="K98" i="4"/>
  <c r="K116" i="4"/>
  <c r="K134" i="4"/>
  <c r="K152" i="4"/>
  <c r="K205" i="4"/>
  <c r="K259" i="4"/>
  <c r="K313" i="4"/>
  <c r="K37" i="4"/>
  <c r="K55" i="4"/>
  <c r="K73" i="4"/>
  <c r="K91" i="4"/>
  <c r="K109" i="4"/>
  <c r="K127" i="4"/>
  <c r="K145" i="4"/>
  <c r="K163" i="4"/>
  <c r="K181" i="4"/>
  <c r="K211" i="4"/>
  <c r="K265" i="4"/>
  <c r="K319" i="4"/>
  <c r="K165" i="4"/>
  <c r="K183" i="4"/>
  <c r="K201" i="4"/>
  <c r="K219" i="4"/>
  <c r="K237" i="4"/>
  <c r="K255" i="4"/>
  <c r="K273" i="4"/>
  <c r="K291" i="4"/>
  <c r="K309" i="4"/>
  <c r="K327" i="4"/>
  <c r="K345" i="4"/>
  <c r="K167" i="4"/>
  <c r="K185" i="4"/>
  <c r="K203" i="4"/>
  <c r="K221" i="4"/>
  <c r="K239" i="4"/>
  <c r="K257" i="4"/>
  <c r="K275" i="4"/>
  <c r="K293" i="4"/>
  <c r="K311" i="4"/>
  <c r="K347" i="4"/>
  <c r="K6" i="4"/>
  <c r="K15" i="4"/>
  <c r="K24" i="4"/>
  <c r="K33" i="4"/>
  <c r="K298" i="4"/>
  <c r="K99" i="4"/>
  <c r="K343" i="4"/>
  <c r="K84" i="4"/>
  <c r="K138" i="4"/>
  <c r="K262" i="4"/>
  <c r="K78" i="4"/>
  <c r="K132" i="4"/>
  <c r="K307" i="4"/>
  <c r="K17" i="4"/>
  <c r="K35" i="4"/>
  <c r="K53" i="4"/>
  <c r="K71" i="4"/>
  <c r="K89" i="4"/>
  <c r="K107" i="4"/>
  <c r="K125" i="4"/>
  <c r="K143" i="4"/>
  <c r="K161" i="4"/>
  <c r="K232" i="4"/>
  <c r="K286" i="4"/>
  <c r="K340" i="4"/>
  <c r="K46" i="4"/>
  <c r="K64" i="4"/>
  <c r="K82" i="4"/>
  <c r="K100" i="4"/>
  <c r="K118" i="4"/>
  <c r="K136" i="4"/>
  <c r="K154" i="4"/>
  <c r="K172" i="4"/>
  <c r="K190" i="4"/>
  <c r="K238" i="4"/>
  <c r="K292" i="4"/>
  <c r="K346" i="4"/>
  <c r="K174" i="4"/>
  <c r="K192" i="4"/>
  <c r="K210" i="4"/>
  <c r="K228" i="4"/>
  <c r="K246" i="4"/>
  <c r="K264" i="4"/>
  <c r="K282" i="4"/>
  <c r="K300" i="4"/>
  <c r="K318" i="4"/>
  <c r="K336" i="4"/>
  <c r="K354" i="4"/>
  <c r="K176" i="4"/>
  <c r="K194" i="4"/>
  <c r="K212" i="4"/>
  <c r="K230" i="4"/>
  <c r="K248" i="4"/>
  <c r="K266" i="4"/>
  <c r="K284" i="4"/>
  <c r="K302" i="4"/>
  <c r="K320" i="4"/>
  <c r="K338" i="4"/>
  <c r="K356" i="4"/>
  <c r="K226" i="4"/>
  <c r="K117" i="4"/>
  <c r="K102" i="4"/>
  <c r="K90" i="4"/>
  <c r="K96" i="4"/>
  <c r="K41" i="4"/>
  <c r="K77" i="4"/>
  <c r="K113" i="4"/>
  <c r="K149" i="4"/>
  <c r="K250" i="4"/>
  <c r="K52" i="4"/>
  <c r="K88" i="4"/>
  <c r="K124" i="4"/>
  <c r="K160" i="4"/>
  <c r="K202" i="4"/>
  <c r="K310" i="4"/>
  <c r="K361" i="4"/>
  <c r="K216" i="4"/>
  <c r="K252" i="4"/>
  <c r="K288" i="4"/>
  <c r="K324" i="4"/>
  <c r="K360" i="4"/>
  <c r="K200" i="4"/>
  <c r="K236" i="4"/>
  <c r="K272" i="4"/>
  <c r="K4" i="4"/>
  <c r="K8" i="5" s="1"/>
  <c r="K13" i="4"/>
  <c r="K22" i="4"/>
  <c r="K31" i="4"/>
  <c r="K244" i="4"/>
  <c r="K81" i="4"/>
  <c r="K289" i="4"/>
  <c r="K75" i="4"/>
  <c r="K129" i="4"/>
  <c r="K325" i="4"/>
  <c r="K208" i="4"/>
  <c r="K69" i="4"/>
  <c r="K123" i="4"/>
  <c r="K253" i="4"/>
  <c r="K14" i="4"/>
  <c r="K32" i="4"/>
  <c r="K50" i="4"/>
  <c r="K68" i="4"/>
  <c r="K86" i="4"/>
  <c r="K104" i="4"/>
  <c r="K122" i="4"/>
  <c r="K140" i="4"/>
  <c r="K158" i="4"/>
  <c r="K223" i="4"/>
  <c r="K277" i="4"/>
  <c r="K331" i="4"/>
  <c r="K43" i="4"/>
  <c r="K61" i="4"/>
  <c r="K79" i="4"/>
  <c r="K97" i="4"/>
  <c r="K115" i="4"/>
  <c r="K133" i="4"/>
  <c r="K151" i="4"/>
  <c r="K169" i="4"/>
  <c r="K187" i="4"/>
  <c r="K229" i="4"/>
  <c r="K283" i="4"/>
  <c r="K337" i="4"/>
  <c r="K171" i="4"/>
  <c r="K189" i="4"/>
  <c r="K207" i="4"/>
  <c r="K225" i="4"/>
  <c r="K243" i="4"/>
  <c r="K261" i="4"/>
  <c r="K279" i="4"/>
  <c r="K297" i="4"/>
  <c r="K315" i="4"/>
  <c r="K333" i="4"/>
  <c r="K351" i="4"/>
  <c r="K173" i="4"/>
  <c r="K191" i="4"/>
  <c r="K209" i="4"/>
  <c r="K227" i="4"/>
  <c r="K245" i="4"/>
  <c r="K263" i="4"/>
  <c r="K281" i="4"/>
  <c r="K299" i="4"/>
  <c r="K317" i="4"/>
  <c r="K335" i="4"/>
  <c r="K353" i="4"/>
  <c r="K7" i="4"/>
  <c r="K16" i="4"/>
  <c r="K25" i="4"/>
  <c r="K34" i="4"/>
  <c r="K36" i="4"/>
  <c r="K108" i="4"/>
  <c r="K39" i="4"/>
  <c r="K93" i="4"/>
  <c r="K147" i="4"/>
  <c r="K45" i="4"/>
  <c r="K316" i="4"/>
  <c r="K87" i="4"/>
  <c r="K141" i="4"/>
  <c r="K352" i="4"/>
  <c r="K20" i="4"/>
  <c r="K38" i="4"/>
  <c r="K56" i="4"/>
  <c r="K74" i="4"/>
  <c r="K92" i="4"/>
  <c r="K110" i="4"/>
  <c r="K128" i="4"/>
  <c r="K146" i="4"/>
  <c r="K164" i="4"/>
  <c r="K241" i="4"/>
  <c r="K295" i="4"/>
  <c r="K349" i="4"/>
  <c r="K49" i="4"/>
  <c r="K67" i="4"/>
  <c r="K85" i="4"/>
  <c r="K103" i="4"/>
  <c r="K121" i="4"/>
  <c r="K139" i="4"/>
  <c r="K157" i="4"/>
  <c r="K175" i="4"/>
  <c r="K193" i="4"/>
  <c r="K247" i="4"/>
  <c r="K301" i="4"/>
  <c r="K355" i="4"/>
  <c r="K177" i="4"/>
  <c r="K195" i="4"/>
  <c r="K213" i="4"/>
  <c r="K231" i="4"/>
  <c r="K249" i="4"/>
  <c r="K267" i="4"/>
  <c r="K285" i="4"/>
  <c r="K303" i="4"/>
  <c r="K321" i="4"/>
  <c r="K339" i="4"/>
  <c r="K357" i="4"/>
  <c r="K179" i="4"/>
  <c r="K197" i="4"/>
  <c r="K215" i="4"/>
  <c r="K233" i="4"/>
  <c r="K251" i="4"/>
  <c r="K269" i="4"/>
  <c r="K287" i="4"/>
  <c r="K305" i="4"/>
  <c r="K323" i="4"/>
  <c r="K341" i="4"/>
  <c r="K274" i="5" l="1"/>
  <c r="B274" i="5" s="1"/>
  <c r="K184" i="5"/>
  <c r="F184" i="5" s="1"/>
  <c r="K22" i="5"/>
  <c r="K128" i="5"/>
  <c r="D8" i="5"/>
  <c r="C8" i="5"/>
  <c r="B8" i="5"/>
  <c r="G8" i="5"/>
  <c r="A8" i="5"/>
  <c r="F8" i="5"/>
  <c r="E8" i="5"/>
  <c r="K164" i="5"/>
  <c r="K33" i="5"/>
  <c r="K138" i="5"/>
  <c r="K168" i="5"/>
  <c r="K104" i="5"/>
  <c r="K273" i="5"/>
  <c r="K238" i="5"/>
  <c r="K299" i="5"/>
  <c r="K27" i="5"/>
  <c r="K50" i="5"/>
  <c r="K109" i="5"/>
  <c r="K255" i="5"/>
  <c r="K87" i="5"/>
  <c r="K37" i="5"/>
  <c r="K135" i="5"/>
  <c r="K162" i="5"/>
  <c r="K160" i="5"/>
  <c r="K256" i="5"/>
  <c r="K283" i="5"/>
  <c r="K73" i="5"/>
  <c r="K219" i="5"/>
  <c r="K186" i="5"/>
  <c r="K86" i="5"/>
  <c r="K220" i="5"/>
  <c r="K30" i="5"/>
  <c r="K141" i="5"/>
  <c r="K55" i="5"/>
  <c r="K32" i="5"/>
  <c r="K201" i="5"/>
  <c r="K178" i="5"/>
  <c r="K323" i="5"/>
  <c r="K352" i="5"/>
  <c r="K314" i="5"/>
  <c r="K356" i="5"/>
  <c r="K297" i="5"/>
  <c r="K363" i="5"/>
  <c r="K315" i="5"/>
  <c r="K343" i="5"/>
  <c r="K303" i="5"/>
  <c r="K278" i="5"/>
  <c r="K306" i="5"/>
  <c r="K334" i="5"/>
  <c r="K269" i="5"/>
  <c r="K251" i="5"/>
  <c r="K233" i="5"/>
  <c r="K215" i="5"/>
  <c r="K197" i="5"/>
  <c r="K351" i="5"/>
  <c r="K320" i="5"/>
  <c r="K280" i="5"/>
  <c r="K179" i="5"/>
  <c r="K161" i="5"/>
  <c r="K143" i="5"/>
  <c r="K125" i="5"/>
  <c r="K271" i="5"/>
  <c r="K253" i="5"/>
  <c r="K235" i="5"/>
  <c r="K217" i="5"/>
  <c r="K199" i="5"/>
  <c r="K180" i="5"/>
  <c r="K175" i="5"/>
  <c r="K157" i="5"/>
  <c r="K270" i="5"/>
  <c r="K252" i="5"/>
  <c r="K234" i="5"/>
  <c r="K216" i="5"/>
  <c r="K198" i="5"/>
  <c r="K153" i="5"/>
  <c r="K101" i="5"/>
  <c r="K83" i="5"/>
  <c r="K65" i="5"/>
  <c r="K47" i="5"/>
  <c r="K29" i="5"/>
  <c r="K133" i="5"/>
  <c r="K159" i="5"/>
  <c r="K106" i="5"/>
  <c r="K88" i="5"/>
  <c r="K70" i="5"/>
  <c r="K52" i="5"/>
  <c r="K34" i="5"/>
  <c r="K136" i="5"/>
  <c r="K147" i="5"/>
  <c r="K72" i="5"/>
  <c r="K21" i="5"/>
  <c r="K130" i="5"/>
  <c r="K78" i="5"/>
  <c r="K24" i="5"/>
  <c r="K139" i="5"/>
  <c r="K16" i="5"/>
  <c r="K13" i="5"/>
  <c r="K19" i="5"/>
  <c r="K359" i="5"/>
  <c r="K305" i="5"/>
  <c r="K340" i="5"/>
  <c r="K291" i="5"/>
  <c r="K357" i="5"/>
  <c r="K296" i="5"/>
  <c r="K331" i="5"/>
  <c r="K294" i="5"/>
  <c r="K367" i="5"/>
  <c r="K302" i="5"/>
  <c r="K308" i="5"/>
  <c r="K266" i="5"/>
  <c r="K248" i="5"/>
  <c r="K230" i="5"/>
  <c r="K212" i="5"/>
  <c r="K194" i="5"/>
  <c r="K338" i="5"/>
  <c r="K307" i="5"/>
  <c r="K355" i="5"/>
  <c r="K176" i="5"/>
  <c r="K158" i="5"/>
  <c r="K140" i="5"/>
  <c r="K122" i="5"/>
  <c r="K268" i="5"/>
  <c r="K250" i="5"/>
  <c r="K232" i="5"/>
  <c r="K214" i="5"/>
  <c r="K196" i="5"/>
  <c r="K177" i="5"/>
  <c r="K172" i="5"/>
  <c r="K154" i="5"/>
  <c r="K267" i="5"/>
  <c r="K249" i="5"/>
  <c r="K231" i="5"/>
  <c r="K213" i="5"/>
  <c r="K195" i="5"/>
  <c r="K116" i="5"/>
  <c r="K98" i="5"/>
  <c r="K80" i="5"/>
  <c r="K62" i="5"/>
  <c r="K44" i="5"/>
  <c r="K26" i="5"/>
  <c r="K126" i="5"/>
  <c r="K150" i="5"/>
  <c r="K103" i="5"/>
  <c r="K85" i="5"/>
  <c r="K67" i="5"/>
  <c r="K49" i="5"/>
  <c r="K31" i="5"/>
  <c r="K129" i="5"/>
  <c r="K117" i="5"/>
  <c r="K63" i="5"/>
  <c r="K18" i="5"/>
  <c r="K165" i="5"/>
  <c r="K69" i="5"/>
  <c r="K20" i="5"/>
  <c r="K123" i="5"/>
  <c r="K156" i="5"/>
  <c r="K84" i="5"/>
  <c r="K111" i="5"/>
  <c r="K361" i="5"/>
  <c r="K332" i="5"/>
  <c r="K295" i="5"/>
  <c r="K325" i="5"/>
  <c r="K345" i="5"/>
  <c r="K316" i="5"/>
  <c r="K321" i="5"/>
  <c r="K257" i="5"/>
  <c r="K221" i="5"/>
  <c r="K185" i="5"/>
  <c r="K311" i="5"/>
  <c r="K131" i="5"/>
  <c r="K241" i="5"/>
  <c r="K205" i="5"/>
  <c r="K163" i="5"/>
  <c r="K240" i="5"/>
  <c r="K309" i="5"/>
  <c r="K71" i="5"/>
  <c r="K35" i="5"/>
  <c r="K335" i="5"/>
  <c r="K76" i="5"/>
  <c r="K145" i="5"/>
  <c r="K36" i="5"/>
  <c r="K42" i="5"/>
  <c r="K75" i="5"/>
  <c r="K360" i="5"/>
  <c r="K218" i="5"/>
  <c r="K366" i="5"/>
  <c r="K350" i="5"/>
  <c r="K301" i="5"/>
  <c r="K327" i="5"/>
  <c r="K288" i="5"/>
  <c r="K342" i="5"/>
  <c r="K365" i="5"/>
  <c r="K318" i="5"/>
  <c r="K290" i="5"/>
  <c r="K354" i="5"/>
  <c r="K293" i="5"/>
  <c r="K300" i="5"/>
  <c r="K263" i="5"/>
  <c r="K245" i="5"/>
  <c r="K227" i="5"/>
  <c r="K209" i="5"/>
  <c r="K191" i="5"/>
  <c r="K312" i="5"/>
  <c r="K292" i="5"/>
  <c r="K337" i="5"/>
  <c r="K173" i="5"/>
  <c r="K155" i="5"/>
  <c r="K137" i="5"/>
  <c r="K119" i="5"/>
  <c r="K265" i="5"/>
  <c r="K247" i="5"/>
  <c r="K229" i="5"/>
  <c r="K211" i="5"/>
  <c r="K193" i="5"/>
  <c r="K174" i="5"/>
  <c r="K169" i="5"/>
  <c r="K151" i="5"/>
  <c r="K264" i="5"/>
  <c r="K246" i="5"/>
  <c r="K228" i="5"/>
  <c r="K210" i="5"/>
  <c r="K192" i="5"/>
  <c r="K113" i="5"/>
  <c r="K95" i="5"/>
  <c r="K77" i="5"/>
  <c r="K59" i="5"/>
  <c r="K41" i="5"/>
  <c r="K183" i="5"/>
  <c r="K124" i="5"/>
  <c r="K121" i="5"/>
  <c r="K100" i="5"/>
  <c r="K82" i="5"/>
  <c r="K64" i="5"/>
  <c r="K46" i="5"/>
  <c r="K28" i="5"/>
  <c r="K127" i="5"/>
  <c r="K108" i="5"/>
  <c r="K54" i="5"/>
  <c r="K15" i="5"/>
  <c r="K114" i="5"/>
  <c r="K60" i="5"/>
  <c r="K17" i="5"/>
  <c r="K23" i="5"/>
  <c r="K93" i="5"/>
  <c r="K10" i="5"/>
  <c r="K329" i="5"/>
  <c r="K349" i="5"/>
  <c r="K239" i="5"/>
  <c r="K346" i="5"/>
  <c r="K149" i="5"/>
  <c r="K259" i="5"/>
  <c r="K187" i="5"/>
  <c r="K339" i="5"/>
  <c r="K222" i="5"/>
  <c r="K107" i="5"/>
  <c r="K53" i="5"/>
  <c r="K112" i="5"/>
  <c r="K58" i="5"/>
  <c r="K322" i="5"/>
  <c r="K96" i="5"/>
  <c r="K39" i="5"/>
  <c r="K358" i="5"/>
  <c r="K313" i="5"/>
  <c r="K279" i="5"/>
  <c r="K344" i="5"/>
  <c r="K304" i="5"/>
  <c r="K319" i="5"/>
  <c r="K272" i="5"/>
  <c r="K236" i="5"/>
  <c r="K364" i="5"/>
  <c r="K362" i="5"/>
  <c r="K341" i="5"/>
  <c r="K298" i="5"/>
  <c r="K326" i="5"/>
  <c r="K285" i="5"/>
  <c r="K330" i="5"/>
  <c r="K353" i="5"/>
  <c r="K317" i="5"/>
  <c r="K287" i="5"/>
  <c r="K347" i="5"/>
  <c r="K277" i="5"/>
  <c r="K276" i="5"/>
  <c r="K260" i="5"/>
  <c r="K242" i="5"/>
  <c r="K224" i="5"/>
  <c r="K206" i="5"/>
  <c r="K188" i="5"/>
  <c r="K310" i="5"/>
  <c r="K289" i="5"/>
  <c r="K324" i="5"/>
  <c r="K170" i="5"/>
  <c r="K152" i="5"/>
  <c r="K134" i="5"/>
  <c r="K348" i="5"/>
  <c r="K262" i="5"/>
  <c r="K244" i="5"/>
  <c r="K226" i="5"/>
  <c r="K208" i="5"/>
  <c r="K190" i="5"/>
  <c r="K171" i="5"/>
  <c r="K166" i="5"/>
  <c r="K148" i="5"/>
  <c r="K261" i="5"/>
  <c r="K243" i="5"/>
  <c r="K225" i="5"/>
  <c r="K207" i="5"/>
  <c r="K189" i="5"/>
  <c r="K110" i="5"/>
  <c r="K92" i="5"/>
  <c r="K74" i="5"/>
  <c r="K56" i="5"/>
  <c r="K38" i="5"/>
  <c r="K144" i="5"/>
  <c r="K120" i="5"/>
  <c r="K115" i="5"/>
  <c r="K97" i="5"/>
  <c r="K79" i="5"/>
  <c r="K61" i="5"/>
  <c r="K43" i="5"/>
  <c r="K25" i="5"/>
  <c r="K118" i="5"/>
  <c r="K99" i="5"/>
  <c r="K45" i="5"/>
  <c r="K12" i="5"/>
  <c r="K105" i="5"/>
  <c r="K51" i="5"/>
  <c r="K14" i="5"/>
  <c r="K102" i="5"/>
  <c r="K66" i="5"/>
  <c r="K132" i="5"/>
  <c r="K282" i="5"/>
  <c r="K284" i="5"/>
  <c r="K275" i="5"/>
  <c r="K203" i="5"/>
  <c r="K286" i="5"/>
  <c r="K167" i="5"/>
  <c r="K182" i="5"/>
  <c r="K223" i="5"/>
  <c r="K181" i="5"/>
  <c r="K258" i="5"/>
  <c r="K204" i="5"/>
  <c r="K89" i="5"/>
  <c r="K142" i="5"/>
  <c r="K94" i="5"/>
  <c r="K40" i="5"/>
  <c r="K90" i="5"/>
  <c r="K9" i="5"/>
  <c r="K11" i="5"/>
  <c r="K57" i="5"/>
  <c r="K328" i="5"/>
  <c r="K281" i="5"/>
  <c r="K336" i="5"/>
  <c r="K254" i="5"/>
  <c r="K200" i="5"/>
  <c r="K333" i="5"/>
  <c r="K48" i="5"/>
  <c r="K81" i="5"/>
  <c r="K91" i="5"/>
  <c r="K68" i="5"/>
  <c r="K237" i="5"/>
  <c r="K202" i="5"/>
  <c r="K146" i="5"/>
  <c r="F274" i="5" l="1"/>
  <c r="G274" i="5"/>
  <c r="D274" i="5"/>
  <c r="C274" i="5"/>
  <c r="C184" i="5"/>
  <c r="B184" i="5"/>
  <c r="G184" i="5"/>
  <c r="A274" i="5"/>
  <c r="E274" i="5"/>
  <c r="D184" i="5"/>
  <c r="A184" i="5"/>
  <c r="E184" i="5"/>
  <c r="F286" i="5"/>
  <c r="E286" i="5"/>
  <c r="D286" i="5"/>
  <c r="C286" i="5"/>
  <c r="B286" i="5"/>
  <c r="A286" i="5"/>
  <c r="G286" i="5"/>
  <c r="D79" i="5"/>
  <c r="C79" i="5"/>
  <c r="B79" i="5"/>
  <c r="G79" i="5"/>
  <c r="A79" i="5"/>
  <c r="F79" i="5"/>
  <c r="E79" i="5"/>
  <c r="C134" i="5"/>
  <c r="B134" i="5"/>
  <c r="G134" i="5"/>
  <c r="A134" i="5"/>
  <c r="E134" i="5"/>
  <c r="D134" i="5"/>
  <c r="F134" i="5"/>
  <c r="B285" i="5"/>
  <c r="G285" i="5"/>
  <c r="A285" i="5"/>
  <c r="F285" i="5"/>
  <c r="E285" i="5"/>
  <c r="C285" i="5"/>
  <c r="D285" i="5"/>
  <c r="D112" i="5"/>
  <c r="C112" i="5"/>
  <c r="B112" i="5"/>
  <c r="G112" i="5"/>
  <c r="A112" i="5"/>
  <c r="F112" i="5"/>
  <c r="E112" i="5"/>
  <c r="D64" i="5"/>
  <c r="C64" i="5"/>
  <c r="B64" i="5"/>
  <c r="G64" i="5"/>
  <c r="A64" i="5"/>
  <c r="F64" i="5"/>
  <c r="E64" i="5"/>
  <c r="G174" i="5"/>
  <c r="A174" i="5"/>
  <c r="F174" i="5"/>
  <c r="E174" i="5"/>
  <c r="D174" i="5"/>
  <c r="C174" i="5"/>
  <c r="B174" i="5"/>
  <c r="C312" i="5"/>
  <c r="B312" i="5"/>
  <c r="G312" i="5"/>
  <c r="F312" i="5"/>
  <c r="E312" i="5"/>
  <c r="D312" i="5"/>
  <c r="A312" i="5"/>
  <c r="D76" i="5"/>
  <c r="C76" i="5"/>
  <c r="B76" i="5"/>
  <c r="G76" i="5"/>
  <c r="A76" i="5"/>
  <c r="F76" i="5"/>
  <c r="E76" i="5"/>
  <c r="F123" i="5"/>
  <c r="E123" i="5"/>
  <c r="A123" i="5"/>
  <c r="G123" i="5"/>
  <c r="D123" i="5"/>
  <c r="C123" i="5"/>
  <c r="B123" i="5"/>
  <c r="B80" i="5"/>
  <c r="G80" i="5"/>
  <c r="A80" i="5"/>
  <c r="F80" i="5"/>
  <c r="E80" i="5"/>
  <c r="D80" i="5"/>
  <c r="C80" i="5"/>
  <c r="C212" i="5"/>
  <c r="B212" i="5"/>
  <c r="G212" i="5"/>
  <c r="A212" i="5"/>
  <c r="F212" i="5"/>
  <c r="D212" i="5"/>
  <c r="E212" i="5"/>
  <c r="G147" i="5"/>
  <c r="A147" i="5"/>
  <c r="F147" i="5"/>
  <c r="E147" i="5"/>
  <c r="D147" i="5"/>
  <c r="B147" i="5"/>
  <c r="C147" i="5"/>
  <c r="C161" i="5"/>
  <c r="B161" i="5"/>
  <c r="G161" i="5"/>
  <c r="A161" i="5"/>
  <c r="E161" i="5"/>
  <c r="F161" i="5"/>
  <c r="D161" i="5"/>
  <c r="F81" i="5"/>
  <c r="E81" i="5"/>
  <c r="D81" i="5"/>
  <c r="C81" i="5"/>
  <c r="G81" i="5"/>
  <c r="B81" i="5"/>
  <c r="A81" i="5"/>
  <c r="E181" i="5"/>
  <c r="D181" i="5"/>
  <c r="C181" i="5"/>
  <c r="A181" i="5"/>
  <c r="B181" i="5"/>
  <c r="G181" i="5"/>
  <c r="F181" i="5"/>
  <c r="D115" i="5"/>
  <c r="C115" i="5"/>
  <c r="B115" i="5"/>
  <c r="G115" i="5"/>
  <c r="A115" i="5"/>
  <c r="F115" i="5"/>
  <c r="E115" i="5"/>
  <c r="E226" i="5"/>
  <c r="D226" i="5"/>
  <c r="C226" i="5"/>
  <c r="G226" i="5"/>
  <c r="F226" i="5"/>
  <c r="B226" i="5"/>
  <c r="A226" i="5"/>
  <c r="C170" i="5"/>
  <c r="B170" i="5"/>
  <c r="G170" i="5"/>
  <c r="A170" i="5"/>
  <c r="E170" i="5"/>
  <c r="F170" i="5"/>
  <c r="D170" i="5"/>
  <c r="C224" i="5"/>
  <c r="B224" i="5"/>
  <c r="G224" i="5"/>
  <c r="A224" i="5"/>
  <c r="F224" i="5"/>
  <c r="D224" i="5"/>
  <c r="E224" i="5"/>
  <c r="B298" i="5"/>
  <c r="G298" i="5"/>
  <c r="F298" i="5"/>
  <c r="E298" i="5"/>
  <c r="D298" i="5"/>
  <c r="A298" i="5"/>
  <c r="C298" i="5"/>
  <c r="C146" i="5"/>
  <c r="B146" i="5"/>
  <c r="G146" i="5"/>
  <c r="A146" i="5"/>
  <c r="E146" i="5"/>
  <c r="F146" i="5"/>
  <c r="D146" i="5"/>
  <c r="F48" i="5"/>
  <c r="E48" i="5"/>
  <c r="D48" i="5"/>
  <c r="C48" i="5"/>
  <c r="B48" i="5"/>
  <c r="A48" i="5"/>
  <c r="G48" i="5"/>
  <c r="G328" i="5"/>
  <c r="A328" i="5"/>
  <c r="D328" i="5"/>
  <c r="F328" i="5"/>
  <c r="E328" i="5"/>
  <c r="C328" i="5"/>
  <c r="B328" i="5"/>
  <c r="D94" i="5"/>
  <c r="C94" i="5"/>
  <c r="B94" i="5"/>
  <c r="G94" i="5"/>
  <c r="A94" i="5"/>
  <c r="F94" i="5"/>
  <c r="E94" i="5"/>
  <c r="E223" i="5"/>
  <c r="D223" i="5"/>
  <c r="C223" i="5"/>
  <c r="G223" i="5"/>
  <c r="F223" i="5"/>
  <c r="B223" i="5"/>
  <c r="A223" i="5"/>
  <c r="D284" i="5"/>
  <c r="C284" i="5"/>
  <c r="B284" i="5"/>
  <c r="G284" i="5"/>
  <c r="F284" i="5"/>
  <c r="E284" i="5"/>
  <c r="A284" i="5"/>
  <c r="F51" i="5"/>
  <c r="E51" i="5"/>
  <c r="D51" i="5"/>
  <c r="C51" i="5"/>
  <c r="G51" i="5"/>
  <c r="B51" i="5"/>
  <c r="A51" i="5"/>
  <c r="D25" i="5"/>
  <c r="C25" i="5"/>
  <c r="B25" i="5"/>
  <c r="G25" i="5"/>
  <c r="A25" i="5"/>
  <c r="F25" i="5"/>
  <c r="E25" i="5"/>
  <c r="F120" i="5"/>
  <c r="E120" i="5"/>
  <c r="G120" i="5"/>
  <c r="D120" i="5"/>
  <c r="C120" i="5"/>
  <c r="B120" i="5"/>
  <c r="A120" i="5"/>
  <c r="B110" i="5"/>
  <c r="G110" i="5"/>
  <c r="A110" i="5"/>
  <c r="F110" i="5"/>
  <c r="E110" i="5"/>
  <c r="D110" i="5"/>
  <c r="C110" i="5"/>
  <c r="E148" i="5"/>
  <c r="D148" i="5"/>
  <c r="C148" i="5"/>
  <c r="A148" i="5"/>
  <c r="G148" i="5"/>
  <c r="F148" i="5"/>
  <c r="B148" i="5"/>
  <c r="E244" i="5"/>
  <c r="D244" i="5"/>
  <c r="C244" i="5"/>
  <c r="G244" i="5"/>
  <c r="F244" i="5"/>
  <c r="B244" i="5"/>
  <c r="A244" i="5"/>
  <c r="C324" i="5"/>
  <c r="G324" i="5"/>
  <c r="F324" i="5"/>
  <c r="E324" i="5"/>
  <c r="D324" i="5"/>
  <c r="B324" i="5"/>
  <c r="A324" i="5"/>
  <c r="C242" i="5"/>
  <c r="B242" i="5"/>
  <c r="G242" i="5"/>
  <c r="A242" i="5"/>
  <c r="F242" i="5"/>
  <c r="D242" i="5"/>
  <c r="E242" i="5"/>
  <c r="E317" i="5"/>
  <c r="F317" i="5"/>
  <c r="B317" i="5"/>
  <c r="A317" i="5"/>
  <c r="G317" i="5"/>
  <c r="D317" i="5"/>
  <c r="C317" i="5"/>
  <c r="E341" i="5"/>
  <c r="A341" i="5"/>
  <c r="G341" i="5"/>
  <c r="F341" i="5"/>
  <c r="D341" i="5"/>
  <c r="C341" i="5"/>
  <c r="B341" i="5"/>
  <c r="G304" i="5"/>
  <c r="B304" i="5"/>
  <c r="C304" i="5"/>
  <c r="A304" i="5"/>
  <c r="F304" i="5"/>
  <c r="E304" i="5"/>
  <c r="D304" i="5"/>
  <c r="F96" i="5"/>
  <c r="E96" i="5"/>
  <c r="D96" i="5"/>
  <c r="C96" i="5"/>
  <c r="G96" i="5"/>
  <c r="B96" i="5"/>
  <c r="A96" i="5"/>
  <c r="G222" i="5"/>
  <c r="A222" i="5"/>
  <c r="F222" i="5"/>
  <c r="E222" i="5"/>
  <c r="C222" i="5"/>
  <c r="B222" i="5"/>
  <c r="D222" i="5"/>
  <c r="C239" i="5"/>
  <c r="B239" i="5"/>
  <c r="G239" i="5"/>
  <c r="A239" i="5"/>
  <c r="F239" i="5"/>
  <c r="D239" i="5"/>
  <c r="E239" i="5"/>
  <c r="D17" i="5"/>
  <c r="C17" i="5"/>
  <c r="B17" i="5"/>
  <c r="G17" i="5"/>
  <c r="A17" i="5"/>
  <c r="F17" i="5"/>
  <c r="E17" i="5"/>
  <c r="E127" i="5"/>
  <c r="D127" i="5"/>
  <c r="C127" i="5"/>
  <c r="A127" i="5"/>
  <c r="B127" i="5"/>
  <c r="G127" i="5"/>
  <c r="F127" i="5"/>
  <c r="D121" i="5"/>
  <c r="C121" i="5"/>
  <c r="G121" i="5"/>
  <c r="A121" i="5"/>
  <c r="F121" i="5"/>
  <c r="E121" i="5"/>
  <c r="B121" i="5"/>
  <c r="B95" i="5"/>
  <c r="G95" i="5"/>
  <c r="A95" i="5"/>
  <c r="F95" i="5"/>
  <c r="E95" i="5"/>
  <c r="D95" i="5"/>
  <c r="C95" i="5"/>
  <c r="G264" i="5"/>
  <c r="A264" i="5"/>
  <c r="F264" i="5"/>
  <c r="E264" i="5"/>
  <c r="C264" i="5"/>
  <c r="B264" i="5"/>
  <c r="D264" i="5"/>
  <c r="E229" i="5"/>
  <c r="D229" i="5"/>
  <c r="C229" i="5"/>
  <c r="G229" i="5"/>
  <c r="F229" i="5"/>
  <c r="B229" i="5"/>
  <c r="A229" i="5"/>
  <c r="C173" i="5"/>
  <c r="B173" i="5"/>
  <c r="G173" i="5"/>
  <c r="A173" i="5"/>
  <c r="E173" i="5"/>
  <c r="D173" i="5"/>
  <c r="F173" i="5"/>
  <c r="C227" i="5"/>
  <c r="B227" i="5"/>
  <c r="G227" i="5"/>
  <c r="A227" i="5"/>
  <c r="F227" i="5"/>
  <c r="D227" i="5"/>
  <c r="E227" i="5"/>
  <c r="D290" i="5"/>
  <c r="C290" i="5"/>
  <c r="B290" i="5"/>
  <c r="G290" i="5"/>
  <c r="F290" i="5"/>
  <c r="E290" i="5"/>
  <c r="A290" i="5"/>
  <c r="B301" i="5"/>
  <c r="E301" i="5"/>
  <c r="D301" i="5"/>
  <c r="C301" i="5"/>
  <c r="A301" i="5"/>
  <c r="G301" i="5"/>
  <c r="F301" i="5"/>
  <c r="F42" i="5"/>
  <c r="E42" i="5"/>
  <c r="D42" i="5"/>
  <c r="C42" i="5"/>
  <c r="G42" i="5"/>
  <c r="B42" i="5"/>
  <c r="A42" i="5"/>
  <c r="B71" i="5"/>
  <c r="G71" i="5"/>
  <c r="A71" i="5"/>
  <c r="F71" i="5"/>
  <c r="E71" i="5"/>
  <c r="C71" i="5"/>
  <c r="D71" i="5"/>
  <c r="C131" i="5"/>
  <c r="B131" i="5"/>
  <c r="G131" i="5"/>
  <c r="A131" i="5"/>
  <c r="E131" i="5"/>
  <c r="F131" i="5"/>
  <c r="D131" i="5"/>
  <c r="G316" i="5"/>
  <c r="A316" i="5"/>
  <c r="F316" i="5"/>
  <c r="B316" i="5"/>
  <c r="E316" i="5"/>
  <c r="D316" i="5"/>
  <c r="C316" i="5"/>
  <c r="F111" i="5"/>
  <c r="E111" i="5"/>
  <c r="D111" i="5"/>
  <c r="C111" i="5"/>
  <c r="B111" i="5"/>
  <c r="A111" i="5"/>
  <c r="G111" i="5"/>
  <c r="G165" i="5"/>
  <c r="A165" i="5"/>
  <c r="F165" i="5"/>
  <c r="E165" i="5"/>
  <c r="D165" i="5"/>
  <c r="B165" i="5"/>
  <c r="C165" i="5"/>
  <c r="D49" i="5"/>
  <c r="C49" i="5"/>
  <c r="B49" i="5"/>
  <c r="G49" i="5"/>
  <c r="A49" i="5"/>
  <c r="F49" i="5"/>
  <c r="E49" i="5"/>
  <c r="B26" i="5"/>
  <c r="G26" i="5"/>
  <c r="A26" i="5"/>
  <c r="F26" i="5"/>
  <c r="E26" i="5"/>
  <c r="D26" i="5"/>
  <c r="C26" i="5"/>
  <c r="G195" i="5"/>
  <c r="A195" i="5"/>
  <c r="F195" i="5"/>
  <c r="E195" i="5"/>
  <c r="C195" i="5"/>
  <c r="B195" i="5"/>
  <c r="D195" i="5"/>
  <c r="E172" i="5"/>
  <c r="D172" i="5"/>
  <c r="C172" i="5"/>
  <c r="A172" i="5"/>
  <c r="B172" i="5"/>
  <c r="G172" i="5"/>
  <c r="F172" i="5"/>
  <c r="E268" i="5"/>
  <c r="D268" i="5"/>
  <c r="C268" i="5"/>
  <c r="G268" i="5"/>
  <c r="F268" i="5"/>
  <c r="B268" i="5"/>
  <c r="A268" i="5"/>
  <c r="G307" i="5"/>
  <c r="A307" i="5"/>
  <c r="F307" i="5"/>
  <c r="D307" i="5"/>
  <c r="C307" i="5"/>
  <c r="B307" i="5"/>
  <c r="E307" i="5"/>
  <c r="C266" i="5"/>
  <c r="B266" i="5"/>
  <c r="G266" i="5"/>
  <c r="A266" i="5"/>
  <c r="F266" i="5"/>
  <c r="D266" i="5"/>
  <c r="E266" i="5"/>
  <c r="F296" i="5"/>
  <c r="B296" i="5"/>
  <c r="A296" i="5"/>
  <c r="G296" i="5"/>
  <c r="D296" i="5"/>
  <c r="C296" i="5"/>
  <c r="E296" i="5"/>
  <c r="F19" i="5"/>
  <c r="E19" i="5"/>
  <c r="D19" i="5"/>
  <c r="C19" i="5"/>
  <c r="B19" i="5"/>
  <c r="A19" i="5"/>
  <c r="G19" i="5"/>
  <c r="E130" i="5"/>
  <c r="D130" i="5"/>
  <c r="C130" i="5"/>
  <c r="A130" i="5"/>
  <c r="G130" i="5"/>
  <c r="F130" i="5"/>
  <c r="B130" i="5"/>
  <c r="D52" i="5"/>
  <c r="C52" i="5"/>
  <c r="B52" i="5"/>
  <c r="G52" i="5"/>
  <c r="A52" i="5"/>
  <c r="F52" i="5"/>
  <c r="E52" i="5"/>
  <c r="B29" i="5"/>
  <c r="G29" i="5"/>
  <c r="A29" i="5"/>
  <c r="F29" i="5"/>
  <c r="E29" i="5"/>
  <c r="D29" i="5"/>
  <c r="C29" i="5"/>
  <c r="G198" i="5"/>
  <c r="A198" i="5"/>
  <c r="F198" i="5"/>
  <c r="E198" i="5"/>
  <c r="C198" i="5"/>
  <c r="B198" i="5"/>
  <c r="D198" i="5"/>
  <c r="E175" i="5"/>
  <c r="D175" i="5"/>
  <c r="C175" i="5"/>
  <c r="A175" i="5"/>
  <c r="B175" i="5"/>
  <c r="G175" i="5"/>
  <c r="F175" i="5"/>
  <c r="E271" i="5"/>
  <c r="D271" i="5"/>
  <c r="C271" i="5"/>
  <c r="G271" i="5"/>
  <c r="F271" i="5"/>
  <c r="B271" i="5"/>
  <c r="A271" i="5"/>
  <c r="E320" i="5"/>
  <c r="C320" i="5"/>
  <c r="D320" i="5"/>
  <c r="B320" i="5"/>
  <c r="A320" i="5"/>
  <c r="G320" i="5"/>
  <c r="F320" i="5"/>
  <c r="C269" i="5"/>
  <c r="B269" i="5"/>
  <c r="G269" i="5"/>
  <c r="A269" i="5"/>
  <c r="F269" i="5"/>
  <c r="D269" i="5"/>
  <c r="E269" i="5"/>
  <c r="C315" i="5"/>
  <c r="G315" i="5"/>
  <c r="A315" i="5"/>
  <c r="F315" i="5"/>
  <c r="E315" i="5"/>
  <c r="D315" i="5"/>
  <c r="B315" i="5"/>
  <c r="E323" i="5"/>
  <c r="A323" i="5"/>
  <c r="F323" i="5"/>
  <c r="D323" i="5"/>
  <c r="C323" i="5"/>
  <c r="G323" i="5"/>
  <c r="B323" i="5"/>
  <c r="F30" i="5"/>
  <c r="E30" i="5"/>
  <c r="D30" i="5"/>
  <c r="C30" i="5"/>
  <c r="B30" i="5"/>
  <c r="A30" i="5"/>
  <c r="G30" i="5"/>
  <c r="F283" i="5"/>
  <c r="E283" i="5"/>
  <c r="D283" i="5"/>
  <c r="C283" i="5"/>
  <c r="B283" i="5"/>
  <c r="A283" i="5"/>
  <c r="G283" i="5"/>
  <c r="F87" i="5"/>
  <c r="E87" i="5"/>
  <c r="D87" i="5"/>
  <c r="C87" i="5"/>
  <c r="G87" i="5"/>
  <c r="B87" i="5"/>
  <c r="A87" i="5"/>
  <c r="E238" i="5"/>
  <c r="D238" i="5"/>
  <c r="C238" i="5"/>
  <c r="G238" i="5"/>
  <c r="F238" i="5"/>
  <c r="B238" i="5"/>
  <c r="A238" i="5"/>
  <c r="C164" i="5"/>
  <c r="B164" i="5"/>
  <c r="G164" i="5"/>
  <c r="A164" i="5"/>
  <c r="E164" i="5"/>
  <c r="F164" i="5"/>
  <c r="D164" i="5"/>
  <c r="C254" i="5"/>
  <c r="B254" i="5"/>
  <c r="G254" i="5"/>
  <c r="A254" i="5"/>
  <c r="F254" i="5"/>
  <c r="D254" i="5"/>
  <c r="E254" i="5"/>
  <c r="B9" i="5"/>
  <c r="G9" i="5"/>
  <c r="A9" i="5"/>
  <c r="F9" i="5"/>
  <c r="E9" i="5"/>
  <c r="D9" i="5"/>
  <c r="C9" i="5"/>
  <c r="G225" i="5"/>
  <c r="A225" i="5"/>
  <c r="F225" i="5"/>
  <c r="E225" i="5"/>
  <c r="C225" i="5"/>
  <c r="B225" i="5"/>
  <c r="D225" i="5"/>
  <c r="G340" i="5"/>
  <c r="A340" i="5"/>
  <c r="B340" i="5"/>
  <c r="F340" i="5"/>
  <c r="E340" i="5"/>
  <c r="D340" i="5"/>
  <c r="C340" i="5"/>
  <c r="B83" i="5"/>
  <c r="G83" i="5"/>
  <c r="A83" i="5"/>
  <c r="F83" i="5"/>
  <c r="E83" i="5"/>
  <c r="D83" i="5"/>
  <c r="C83" i="5"/>
  <c r="C278" i="5"/>
  <c r="G278" i="5"/>
  <c r="F278" i="5"/>
  <c r="E278" i="5"/>
  <c r="B278" i="5"/>
  <c r="A278" i="5"/>
  <c r="D278" i="5"/>
  <c r="D40" i="5"/>
  <c r="C40" i="5"/>
  <c r="B40" i="5"/>
  <c r="G40" i="5"/>
  <c r="A40" i="5"/>
  <c r="F40" i="5"/>
  <c r="E40" i="5"/>
  <c r="D14" i="5"/>
  <c r="C14" i="5"/>
  <c r="B14" i="5"/>
  <c r="G14" i="5"/>
  <c r="A14" i="5"/>
  <c r="F14" i="5"/>
  <c r="E14" i="5"/>
  <c r="G261" i="5"/>
  <c r="A261" i="5"/>
  <c r="F261" i="5"/>
  <c r="E261" i="5"/>
  <c r="C261" i="5"/>
  <c r="B261" i="5"/>
  <c r="D261" i="5"/>
  <c r="C333" i="5"/>
  <c r="G333" i="5"/>
  <c r="D333" i="5"/>
  <c r="B333" i="5"/>
  <c r="A333" i="5"/>
  <c r="F333" i="5"/>
  <c r="E333" i="5"/>
  <c r="E142" i="5"/>
  <c r="D142" i="5"/>
  <c r="C142" i="5"/>
  <c r="A142" i="5"/>
  <c r="G142" i="5"/>
  <c r="F142" i="5"/>
  <c r="B142" i="5"/>
  <c r="B282" i="5"/>
  <c r="G282" i="5"/>
  <c r="A282" i="5"/>
  <c r="F282" i="5"/>
  <c r="E282" i="5"/>
  <c r="D282" i="5"/>
  <c r="C282" i="5"/>
  <c r="F105" i="5"/>
  <c r="E105" i="5"/>
  <c r="D105" i="5"/>
  <c r="C105" i="5"/>
  <c r="G105" i="5"/>
  <c r="B105" i="5"/>
  <c r="A105" i="5"/>
  <c r="D43" i="5"/>
  <c r="C43" i="5"/>
  <c r="B43" i="5"/>
  <c r="G43" i="5"/>
  <c r="A43" i="5"/>
  <c r="F43" i="5"/>
  <c r="E43" i="5"/>
  <c r="G144" i="5"/>
  <c r="A144" i="5"/>
  <c r="F144" i="5"/>
  <c r="E144" i="5"/>
  <c r="D144" i="5"/>
  <c r="C144" i="5"/>
  <c r="B144" i="5"/>
  <c r="G189" i="5"/>
  <c r="A189" i="5"/>
  <c r="F189" i="5"/>
  <c r="E189" i="5"/>
  <c r="C189" i="5"/>
  <c r="B189" i="5"/>
  <c r="D189" i="5"/>
  <c r="E166" i="5"/>
  <c r="D166" i="5"/>
  <c r="C166" i="5"/>
  <c r="A166" i="5"/>
  <c r="G166" i="5"/>
  <c r="F166" i="5"/>
  <c r="B166" i="5"/>
  <c r="E262" i="5"/>
  <c r="D262" i="5"/>
  <c r="C262" i="5"/>
  <c r="G262" i="5"/>
  <c r="F262" i="5"/>
  <c r="B262" i="5"/>
  <c r="A262" i="5"/>
  <c r="F289" i="5"/>
  <c r="E289" i="5"/>
  <c r="D289" i="5"/>
  <c r="C289" i="5"/>
  <c r="B289" i="5"/>
  <c r="A289" i="5"/>
  <c r="G289" i="5"/>
  <c r="C260" i="5"/>
  <c r="B260" i="5"/>
  <c r="G260" i="5"/>
  <c r="A260" i="5"/>
  <c r="F260" i="5"/>
  <c r="D260" i="5"/>
  <c r="E260" i="5"/>
  <c r="E353" i="5"/>
  <c r="G353" i="5"/>
  <c r="F353" i="5"/>
  <c r="A353" i="5"/>
  <c r="D353" i="5"/>
  <c r="C353" i="5"/>
  <c r="B353" i="5"/>
  <c r="E362" i="5"/>
  <c r="G362" i="5"/>
  <c r="F362" i="5"/>
  <c r="D362" i="5"/>
  <c r="A362" i="5"/>
  <c r="C362" i="5"/>
  <c r="B362" i="5"/>
  <c r="E344" i="5"/>
  <c r="F344" i="5"/>
  <c r="B344" i="5"/>
  <c r="A344" i="5"/>
  <c r="G344" i="5"/>
  <c r="D344" i="5"/>
  <c r="C344" i="5"/>
  <c r="G322" i="5"/>
  <c r="A322" i="5"/>
  <c r="B322" i="5"/>
  <c r="E322" i="5"/>
  <c r="D322" i="5"/>
  <c r="C322" i="5"/>
  <c r="F322" i="5"/>
  <c r="C339" i="5"/>
  <c r="B339" i="5"/>
  <c r="G339" i="5"/>
  <c r="F339" i="5"/>
  <c r="E339" i="5"/>
  <c r="D339" i="5"/>
  <c r="A339" i="5"/>
  <c r="G349" i="5"/>
  <c r="A349" i="5"/>
  <c r="B349" i="5"/>
  <c r="E349" i="5"/>
  <c r="D349" i="5"/>
  <c r="C349" i="5"/>
  <c r="F349" i="5"/>
  <c r="F60" i="5"/>
  <c r="E60" i="5"/>
  <c r="D60" i="5"/>
  <c r="C60" i="5"/>
  <c r="G60" i="5"/>
  <c r="B60" i="5"/>
  <c r="A60" i="5"/>
  <c r="D28" i="5"/>
  <c r="C28" i="5"/>
  <c r="B28" i="5"/>
  <c r="G28" i="5"/>
  <c r="A28" i="5"/>
  <c r="F28" i="5"/>
  <c r="E28" i="5"/>
  <c r="E124" i="5"/>
  <c r="D124" i="5"/>
  <c r="C124" i="5"/>
  <c r="A124" i="5"/>
  <c r="G124" i="5"/>
  <c r="F124" i="5"/>
  <c r="B124" i="5"/>
  <c r="B113" i="5"/>
  <c r="G113" i="5"/>
  <c r="A113" i="5"/>
  <c r="F113" i="5"/>
  <c r="E113" i="5"/>
  <c r="D113" i="5"/>
  <c r="C113" i="5"/>
  <c r="E151" i="5"/>
  <c r="D151" i="5"/>
  <c r="C151" i="5"/>
  <c r="A151" i="5"/>
  <c r="F151" i="5"/>
  <c r="B151" i="5"/>
  <c r="G151" i="5"/>
  <c r="E247" i="5"/>
  <c r="D247" i="5"/>
  <c r="C247" i="5"/>
  <c r="G247" i="5"/>
  <c r="F247" i="5"/>
  <c r="B247" i="5"/>
  <c r="A247" i="5"/>
  <c r="G337" i="5"/>
  <c r="A337" i="5"/>
  <c r="D337" i="5"/>
  <c r="F337" i="5"/>
  <c r="E337" i="5"/>
  <c r="C337" i="5"/>
  <c r="B337" i="5"/>
  <c r="C245" i="5"/>
  <c r="B245" i="5"/>
  <c r="G245" i="5"/>
  <c r="A245" i="5"/>
  <c r="F245" i="5"/>
  <c r="D245" i="5"/>
  <c r="E245" i="5"/>
  <c r="C318" i="5"/>
  <c r="E318" i="5"/>
  <c r="B318" i="5"/>
  <c r="A318" i="5"/>
  <c r="G318" i="5"/>
  <c r="F318" i="5"/>
  <c r="D318" i="5"/>
  <c r="E350" i="5"/>
  <c r="A350" i="5"/>
  <c r="F350" i="5"/>
  <c r="D350" i="5"/>
  <c r="C350" i="5"/>
  <c r="B350" i="5"/>
  <c r="G350" i="5"/>
  <c r="F36" i="5"/>
  <c r="E36" i="5"/>
  <c r="D36" i="5"/>
  <c r="C36" i="5"/>
  <c r="G36" i="5"/>
  <c r="B36" i="5"/>
  <c r="A36" i="5"/>
  <c r="C309" i="5"/>
  <c r="E309" i="5"/>
  <c r="F309" i="5"/>
  <c r="D309" i="5"/>
  <c r="B309" i="5"/>
  <c r="A309" i="5"/>
  <c r="G309" i="5"/>
  <c r="E311" i="5"/>
  <c r="C311" i="5"/>
  <c r="G311" i="5"/>
  <c r="F311" i="5"/>
  <c r="D311" i="5"/>
  <c r="B311" i="5"/>
  <c r="A311" i="5"/>
  <c r="C345" i="5"/>
  <c r="E345" i="5"/>
  <c r="B345" i="5"/>
  <c r="A345" i="5"/>
  <c r="G345" i="5"/>
  <c r="F345" i="5"/>
  <c r="D345" i="5"/>
  <c r="F84" i="5"/>
  <c r="E84" i="5"/>
  <c r="D84" i="5"/>
  <c r="C84" i="5"/>
  <c r="B84" i="5"/>
  <c r="A84" i="5"/>
  <c r="G84" i="5"/>
  <c r="B18" i="5"/>
  <c r="G18" i="5"/>
  <c r="A18" i="5"/>
  <c r="F18" i="5"/>
  <c r="E18" i="5"/>
  <c r="D18" i="5"/>
  <c r="C18" i="5"/>
  <c r="D67" i="5"/>
  <c r="C67" i="5"/>
  <c r="B67" i="5"/>
  <c r="G67" i="5"/>
  <c r="A67" i="5"/>
  <c r="F67" i="5"/>
  <c r="E67" i="5"/>
  <c r="B44" i="5"/>
  <c r="G44" i="5"/>
  <c r="A44" i="5"/>
  <c r="F44" i="5"/>
  <c r="E44" i="5"/>
  <c r="D44" i="5"/>
  <c r="C44" i="5"/>
  <c r="G213" i="5"/>
  <c r="A213" i="5"/>
  <c r="F213" i="5"/>
  <c r="E213" i="5"/>
  <c r="C213" i="5"/>
  <c r="B213" i="5"/>
  <c r="D213" i="5"/>
  <c r="G177" i="5"/>
  <c r="A177" i="5"/>
  <c r="F177" i="5"/>
  <c r="E177" i="5"/>
  <c r="D177" i="5"/>
  <c r="C177" i="5"/>
  <c r="B177" i="5"/>
  <c r="B122" i="5"/>
  <c r="G122" i="5"/>
  <c r="A122" i="5"/>
  <c r="D122" i="5"/>
  <c r="C122" i="5"/>
  <c r="F122" i="5"/>
  <c r="E122" i="5"/>
  <c r="E338" i="5"/>
  <c r="C338" i="5"/>
  <c r="G338" i="5"/>
  <c r="F338" i="5"/>
  <c r="D338" i="5"/>
  <c r="B338" i="5"/>
  <c r="A338" i="5"/>
  <c r="E308" i="5"/>
  <c r="F308" i="5"/>
  <c r="D308" i="5"/>
  <c r="C308" i="5"/>
  <c r="B308" i="5"/>
  <c r="G308" i="5"/>
  <c r="A308" i="5"/>
  <c r="C357" i="5"/>
  <c r="D357" i="5"/>
  <c r="B357" i="5"/>
  <c r="G357" i="5"/>
  <c r="F357" i="5"/>
  <c r="E357" i="5"/>
  <c r="A357" i="5"/>
  <c r="F13" i="5"/>
  <c r="E13" i="5"/>
  <c r="D13" i="5"/>
  <c r="C13" i="5"/>
  <c r="G13" i="5"/>
  <c r="B13" i="5"/>
  <c r="A13" i="5"/>
  <c r="B21" i="5"/>
  <c r="G21" i="5"/>
  <c r="A21" i="5"/>
  <c r="F21" i="5"/>
  <c r="E21" i="5"/>
  <c r="D21" i="5"/>
  <c r="C21" i="5"/>
  <c r="D70" i="5"/>
  <c r="C70" i="5"/>
  <c r="B70" i="5"/>
  <c r="G70" i="5"/>
  <c r="A70" i="5"/>
  <c r="F70" i="5"/>
  <c r="E70" i="5"/>
  <c r="B47" i="5"/>
  <c r="G47" i="5"/>
  <c r="A47" i="5"/>
  <c r="F47" i="5"/>
  <c r="E47" i="5"/>
  <c r="D47" i="5"/>
  <c r="C47" i="5"/>
  <c r="G216" i="5"/>
  <c r="A216" i="5"/>
  <c r="F216" i="5"/>
  <c r="E216" i="5"/>
  <c r="C216" i="5"/>
  <c r="B216" i="5"/>
  <c r="D216" i="5"/>
  <c r="G180" i="5"/>
  <c r="A180" i="5"/>
  <c r="F180" i="5"/>
  <c r="E180" i="5"/>
  <c r="D180" i="5"/>
  <c r="C180" i="5"/>
  <c r="B180" i="5"/>
  <c r="C125" i="5"/>
  <c r="B125" i="5"/>
  <c r="G125" i="5"/>
  <c r="A125" i="5"/>
  <c r="E125" i="5"/>
  <c r="D125" i="5"/>
  <c r="F125" i="5"/>
  <c r="C351" i="5"/>
  <c r="G351" i="5"/>
  <c r="F351" i="5"/>
  <c r="E351" i="5"/>
  <c r="D351" i="5"/>
  <c r="B351" i="5"/>
  <c r="A351" i="5"/>
  <c r="G334" i="5"/>
  <c r="A334" i="5"/>
  <c r="F334" i="5"/>
  <c r="D334" i="5"/>
  <c r="C334" i="5"/>
  <c r="B334" i="5"/>
  <c r="E334" i="5"/>
  <c r="C363" i="5"/>
  <c r="G363" i="5"/>
  <c r="F363" i="5"/>
  <c r="E363" i="5"/>
  <c r="D363" i="5"/>
  <c r="B363" i="5"/>
  <c r="A363" i="5"/>
  <c r="E178" i="5"/>
  <c r="D178" i="5"/>
  <c r="C178" i="5"/>
  <c r="A178" i="5"/>
  <c r="B178" i="5"/>
  <c r="G178" i="5"/>
  <c r="F178" i="5"/>
  <c r="E220" i="5"/>
  <c r="D220" i="5"/>
  <c r="C220" i="5"/>
  <c r="G220" i="5"/>
  <c r="F220" i="5"/>
  <c r="B220" i="5"/>
  <c r="A220" i="5"/>
  <c r="E256" i="5"/>
  <c r="D256" i="5"/>
  <c r="C256" i="5"/>
  <c r="G256" i="5"/>
  <c r="F256" i="5"/>
  <c r="B256" i="5"/>
  <c r="A256" i="5"/>
  <c r="G255" i="5"/>
  <c r="A255" i="5"/>
  <c r="F255" i="5"/>
  <c r="E255" i="5"/>
  <c r="C255" i="5"/>
  <c r="B255" i="5"/>
  <c r="D255" i="5"/>
  <c r="G273" i="5"/>
  <c r="A273" i="5"/>
  <c r="F273" i="5"/>
  <c r="E273" i="5"/>
  <c r="C273" i="5"/>
  <c r="B273" i="5"/>
  <c r="D273" i="5"/>
  <c r="G204" i="5"/>
  <c r="A204" i="5"/>
  <c r="F204" i="5"/>
  <c r="E204" i="5"/>
  <c r="C204" i="5"/>
  <c r="B204" i="5"/>
  <c r="D204" i="5"/>
  <c r="F45" i="5"/>
  <c r="E45" i="5"/>
  <c r="D45" i="5"/>
  <c r="C45" i="5"/>
  <c r="G45" i="5"/>
  <c r="B45" i="5"/>
  <c r="A45" i="5"/>
  <c r="E190" i="5"/>
  <c r="D190" i="5"/>
  <c r="C190" i="5"/>
  <c r="G190" i="5"/>
  <c r="F190" i="5"/>
  <c r="B190" i="5"/>
  <c r="A190" i="5"/>
  <c r="E277" i="5"/>
  <c r="A277" i="5"/>
  <c r="G277" i="5"/>
  <c r="F277" i="5"/>
  <c r="D277" i="5"/>
  <c r="C277" i="5"/>
  <c r="B277" i="5"/>
  <c r="G313" i="5"/>
  <c r="A313" i="5"/>
  <c r="B313" i="5"/>
  <c r="F313" i="5"/>
  <c r="E313" i="5"/>
  <c r="D313" i="5"/>
  <c r="C313" i="5"/>
  <c r="B15" i="5"/>
  <c r="G15" i="5"/>
  <c r="A15" i="5"/>
  <c r="F15" i="5"/>
  <c r="E15" i="5"/>
  <c r="D15" i="5"/>
  <c r="C15" i="5"/>
  <c r="G210" i="5"/>
  <c r="A210" i="5"/>
  <c r="F210" i="5"/>
  <c r="E210" i="5"/>
  <c r="C210" i="5"/>
  <c r="B210" i="5"/>
  <c r="D210" i="5"/>
  <c r="D300" i="5"/>
  <c r="F300" i="5"/>
  <c r="E300" i="5"/>
  <c r="C300" i="5"/>
  <c r="G300" i="5"/>
  <c r="A300" i="5"/>
  <c r="B300" i="5"/>
  <c r="E163" i="5"/>
  <c r="D163" i="5"/>
  <c r="C163" i="5"/>
  <c r="A163" i="5"/>
  <c r="G163" i="5"/>
  <c r="F163" i="5"/>
  <c r="B163" i="5"/>
  <c r="F117" i="5"/>
  <c r="E117" i="5"/>
  <c r="D117" i="5"/>
  <c r="C117" i="5"/>
  <c r="G117" i="5"/>
  <c r="B117" i="5"/>
  <c r="A117" i="5"/>
  <c r="G249" i="5"/>
  <c r="A249" i="5"/>
  <c r="F249" i="5"/>
  <c r="E249" i="5"/>
  <c r="C249" i="5"/>
  <c r="B249" i="5"/>
  <c r="D249" i="5"/>
  <c r="G367" i="5"/>
  <c r="A367" i="5"/>
  <c r="F367" i="5"/>
  <c r="E367" i="5"/>
  <c r="D367" i="5"/>
  <c r="C367" i="5"/>
  <c r="B367" i="5"/>
  <c r="D106" i="5"/>
  <c r="C106" i="5"/>
  <c r="B106" i="5"/>
  <c r="G106" i="5"/>
  <c r="A106" i="5"/>
  <c r="F106" i="5"/>
  <c r="E106" i="5"/>
  <c r="C215" i="5"/>
  <c r="B215" i="5"/>
  <c r="G215" i="5"/>
  <c r="A215" i="5"/>
  <c r="F215" i="5"/>
  <c r="D215" i="5"/>
  <c r="E215" i="5"/>
  <c r="D281" i="5"/>
  <c r="C281" i="5"/>
  <c r="B281" i="5"/>
  <c r="G281" i="5"/>
  <c r="F281" i="5"/>
  <c r="E281" i="5"/>
  <c r="A281" i="5"/>
  <c r="C275" i="5"/>
  <c r="B275" i="5"/>
  <c r="G275" i="5"/>
  <c r="A275" i="5"/>
  <c r="F275" i="5"/>
  <c r="D275" i="5"/>
  <c r="E275" i="5"/>
  <c r="B92" i="5"/>
  <c r="G92" i="5"/>
  <c r="A92" i="5"/>
  <c r="F92" i="5"/>
  <c r="E92" i="5"/>
  <c r="D92" i="5"/>
  <c r="C92" i="5"/>
  <c r="E202" i="5"/>
  <c r="D202" i="5"/>
  <c r="C202" i="5"/>
  <c r="G202" i="5"/>
  <c r="F202" i="5"/>
  <c r="B202" i="5"/>
  <c r="A202" i="5"/>
  <c r="F57" i="5"/>
  <c r="E57" i="5"/>
  <c r="D57" i="5"/>
  <c r="C57" i="5"/>
  <c r="B57" i="5"/>
  <c r="A57" i="5"/>
  <c r="G57" i="5"/>
  <c r="G182" i="5"/>
  <c r="C182" i="5"/>
  <c r="B182" i="5"/>
  <c r="A182" i="5"/>
  <c r="E182" i="5"/>
  <c r="D182" i="5"/>
  <c r="F182" i="5"/>
  <c r="G237" i="5"/>
  <c r="A237" i="5"/>
  <c r="F237" i="5"/>
  <c r="E237" i="5"/>
  <c r="C237" i="5"/>
  <c r="B237" i="5"/>
  <c r="D237" i="5"/>
  <c r="C200" i="5"/>
  <c r="B200" i="5"/>
  <c r="G200" i="5"/>
  <c r="A200" i="5"/>
  <c r="F200" i="5"/>
  <c r="D200" i="5"/>
  <c r="E200" i="5"/>
  <c r="D11" i="5"/>
  <c r="C11" i="5"/>
  <c r="B11" i="5"/>
  <c r="G11" i="5"/>
  <c r="A11" i="5"/>
  <c r="F11" i="5"/>
  <c r="E11" i="5"/>
  <c r="B89" i="5"/>
  <c r="G89" i="5"/>
  <c r="A89" i="5"/>
  <c r="F89" i="5"/>
  <c r="E89" i="5"/>
  <c r="D89" i="5"/>
  <c r="C89" i="5"/>
  <c r="C167" i="5"/>
  <c r="B167" i="5"/>
  <c r="G167" i="5"/>
  <c r="A167" i="5"/>
  <c r="E167" i="5"/>
  <c r="D167" i="5"/>
  <c r="F167" i="5"/>
  <c r="G132" i="5"/>
  <c r="A132" i="5"/>
  <c r="F132" i="5"/>
  <c r="E132" i="5"/>
  <c r="D132" i="5"/>
  <c r="C132" i="5"/>
  <c r="B132" i="5"/>
  <c r="B12" i="5"/>
  <c r="G12" i="5"/>
  <c r="A12" i="5"/>
  <c r="F12" i="5"/>
  <c r="E12" i="5"/>
  <c r="D12" i="5"/>
  <c r="C12" i="5"/>
  <c r="D61" i="5"/>
  <c r="C61" i="5"/>
  <c r="B61" i="5"/>
  <c r="G61" i="5"/>
  <c r="A61" i="5"/>
  <c r="F61" i="5"/>
  <c r="E61" i="5"/>
  <c r="B38" i="5"/>
  <c r="G38" i="5"/>
  <c r="A38" i="5"/>
  <c r="F38" i="5"/>
  <c r="E38" i="5"/>
  <c r="D38" i="5"/>
  <c r="C38" i="5"/>
  <c r="G207" i="5"/>
  <c r="A207" i="5"/>
  <c r="F207" i="5"/>
  <c r="E207" i="5"/>
  <c r="C207" i="5"/>
  <c r="B207" i="5"/>
  <c r="D207" i="5"/>
  <c r="G171" i="5"/>
  <c r="A171" i="5"/>
  <c r="F171" i="5"/>
  <c r="E171" i="5"/>
  <c r="D171" i="5"/>
  <c r="C171" i="5"/>
  <c r="B171" i="5"/>
  <c r="C348" i="5"/>
  <c r="B348" i="5"/>
  <c r="E348" i="5"/>
  <c r="D348" i="5"/>
  <c r="A348" i="5"/>
  <c r="G348" i="5"/>
  <c r="F348" i="5"/>
  <c r="G310" i="5"/>
  <c r="A310" i="5"/>
  <c r="D310" i="5"/>
  <c r="F310" i="5"/>
  <c r="E310" i="5"/>
  <c r="C310" i="5"/>
  <c r="B310" i="5"/>
  <c r="G276" i="5"/>
  <c r="A276" i="5"/>
  <c r="B276" i="5"/>
  <c r="F276" i="5"/>
  <c r="D276" i="5"/>
  <c r="C276" i="5"/>
  <c r="E276" i="5"/>
  <c r="C330" i="5"/>
  <c r="B330" i="5"/>
  <c r="A330" i="5"/>
  <c r="G330" i="5"/>
  <c r="F330" i="5"/>
  <c r="E330" i="5"/>
  <c r="D330" i="5"/>
  <c r="G364" i="5"/>
  <c r="A364" i="5"/>
  <c r="F364" i="5"/>
  <c r="E364" i="5"/>
  <c r="D364" i="5"/>
  <c r="C364" i="5"/>
  <c r="B364" i="5"/>
  <c r="B279" i="5"/>
  <c r="G279" i="5"/>
  <c r="A279" i="5"/>
  <c r="F279" i="5"/>
  <c r="E279" i="5"/>
  <c r="C279" i="5"/>
  <c r="D279" i="5"/>
  <c r="D58" i="5"/>
  <c r="C58" i="5"/>
  <c r="B58" i="5"/>
  <c r="G58" i="5"/>
  <c r="A58" i="5"/>
  <c r="F58" i="5"/>
  <c r="E58" i="5"/>
  <c r="E187" i="5"/>
  <c r="D187" i="5"/>
  <c r="C187" i="5"/>
  <c r="G187" i="5"/>
  <c r="F187" i="5"/>
  <c r="B187" i="5"/>
  <c r="A187" i="5"/>
  <c r="E329" i="5"/>
  <c r="C329" i="5"/>
  <c r="A329" i="5"/>
  <c r="G329" i="5"/>
  <c r="F329" i="5"/>
  <c r="D329" i="5"/>
  <c r="B329" i="5"/>
  <c r="F114" i="5"/>
  <c r="E114" i="5"/>
  <c r="D114" i="5"/>
  <c r="C114" i="5"/>
  <c r="G114" i="5"/>
  <c r="B114" i="5"/>
  <c r="A114" i="5"/>
  <c r="D46" i="5"/>
  <c r="C46" i="5"/>
  <c r="B46" i="5"/>
  <c r="G46" i="5"/>
  <c r="A46" i="5"/>
  <c r="F46" i="5"/>
  <c r="E46" i="5"/>
  <c r="G183" i="5"/>
  <c r="A183" i="5"/>
  <c r="F183" i="5"/>
  <c r="E183" i="5"/>
  <c r="C183" i="5"/>
  <c r="B183" i="5"/>
  <c r="D183" i="5"/>
  <c r="G192" i="5"/>
  <c r="A192" i="5"/>
  <c r="F192" i="5"/>
  <c r="E192" i="5"/>
  <c r="C192" i="5"/>
  <c r="B192" i="5"/>
  <c r="D192" i="5"/>
  <c r="E169" i="5"/>
  <c r="D169" i="5"/>
  <c r="C169" i="5"/>
  <c r="A169" i="5"/>
  <c r="F169" i="5"/>
  <c r="B169" i="5"/>
  <c r="G169" i="5"/>
  <c r="E265" i="5"/>
  <c r="D265" i="5"/>
  <c r="C265" i="5"/>
  <c r="G265" i="5"/>
  <c r="F265" i="5"/>
  <c r="B265" i="5"/>
  <c r="A265" i="5"/>
  <c r="F292" i="5"/>
  <c r="E292" i="5"/>
  <c r="D292" i="5"/>
  <c r="C292" i="5"/>
  <c r="B292" i="5"/>
  <c r="A292" i="5"/>
  <c r="G292" i="5"/>
  <c r="C263" i="5"/>
  <c r="B263" i="5"/>
  <c r="G263" i="5"/>
  <c r="A263" i="5"/>
  <c r="F263" i="5"/>
  <c r="D263" i="5"/>
  <c r="E263" i="5"/>
  <c r="E365" i="5"/>
  <c r="F365" i="5"/>
  <c r="D365" i="5"/>
  <c r="C365" i="5"/>
  <c r="B365" i="5"/>
  <c r="G365" i="5"/>
  <c r="A365" i="5"/>
  <c r="C366" i="5"/>
  <c r="E366" i="5"/>
  <c r="D366" i="5"/>
  <c r="B366" i="5"/>
  <c r="A366" i="5"/>
  <c r="G366" i="5"/>
  <c r="F366" i="5"/>
  <c r="E145" i="5"/>
  <c r="D145" i="5"/>
  <c r="C145" i="5"/>
  <c r="A145" i="5"/>
  <c r="B145" i="5"/>
  <c r="G145" i="5"/>
  <c r="F145" i="5"/>
  <c r="G240" i="5"/>
  <c r="A240" i="5"/>
  <c r="F240" i="5"/>
  <c r="E240" i="5"/>
  <c r="C240" i="5"/>
  <c r="B240" i="5"/>
  <c r="D240" i="5"/>
  <c r="C185" i="5"/>
  <c r="B185" i="5"/>
  <c r="G185" i="5"/>
  <c r="A185" i="5"/>
  <c r="F185" i="5"/>
  <c r="D185" i="5"/>
  <c r="E185" i="5"/>
  <c r="G325" i="5"/>
  <c r="A325" i="5"/>
  <c r="F325" i="5"/>
  <c r="E325" i="5"/>
  <c r="D325" i="5"/>
  <c r="C325" i="5"/>
  <c r="B325" i="5"/>
  <c r="G156" i="5"/>
  <c r="A156" i="5"/>
  <c r="F156" i="5"/>
  <c r="E156" i="5"/>
  <c r="D156" i="5"/>
  <c r="B156" i="5"/>
  <c r="C156" i="5"/>
  <c r="F63" i="5"/>
  <c r="E63" i="5"/>
  <c r="D63" i="5"/>
  <c r="C63" i="5"/>
  <c r="G63" i="5"/>
  <c r="B63" i="5"/>
  <c r="A63" i="5"/>
  <c r="D85" i="5"/>
  <c r="C85" i="5"/>
  <c r="B85" i="5"/>
  <c r="G85" i="5"/>
  <c r="A85" i="5"/>
  <c r="F85" i="5"/>
  <c r="E85" i="5"/>
  <c r="B62" i="5"/>
  <c r="G62" i="5"/>
  <c r="A62" i="5"/>
  <c r="F62" i="5"/>
  <c r="E62" i="5"/>
  <c r="D62" i="5"/>
  <c r="C62" i="5"/>
  <c r="G231" i="5"/>
  <c r="A231" i="5"/>
  <c r="F231" i="5"/>
  <c r="E231" i="5"/>
  <c r="C231" i="5"/>
  <c r="B231" i="5"/>
  <c r="D231" i="5"/>
  <c r="E196" i="5"/>
  <c r="D196" i="5"/>
  <c r="C196" i="5"/>
  <c r="G196" i="5"/>
  <c r="F196" i="5"/>
  <c r="B196" i="5"/>
  <c r="A196" i="5"/>
  <c r="C140" i="5"/>
  <c r="B140" i="5"/>
  <c r="G140" i="5"/>
  <c r="A140" i="5"/>
  <c r="E140" i="5"/>
  <c r="F140" i="5"/>
  <c r="D140" i="5"/>
  <c r="C194" i="5"/>
  <c r="B194" i="5"/>
  <c r="G194" i="5"/>
  <c r="A194" i="5"/>
  <c r="F194" i="5"/>
  <c r="D194" i="5"/>
  <c r="E194" i="5"/>
  <c r="F302" i="5"/>
  <c r="D302" i="5"/>
  <c r="C302" i="5"/>
  <c r="B302" i="5"/>
  <c r="G302" i="5"/>
  <c r="E302" i="5"/>
  <c r="A302" i="5"/>
  <c r="B291" i="5"/>
  <c r="G291" i="5"/>
  <c r="A291" i="5"/>
  <c r="F291" i="5"/>
  <c r="E291" i="5"/>
  <c r="C291" i="5"/>
  <c r="D291" i="5"/>
  <c r="F16" i="5"/>
  <c r="E16" i="5"/>
  <c r="D16" i="5"/>
  <c r="C16" i="5"/>
  <c r="G16" i="5"/>
  <c r="B16" i="5"/>
  <c r="A16" i="5"/>
  <c r="F72" i="5"/>
  <c r="E72" i="5"/>
  <c r="D72" i="5"/>
  <c r="C72" i="5"/>
  <c r="G72" i="5"/>
  <c r="B72" i="5"/>
  <c r="A72" i="5"/>
  <c r="D88" i="5"/>
  <c r="C88" i="5"/>
  <c r="B88" i="5"/>
  <c r="G88" i="5"/>
  <c r="A88" i="5"/>
  <c r="F88" i="5"/>
  <c r="E88" i="5"/>
  <c r="B65" i="5"/>
  <c r="G65" i="5"/>
  <c r="A65" i="5"/>
  <c r="F65" i="5"/>
  <c r="E65" i="5"/>
  <c r="D65" i="5"/>
  <c r="C65" i="5"/>
  <c r="G234" i="5"/>
  <c r="A234" i="5"/>
  <c r="F234" i="5"/>
  <c r="E234" i="5"/>
  <c r="C234" i="5"/>
  <c r="B234" i="5"/>
  <c r="D234" i="5"/>
  <c r="E199" i="5"/>
  <c r="D199" i="5"/>
  <c r="C199" i="5"/>
  <c r="G199" i="5"/>
  <c r="F199" i="5"/>
  <c r="B199" i="5"/>
  <c r="A199" i="5"/>
  <c r="C143" i="5"/>
  <c r="B143" i="5"/>
  <c r="G143" i="5"/>
  <c r="A143" i="5"/>
  <c r="E143" i="5"/>
  <c r="D143" i="5"/>
  <c r="F143" i="5"/>
  <c r="C197" i="5"/>
  <c r="B197" i="5"/>
  <c r="G197" i="5"/>
  <c r="A197" i="5"/>
  <c r="F197" i="5"/>
  <c r="D197" i="5"/>
  <c r="E197" i="5"/>
  <c r="C306" i="5"/>
  <c r="G306" i="5"/>
  <c r="D306" i="5"/>
  <c r="B306" i="5"/>
  <c r="A306" i="5"/>
  <c r="F306" i="5"/>
  <c r="E306" i="5"/>
  <c r="D297" i="5"/>
  <c r="A297" i="5"/>
  <c r="G297" i="5"/>
  <c r="F297" i="5"/>
  <c r="E297" i="5"/>
  <c r="C297" i="5"/>
  <c r="B297" i="5"/>
  <c r="G201" i="5"/>
  <c r="A201" i="5"/>
  <c r="F201" i="5"/>
  <c r="E201" i="5"/>
  <c r="C201" i="5"/>
  <c r="B201" i="5"/>
  <c r="D201" i="5"/>
  <c r="B86" i="5"/>
  <c r="G86" i="5"/>
  <c r="A86" i="5"/>
  <c r="F86" i="5"/>
  <c r="E86" i="5"/>
  <c r="D86" i="5"/>
  <c r="C86" i="5"/>
  <c r="E160" i="5"/>
  <c r="D160" i="5"/>
  <c r="C160" i="5"/>
  <c r="A160" i="5"/>
  <c r="F160" i="5"/>
  <c r="B160" i="5"/>
  <c r="G160" i="5"/>
  <c r="D109" i="5"/>
  <c r="C109" i="5"/>
  <c r="B109" i="5"/>
  <c r="G109" i="5"/>
  <c r="A109" i="5"/>
  <c r="F109" i="5"/>
  <c r="E109" i="5"/>
  <c r="B104" i="5"/>
  <c r="G104" i="5"/>
  <c r="A104" i="5"/>
  <c r="F104" i="5"/>
  <c r="E104" i="5"/>
  <c r="D104" i="5"/>
  <c r="C104" i="5"/>
  <c r="C128" i="5"/>
  <c r="B128" i="5"/>
  <c r="G128" i="5"/>
  <c r="A128" i="5"/>
  <c r="E128" i="5"/>
  <c r="F128" i="5"/>
  <c r="D128" i="5"/>
  <c r="B68" i="5"/>
  <c r="G68" i="5"/>
  <c r="A68" i="5"/>
  <c r="F68" i="5"/>
  <c r="E68" i="5"/>
  <c r="D68" i="5"/>
  <c r="C68" i="5"/>
  <c r="F66" i="5"/>
  <c r="E66" i="5"/>
  <c r="D66" i="5"/>
  <c r="C66" i="5"/>
  <c r="B66" i="5"/>
  <c r="A66" i="5"/>
  <c r="G66" i="5"/>
  <c r="B56" i="5"/>
  <c r="G56" i="5"/>
  <c r="A56" i="5"/>
  <c r="F56" i="5"/>
  <c r="E56" i="5"/>
  <c r="D56" i="5"/>
  <c r="C56" i="5"/>
  <c r="C188" i="5"/>
  <c r="B188" i="5"/>
  <c r="G188" i="5"/>
  <c r="A188" i="5"/>
  <c r="F188" i="5"/>
  <c r="D188" i="5"/>
  <c r="E188" i="5"/>
  <c r="C236" i="5"/>
  <c r="B236" i="5"/>
  <c r="G236" i="5"/>
  <c r="A236" i="5"/>
  <c r="F236" i="5"/>
  <c r="D236" i="5"/>
  <c r="E236" i="5"/>
  <c r="E259" i="5"/>
  <c r="D259" i="5"/>
  <c r="C259" i="5"/>
  <c r="G259" i="5"/>
  <c r="F259" i="5"/>
  <c r="B259" i="5"/>
  <c r="A259" i="5"/>
  <c r="F10" i="5"/>
  <c r="E10" i="5"/>
  <c r="D10" i="5"/>
  <c r="C10" i="5"/>
  <c r="B10" i="5"/>
  <c r="A10" i="5"/>
  <c r="G10" i="5"/>
  <c r="B41" i="5"/>
  <c r="G41" i="5"/>
  <c r="A41" i="5"/>
  <c r="F41" i="5"/>
  <c r="E41" i="5"/>
  <c r="D41" i="5"/>
  <c r="C41" i="5"/>
  <c r="B119" i="5"/>
  <c r="G119" i="5"/>
  <c r="A119" i="5"/>
  <c r="E119" i="5"/>
  <c r="F119" i="5"/>
  <c r="D119" i="5"/>
  <c r="C119" i="5"/>
  <c r="C342" i="5"/>
  <c r="G342" i="5"/>
  <c r="A342" i="5"/>
  <c r="F342" i="5"/>
  <c r="E342" i="5"/>
  <c r="D342" i="5"/>
  <c r="B342" i="5"/>
  <c r="C221" i="5"/>
  <c r="B221" i="5"/>
  <c r="G221" i="5"/>
  <c r="A221" i="5"/>
  <c r="F221" i="5"/>
  <c r="D221" i="5"/>
  <c r="E221" i="5"/>
  <c r="D103" i="5"/>
  <c r="C103" i="5"/>
  <c r="B103" i="5"/>
  <c r="G103" i="5"/>
  <c r="A103" i="5"/>
  <c r="F103" i="5"/>
  <c r="E103" i="5"/>
  <c r="E214" i="5"/>
  <c r="D214" i="5"/>
  <c r="C214" i="5"/>
  <c r="G214" i="5"/>
  <c r="F214" i="5"/>
  <c r="B214" i="5"/>
  <c r="A214" i="5"/>
  <c r="E139" i="5"/>
  <c r="D139" i="5"/>
  <c r="C139" i="5"/>
  <c r="A139" i="5"/>
  <c r="G139" i="5"/>
  <c r="F139" i="5"/>
  <c r="B139" i="5"/>
  <c r="G252" i="5"/>
  <c r="A252" i="5"/>
  <c r="F252" i="5"/>
  <c r="E252" i="5"/>
  <c r="C252" i="5"/>
  <c r="B252" i="5"/>
  <c r="D252" i="5"/>
  <c r="E217" i="5"/>
  <c r="D217" i="5"/>
  <c r="C217" i="5"/>
  <c r="G217" i="5"/>
  <c r="F217" i="5"/>
  <c r="B217" i="5"/>
  <c r="A217" i="5"/>
  <c r="E356" i="5"/>
  <c r="D356" i="5"/>
  <c r="C356" i="5"/>
  <c r="G356" i="5"/>
  <c r="F356" i="5"/>
  <c r="B356" i="5"/>
  <c r="A356" i="5"/>
  <c r="B32" i="5"/>
  <c r="G32" i="5"/>
  <c r="A32" i="5"/>
  <c r="F32" i="5"/>
  <c r="E32" i="5"/>
  <c r="D32" i="5"/>
  <c r="C32" i="5"/>
  <c r="G186" i="5"/>
  <c r="A186" i="5"/>
  <c r="F186" i="5"/>
  <c r="E186" i="5"/>
  <c r="C186" i="5"/>
  <c r="B186" i="5"/>
  <c r="D186" i="5"/>
  <c r="G162" i="5"/>
  <c r="A162" i="5"/>
  <c r="F162" i="5"/>
  <c r="E162" i="5"/>
  <c r="D162" i="5"/>
  <c r="C162" i="5"/>
  <c r="B162" i="5"/>
  <c r="B50" i="5"/>
  <c r="G50" i="5"/>
  <c r="A50" i="5"/>
  <c r="F50" i="5"/>
  <c r="E50" i="5"/>
  <c r="D50" i="5"/>
  <c r="C50" i="5"/>
  <c r="G168" i="5"/>
  <c r="A168" i="5"/>
  <c r="F168" i="5"/>
  <c r="E168" i="5"/>
  <c r="D168" i="5"/>
  <c r="C168" i="5"/>
  <c r="B168" i="5"/>
  <c r="F22" i="5"/>
  <c r="E22" i="5"/>
  <c r="D22" i="5"/>
  <c r="C22" i="5"/>
  <c r="G22" i="5"/>
  <c r="B22" i="5"/>
  <c r="A22" i="5"/>
  <c r="D91" i="5"/>
  <c r="C91" i="5"/>
  <c r="B91" i="5"/>
  <c r="G91" i="5"/>
  <c r="A91" i="5"/>
  <c r="F91" i="5"/>
  <c r="E91" i="5"/>
  <c r="C336" i="5"/>
  <c r="E336" i="5"/>
  <c r="F336" i="5"/>
  <c r="D336" i="5"/>
  <c r="B336" i="5"/>
  <c r="G336" i="5"/>
  <c r="A336" i="5"/>
  <c r="F90" i="5"/>
  <c r="E90" i="5"/>
  <c r="D90" i="5"/>
  <c r="C90" i="5"/>
  <c r="G90" i="5"/>
  <c r="B90" i="5"/>
  <c r="A90" i="5"/>
  <c r="G258" i="5"/>
  <c r="A258" i="5"/>
  <c r="F258" i="5"/>
  <c r="E258" i="5"/>
  <c r="C258" i="5"/>
  <c r="B258" i="5"/>
  <c r="D258" i="5"/>
  <c r="C203" i="5"/>
  <c r="B203" i="5"/>
  <c r="G203" i="5"/>
  <c r="A203" i="5"/>
  <c r="F203" i="5"/>
  <c r="D203" i="5"/>
  <c r="E203" i="5"/>
  <c r="F102" i="5"/>
  <c r="E102" i="5"/>
  <c r="D102" i="5"/>
  <c r="C102" i="5"/>
  <c r="B102" i="5"/>
  <c r="A102" i="5"/>
  <c r="G102" i="5"/>
  <c r="F99" i="5"/>
  <c r="E99" i="5"/>
  <c r="D99" i="5"/>
  <c r="C99" i="5"/>
  <c r="G99" i="5"/>
  <c r="B99" i="5"/>
  <c r="A99" i="5"/>
  <c r="D97" i="5"/>
  <c r="C97" i="5"/>
  <c r="B97" i="5"/>
  <c r="G97" i="5"/>
  <c r="A97" i="5"/>
  <c r="F97" i="5"/>
  <c r="E97" i="5"/>
  <c r="B74" i="5"/>
  <c r="G74" i="5"/>
  <c r="A74" i="5"/>
  <c r="F74" i="5"/>
  <c r="E74" i="5"/>
  <c r="D74" i="5"/>
  <c r="C74" i="5"/>
  <c r="G243" i="5"/>
  <c r="A243" i="5"/>
  <c r="F243" i="5"/>
  <c r="E243" i="5"/>
  <c r="C243" i="5"/>
  <c r="B243" i="5"/>
  <c r="D243" i="5"/>
  <c r="E208" i="5"/>
  <c r="D208" i="5"/>
  <c r="C208" i="5"/>
  <c r="G208" i="5"/>
  <c r="F208" i="5"/>
  <c r="B208" i="5"/>
  <c r="A208" i="5"/>
  <c r="C152" i="5"/>
  <c r="B152" i="5"/>
  <c r="G152" i="5"/>
  <c r="A152" i="5"/>
  <c r="E152" i="5"/>
  <c r="F152" i="5"/>
  <c r="D152" i="5"/>
  <c r="C206" i="5"/>
  <c r="B206" i="5"/>
  <c r="G206" i="5"/>
  <c r="A206" i="5"/>
  <c r="F206" i="5"/>
  <c r="D206" i="5"/>
  <c r="E206" i="5"/>
  <c r="E347" i="5"/>
  <c r="C347" i="5"/>
  <c r="D347" i="5"/>
  <c r="B347" i="5"/>
  <c r="A347" i="5"/>
  <c r="G347" i="5"/>
  <c r="F347" i="5"/>
  <c r="E326" i="5"/>
  <c r="F326" i="5"/>
  <c r="G326" i="5"/>
  <c r="D326" i="5"/>
  <c r="C326" i="5"/>
  <c r="B326" i="5"/>
  <c r="A326" i="5"/>
  <c r="C272" i="5"/>
  <c r="B272" i="5"/>
  <c r="G272" i="5"/>
  <c r="A272" i="5"/>
  <c r="F272" i="5"/>
  <c r="D272" i="5"/>
  <c r="E272" i="5"/>
  <c r="G358" i="5"/>
  <c r="A358" i="5"/>
  <c r="C358" i="5"/>
  <c r="B358" i="5"/>
  <c r="D358" i="5"/>
  <c r="F358" i="5"/>
  <c r="E358" i="5"/>
  <c r="B53" i="5"/>
  <c r="G53" i="5"/>
  <c r="A53" i="5"/>
  <c r="F53" i="5"/>
  <c r="E53" i="5"/>
  <c r="D53" i="5"/>
  <c r="C53" i="5"/>
  <c r="C149" i="5"/>
  <c r="B149" i="5"/>
  <c r="G149" i="5"/>
  <c r="A149" i="5"/>
  <c r="E149" i="5"/>
  <c r="D149" i="5"/>
  <c r="F149" i="5"/>
  <c r="F93" i="5"/>
  <c r="E93" i="5"/>
  <c r="D93" i="5"/>
  <c r="C93" i="5"/>
  <c r="B93" i="5"/>
  <c r="A93" i="5"/>
  <c r="G93" i="5"/>
  <c r="F54" i="5"/>
  <c r="E54" i="5"/>
  <c r="D54" i="5"/>
  <c r="C54" i="5"/>
  <c r="G54" i="5"/>
  <c r="B54" i="5"/>
  <c r="A54" i="5"/>
  <c r="D82" i="5"/>
  <c r="C82" i="5"/>
  <c r="B82" i="5"/>
  <c r="G82" i="5"/>
  <c r="A82" i="5"/>
  <c r="F82" i="5"/>
  <c r="E82" i="5"/>
  <c r="B59" i="5"/>
  <c r="G59" i="5"/>
  <c r="A59" i="5"/>
  <c r="F59" i="5"/>
  <c r="E59" i="5"/>
  <c r="D59" i="5"/>
  <c r="C59" i="5"/>
  <c r="G228" i="5"/>
  <c r="A228" i="5"/>
  <c r="F228" i="5"/>
  <c r="E228" i="5"/>
  <c r="C228" i="5"/>
  <c r="B228" i="5"/>
  <c r="D228" i="5"/>
  <c r="E193" i="5"/>
  <c r="D193" i="5"/>
  <c r="C193" i="5"/>
  <c r="G193" i="5"/>
  <c r="F193" i="5"/>
  <c r="B193" i="5"/>
  <c r="A193" i="5"/>
  <c r="C137" i="5"/>
  <c r="B137" i="5"/>
  <c r="G137" i="5"/>
  <c r="A137" i="5"/>
  <c r="E137" i="5"/>
  <c r="F137" i="5"/>
  <c r="D137" i="5"/>
  <c r="C191" i="5"/>
  <c r="B191" i="5"/>
  <c r="G191" i="5"/>
  <c r="A191" i="5"/>
  <c r="F191" i="5"/>
  <c r="D191" i="5"/>
  <c r="E191" i="5"/>
  <c r="F293" i="5"/>
  <c r="D293" i="5"/>
  <c r="C293" i="5"/>
  <c r="B293" i="5"/>
  <c r="G293" i="5"/>
  <c r="E293" i="5"/>
  <c r="A293" i="5"/>
  <c r="B288" i="5"/>
  <c r="G288" i="5"/>
  <c r="A288" i="5"/>
  <c r="F288" i="5"/>
  <c r="E288" i="5"/>
  <c r="D288" i="5"/>
  <c r="C288" i="5"/>
  <c r="C360" i="5"/>
  <c r="A360" i="5"/>
  <c r="G360" i="5"/>
  <c r="F360" i="5"/>
  <c r="B360" i="5"/>
  <c r="E360" i="5"/>
  <c r="D360" i="5"/>
  <c r="E335" i="5"/>
  <c r="F335" i="5"/>
  <c r="D335" i="5"/>
  <c r="C335" i="5"/>
  <c r="B335" i="5"/>
  <c r="A335" i="5"/>
  <c r="G335" i="5"/>
  <c r="E205" i="5"/>
  <c r="D205" i="5"/>
  <c r="C205" i="5"/>
  <c r="G205" i="5"/>
  <c r="F205" i="5"/>
  <c r="B205" i="5"/>
  <c r="A205" i="5"/>
  <c r="C257" i="5"/>
  <c r="B257" i="5"/>
  <c r="G257" i="5"/>
  <c r="A257" i="5"/>
  <c r="F257" i="5"/>
  <c r="D257" i="5"/>
  <c r="E257" i="5"/>
  <c r="E332" i="5"/>
  <c r="A332" i="5"/>
  <c r="C332" i="5"/>
  <c r="B332" i="5"/>
  <c r="G332" i="5"/>
  <c r="F332" i="5"/>
  <c r="D332" i="5"/>
  <c r="D20" i="5"/>
  <c r="C20" i="5"/>
  <c r="B20" i="5"/>
  <c r="G20" i="5"/>
  <c r="A20" i="5"/>
  <c r="F20" i="5"/>
  <c r="E20" i="5"/>
  <c r="G129" i="5"/>
  <c r="A129" i="5"/>
  <c r="F129" i="5"/>
  <c r="E129" i="5"/>
  <c r="B129" i="5"/>
  <c r="D129" i="5"/>
  <c r="C129" i="5"/>
  <c r="G150" i="5"/>
  <c r="A150" i="5"/>
  <c r="F150" i="5"/>
  <c r="E150" i="5"/>
  <c r="D150" i="5"/>
  <c r="C150" i="5"/>
  <c r="B150" i="5"/>
  <c r="B98" i="5"/>
  <c r="G98" i="5"/>
  <c r="A98" i="5"/>
  <c r="F98" i="5"/>
  <c r="E98" i="5"/>
  <c r="D98" i="5"/>
  <c r="C98" i="5"/>
  <c r="G267" i="5"/>
  <c r="A267" i="5"/>
  <c r="F267" i="5"/>
  <c r="E267" i="5"/>
  <c r="C267" i="5"/>
  <c r="B267" i="5"/>
  <c r="D267" i="5"/>
  <c r="E232" i="5"/>
  <c r="D232" i="5"/>
  <c r="C232" i="5"/>
  <c r="G232" i="5"/>
  <c r="F232" i="5"/>
  <c r="B232" i="5"/>
  <c r="A232" i="5"/>
  <c r="C176" i="5"/>
  <c r="B176" i="5"/>
  <c r="G176" i="5"/>
  <c r="A176" i="5"/>
  <c r="E176" i="5"/>
  <c r="D176" i="5"/>
  <c r="F176" i="5"/>
  <c r="C230" i="5"/>
  <c r="B230" i="5"/>
  <c r="G230" i="5"/>
  <c r="A230" i="5"/>
  <c r="F230" i="5"/>
  <c r="D230" i="5"/>
  <c r="E230" i="5"/>
  <c r="D294" i="5"/>
  <c r="C294" i="5"/>
  <c r="B294" i="5"/>
  <c r="A294" i="5"/>
  <c r="G294" i="5"/>
  <c r="F294" i="5"/>
  <c r="E294" i="5"/>
  <c r="E305" i="5"/>
  <c r="A305" i="5"/>
  <c r="C305" i="5"/>
  <c r="B305" i="5"/>
  <c r="G305" i="5"/>
  <c r="F305" i="5"/>
  <c r="D305" i="5"/>
  <c r="E24" i="5"/>
  <c r="C24" i="5"/>
  <c r="B24" i="5"/>
  <c r="A24" i="5"/>
  <c r="G24" i="5"/>
  <c r="F24" i="5"/>
  <c r="D24" i="5"/>
  <c r="E136" i="5"/>
  <c r="D136" i="5"/>
  <c r="C136" i="5"/>
  <c r="A136" i="5"/>
  <c r="B136" i="5"/>
  <c r="G136" i="5"/>
  <c r="F136" i="5"/>
  <c r="G159" i="5"/>
  <c r="A159" i="5"/>
  <c r="F159" i="5"/>
  <c r="E159" i="5"/>
  <c r="D159" i="5"/>
  <c r="C159" i="5"/>
  <c r="B159" i="5"/>
  <c r="B101" i="5"/>
  <c r="G101" i="5"/>
  <c r="A101" i="5"/>
  <c r="F101" i="5"/>
  <c r="E101" i="5"/>
  <c r="D101" i="5"/>
  <c r="C101" i="5"/>
  <c r="G270" i="5"/>
  <c r="A270" i="5"/>
  <c r="F270" i="5"/>
  <c r="E270" i="5"/>
  <c r="C270" i="5"/>
  <c r="B270" i="5"/>
  <c r="D270" i="5"/>
  <c r="E235" i="5"/>
  <c r="D235" i="5"/>
  <c r="C235" i="5"/>
  <c r="G235" i="5"/>
  <c r="F235" i="5"/>
  <c r="B235" i="5"/>
  <c r="A235" i="5"/>
  <c r="C179" i="5"/>
  <c r="B179" i="5"/>
  <c r="G179" i="5"/>
  <c r="A179" i="5"/>
  <c r="E179" i="5"/>
  <c r="D179" i="5"/>
  <c r="F179" i="5"/>
  <c r="C233" i="5"/>
  <c r="B233" i="5"/>
  <c r="G233" i="5"/>
  <c r="A233" i="5"/>
  <c r="F233" i="5"/>
  <c r="D233" i="5"/>
  <c r="E233" i="5"/>
  <c r="D303" i="5"/>
  <c r="C303" i="5"/>
  <c r="B303" i="5"/>
  <c r="A303" i="5"/>
  <c r="G303" i="5"/>
  <c r="F303" i="5"/>
  <c r="E303" i="5"/>
  <c r="E314" i="5"/>
  <c r="A314" i="5"/>
  <c r="G314" i="5"/>
  <c r="F314" i="5"/>
  <c r="D314" i="5"/>
  <c r="C314" i="5"/>
  <c r="B314" i="5"/>
  <c r="D55" i="5"/>
  <c r="C55" i="5"/>
  <c r="B55" i="5"/>
  <c r="G55" i="5"/>
  <c r="A55" i="5"/>
  <c r="F55" i="5"/>
  <c r="E55" i="5"/>
  <c r="G219" i="5"/>
  <c r="A219" i="5"/>
  <c r="F219" i="5"/>
  <c r="E219" i="5"/>
  <c r="C219" i="5"/>
  <c r="B219" i="5"/>
  <c r="D219" i="5"/>
  <c r="G135" i="5"/>
  <c r="A135" i="5"/>
  <c r="F135" i="5"/>
  <c r="E135" i="5"/>
  <c r="D135" i="5"/>
  <c r="C135" i="5"/>
  <c r="B135" i="5"/>
  <c r="F27" i="5"/>
  <c r="E27" i="5"/>
  <c r="D27" i="5"/>
  <c r="C27" i="5"/>
  <c r="G27" i="5"/>
  <c r="B27" i="5"/>
  <c r="A27" i="5"/>
  <c r="G138" i="5"/>
  <c r="A138" i="5"/>
  <c r="F138" i="5"/>
  <c r="E138" i="5"/>
  <c r="B138" i="5"/>
  <c r="D138" i="5"/>
  <c r="C138" i="5"/>
  <c r="C218" i="5"/>
  <c r="B218" i="5"/>
  <c r="G218" i="5"/>
  <c r="A218" i="5"/>
  <c r="F218" i="5"/>
  <c r="D218" i="5"/>
  <c r="E218" i="5"/>
  <c r="B295" i="5"/>
  <c r="C295" i="5"/>
  <c r="A295" i="5"/>
  <c r="G295" i="5"/>
  <c r="F295" i="5"/>
  <c r="E295" i="5"/>
  <c r="D295" i="5"/>
  <c r="C158" i="5"/>
  <c r="B158" i="5"/>
  <c r="G158" i="5"/>
  <c r="A158" i="5"/>
  <c r="E158" i="5"/>
  <c r="D158" i="5"/>
  <c r="F158" i="5"/>
  <c r="E118" i="5"/>
  <c r="D118" i="5"/>
  <c r="C118" i="5"/>
  <c r="B118" i="5"/>
  <c r="A118" i="5"/>
  <c r="G118" i="5"/>
  <c r="F118" i="5"/>
  <c r="D287" i="5"/>
  <c r="C287" i="5"/>
  <c r="B287" i="5"/>
  <c r="G287" i="5"/>
  <c r="F287" i="5"/>
  <c r="E287" i="5"/>
  <c r="A287" i="5"/>
  <c r="G319" i="5"/>
  <c r="A319" i="5"/>
  <c r="D319" i="5"/>
  <c r="C319" i="5"/>
  <c r="B319" i="5"/>
  <c r="F319" i="5"/>
  <c r="E319" i="5"/>
  <c r="F39" i="5"/>
  <c r="E39" i="5"/>
  <c r="D39" i="5"/>
  <c r="C39" i="5"/>
  <c r="B39" i="5"/>
  <c r="A39" i="5"/>
  <c r="G39" i="5"/>
  <c r="B107" i="5"/>
  <c r="G107" i="5"/>
  <c r="A107" i="5"/>
  <c r="F107" i="5"/>
  <c r="E107" i="5"/>
  <c r="D107" i="5"/>
  <c r="C107" i="5"/>
  <c r="G346" i="5"/>
  <c r="A346" i="5"/>
  <c r="D346" i="5"/>
  <c r="C346" i="5"/>
  <c r="B346" i="5"/>
  <c r="F346" i="5"/>
  <c r="E346" i="5"/>
  <c r="G23" i="5"/>
  <c r="D23" i="5"/>
  <c r="C23" i="5"/>
  <c r="B23" i="5"/>
  <c r="A23" i="5"/>
  <c r="F23" i="5"/>
  <c r="E23" i="5"/>
  <c r="F108" i="5"/>
  <c r="E108" i="5"/>
  <c r="D108" i="5"/>
  <c r="C108" i="5"/>
  <c r="G108" i="5"/>
  <c r="B108" i="5"/>
  <c r="A108" i="5"/>
  <c r="D100" i="5"/>
  <c r="C100" i="5"/>
  <c r="B100" i="5"/>
  <c r="G100" i="5"/>
  <c r="A100" i="5"/>
  <c r="F100" i="5"/>
  <c r="E100" i="5"/>
  <c r="B77" i="5"/>
  <c r="G77" i="5"/>
  <c r="A77" i="5"/>
  <c r="F77" i="5"/>
  <c r="E77" i="5"/>
  <c r="D77" i="5"/>
  <c r="C77" i="5"/>
  <c r="G246" i="5"/>
  <c r="A246" i="5"/>
  <c r="F246" i="5"/>
  <c r="E246" i="5"/>
  <c r="C246" i="5"/>
  <c r="B246" i="5"/>
  <c r="D246" i="5"/>
  <c r="E211" i="5"/>
  <c r="D211" i="5"/>
  <c r="C211" i="5"/>
  <c r="G211" i="5"/>
  <c r="F211" i="5"/>
  <c r="B211" i="5"/>
  <c r="A211" i="5"/>
  <c r="C155" i="5"/>
  <c r="B155" i="5"/>
  <c r="G155" i="5"/>
  <c r="A155" i="5"/>
  <c r="E155" i="5"/>
  <c r="F155" i="5"/>
  <c r="D155" i="5"/>
  <c r="C209" i="5"/>
  <c r="B209" i="5"/>
  <c r="G209" i="5"/>
  <c r="A209" i="5"/>
  <c r="F209" i="5"/>
  <c r="D209" i="5"/>
  <c r="E209" i="5"/>
  <c r="C354" i="5"/>
  <c r="F354" i="5"/>
  <c r="E354" i="5"/>
  <c r="B354" i="5"/>
  <c r="A354" i="5"/>
  <c r="G354" i="5"/>
  <c r="D354" i="5"/>
  <c r="C327" i="5"/>
  <c r="E327" i="5"/>
  <c r="G327" i="5"/>
  <c r="F327" i="5"/>
  <c r="D327" i="5"/>
  <c r="B327" i="5"/>
  <c r="A327" i="5"/>
  <c r="F75" i="5"/>
  <c r="E75" i="5"/>
  <c r="D75" i="5"/>
  <c r="C75" i="5"/>
  <c r="B75" i="5"/>
  <c r="A75" i="5"/>
  <c r="G75" i="5"/>
  <c r="B35" i="5"/>
  <c r="G35" i="5"/>
  <c r="A35" i="5"/>
  <c r="F35" i="5"/>
  <c r="E35" i="5"/>
  <c r="D35" i="5"/>
  <c r="C35" i="5"/>
  <c r="E241" i="5"/>
  <c r="D241" i="5"/>
  <c r="C241" i="5"/>
  <c r="G241" i="5"/>
  <c r="F241" i="5"/>
  <c r="B241" i="5"/>
  <c r="A241" i="5"/>
  <c r="C321" i="5"/>
  <c r="B321" i="5"/>
  <c r="E321" i="5"/>
  <c r="D321" i="5"/>
  <c r="A321" i="5"/>
  <c r="G321" i="5"/>
  <c r="F321" i="5"/>
  <c r="G361" i="5"/>
  <c r="A361" i="5"/>
  <c r="F361" i="5"/>
  <c r="E361" i="5"/>
  <c r="D361" i="5"/>
  <c r="C361" i="5"/>
  <c r="B361" i="5"/>
  <c r="F69" i="5"/>
  <c r="E69" i="5"/>
  <c r="D69" i="5"/>
  <c r="C69" i="5"/>
  <c r="G69" i="5"/>
  <c r="B69" i="5"/>
  <c r="A69" i="5"/>
  <c r="D31" i="5"/>
  <c r="C31" i="5"/>
  <c r="B31" i="5"/>
  <c r="G31" i="5"/>
  <c r="A31" i="5"/>
  <c r="F31" i="5"/>
  <c r="E31" i="5"/>
  <c r="G126" i="5"/>
  <c r="A126" i="5"/>
  <c r="F126" i="5"/>
  <c r="E126" i="5"/>
  <c r="D126" i="5"/>
  <c r="C126" i="5"/>
  <c r="B126" i="5"/>
  <c r="B116" i="5"/>
  <c r="G116" i="5"/>
  <c r="A116" i="5"/>
  <c r="F116" i="5"/>
  <c r="E116" i="5"/>
  <c r="D116" i="5"/>
  <c r="C116" i="5"/>
  <c r="E154" i="5"/>
  <c r="D154" i="5"/>
  <c r="C154" i="5"/>
  <c r="A154" i="5"/>
  <c r="G154" i="5"/>
  <c r="F154" i="5"/>
  <c r="B154" i="5"/>
  <c r="E250" i="5"/>
  <c r="D250" i="5"/>
  <c r="C250" i="5"/>
  <c r="G250" i="5"/>
  <c r="F250" i="5"/>
  <c r="B250" i="5"/>
  <c r="A250" i="5"/>
  <c r="G355" i="5"/>
  <c r="A355" i="5"/>
  <c r="E355" i="5"/>
  <c r="D355" i="5"/>
  <c r="F355" i="5"/>
  <c r="C355" i="5"/>
  <c r="B355" i="5"/>
  <c r="C248" i="5"/>
  <c r="B248" i="5"/>
  <c r="G248" i="5"/>
  <c r="A248" i="5"/>
  <c r="F248" i="5"/>
  <c r="D248" i="5"/>
  <c r="E248" i="5"/>
  <c r="G331" i="5"/>
  <c r="A331" i="5"/>
  <c r="B331" i="5"/>
  <c r="C331" i="5"/>
  <c r="F331" i="5"/>
  <c r="E331" i="5"/>
  <c r="D331" i="5"/>
  <c r="E359" i="5"/>
  <c r="B359" i="5"/>
  <c r="A359" i="5"/>
  <c r="G359" i="5"/>
  <c r="F359" i="5"/>
  <c r="D359" i="5"/>
  <c r="C359" i="5"/>
  <c r="F78" i="5"/>
  <c r="E78" i="5"/>
  <c r="D78" i="5"/>
  <c r="C78" i="5"/>
  <c r="G78" i="5"/>
  <c r="B78" i="5"/>
  <c r="A78" i="5"/>
  <c r="D34" i="5"/>
  <c r="C34" i="5"/>
  <c r="B34" i="5"/>
  <c r="G34" i="5"/>
  <c r="A34" i="5"/>
  <c r="F34" i="5"/>
  <c r="E34" i="5"/>
  <c r="E133" i="5"/>
  <c r="D133" i="5"/>
  <c r="C133" i="5"/>
  <c r="A133" i="5"/>
  <c r="G133" i="5"/>
  <c r="F133" i="5"/>
  <c r="B133" i="5"/>
  <c r="G153" i="5"/>
  <c r="A153" i="5"/>
  <c r="F153" i="5"/>
  <c r="E153" i="5"/>
  <c r="D153" i="5"/>
  <c r="C153" i="5"/>
  <c r="B153" i="5"/>
  <c r="E157" i="5"/>
  <c r="D157" i="5"/>
  <c r="C157" i="5"/>
  <c r="A157" i="5"/>
  <c r="G157" i="5"/>
  <c r="F157" i="5"/>
  <c r="B157" i="5"/>
  <c r="E253" i="5"/>
  <c r="D253" i="5"/>
  <c r="C253" i="5"/>
  <c r="G253" i="5"/>
  <c r="F253" i="5"/>
  <c r="B253" i="5"/>
  <c r="A253" i="5"/>
  <c r="F280" i="5"/>
  <c r="E280" i="5"/>
  <c r="D280" i="5"/>
  <c r="C280" i="5"/>
  <c r="B280" i="5"/>
  <c r="A280" i="5"/>
  <c r="G280" i="5"/>
  <c r="C251" i="5"/>
  <c r="B251" i="5"/>
  <c r="G251" i="5"/>
  <c r="A251" i="5"/>
  <c r="F251" i="5"/>
  <c r="D251" i="5"/>
  <c r="E251" i="5"/>
  <c r="G343" i="5"/>
  <c r="A343" i="5"/>
  <c r="F343" i="5"/>
  <c r="B343" i="5"/>
  <c r="E343" i="5"/>
  <c r="D343" i="5"/>
  <c r="C343" i="5"/>
  <c r="G352" i="5"/>
  <c r="A352" i="5"/>
  <c r="F352" i="5"/>
  <c r="E352" i="5"/>
  <c r="D352" i="5"/>
  <c r="C352" i="5"/>
  <c r="B352" i="5"/>
  <c r="G141" i="5"/>
  <c r="A141" i="5"/>
  <c r="F141" i="5"/>
  <c r="E141" i="5"/>
  <c r="D141" i="5"/>
  <c r="C141" i="5"/>
  <c r="B141" i="5"/>
  <c r="D73" i="5"/>
  <c r="C73" i="5"/>
  <c r="B73" i="5"/>
  <c r="G73" i="5"/>
  <c r="A73" i="5"/>
  <c r="F73" i="5"/>
  <c r="E73" i="5"/>
  <c r="D37" i="5"/>
  <c r="C37" i="5"/>
  <c r="B37" i="5"/>
  <c r="G37" i="5"/>
  <c r="A37" i="5"/>
  <c r="F37" i="5"/>
  <c r="E37" i="5"/>
  <c r="F299" i="5"/>
  <c r="G299" i="5"/>
  <c r="E299" i="5"/>
  <c r="D299" i="5"/>
  <c r="C299" i="5"/>
  <c r="B299" i="5"/>
  <c r="A299" i="5"/>
  <c r="F33" i="5"/>
  <c r="E33" i="5"/>
  <c r="D33" i="5"/>
  <c r="C33" i="5"/>
  <c r="G33" i="5"/>
  <c r="B33" i="5"/>
  <c r="A33" i="5"/>
  <c r="G368" i="5" l="1"/>
</calcChain>
</file>

<file path=xl/sharedStrings.xml><?xml version="1.0" encoding="utf-8"?>
<sst xmlns="http://schemas.openxmlformats.org/spreadsheetml/2006/main" count="46265" uniqueCount="23299">
  <si>
    <t>CEDULA</t>
  </si>
  <si>
    <t>NOMBRES Y APELLIDOS</t>
  </si>
  <si>
    <t>CARGO</t>
  </si>
  <si>
    <t>GRADO ESCALAFON</t>
  </si>
  <si>
    <t>ESCALAFON</t>
  </si>
  <si>
    <t>NOMBRES Y APELLIDOS (3 + * por palabra)</t>
  </si>
  <si>
    <t>CEDULAS RECTOR</t>
  </si>
  <si>
    <t>NOMBRE RECTOR</t>
  </si>
  <si>
    <t>GRADO RECTOR</t>
  </si>
  <si>
    <t>1766956</t>
  </si>
  <si>
    <t>FRANCO RODRIGUEZ HERNANDO JOSE</t>
  </si>
  <si>
    <t>Docente de aula</t>
  </si>
  <si>
    <t>14</t>
  </si>
  <si>
    <t>ESCALAFON 2277</t>
  </si>
  <si>
    <t>FRA*** ROD****** HER***** JOS*</t>
  </si>
  <si>
    <t>5097687</t>
  </si>
  <si>
    <t>ACUÑA MEDINA CARLOS ALBERTO</t>
  </si>
  <si>
    <t>1767074</t>
  </si>
  <si>
    <t>GUERRERO FUENTES HOMERO ALBERTO</t>
  </si>
  <si>
    <t>1C</t>
  </si>
  <si>
    <t>ESCALAFON 1278</t>
  </si>
  <si>
    <t>GUE***** FUE**** HOM*** ALB****</t>
  </si>
  <si>
    <t>7591468</t>
  </si>
  <si>
    <t>PABON FONTALVO JOSE LUIS</t>
  </si>
  <si>
    <t>1978786</t>
  </si>
  <si>
    <t>PEDROZO GARIZAO JAINER</t>
  </si>
  <si>
    <t>3AM</t>
  </si>
  <si>
    <t>PED**** GAR**** JAI***</t>
  </si>
  <si>
    <t>7593103</t>
  </si>
  <si>
    <t>MARTINEZ MONTENEGRO SAMUEL</t>
  </si>
  <si>
    <t>3021868</t>
  </si>
  <si>
    <t>VALDES MEDINA MARCEL</t>
  </si>
  <si>
    <t>2A</t>
  </si>
  <si>
    <t>VAL*** MED*** MAR***</t>
  </si>
  <si>
    <t>7594433</t>
  </si>
  <si>
    <t>GONZALEZ ACUÑA EDGARDO LUIS</t>
  </si>
  <si>
    <t>3DD</t>
  </si>
  <si>
    <t>3716325</t>
  </si>
  <si>
    <t>ROMO ESCOBAR JOSE EUGENIO</t>
  </si>
  <si>
    <t>ROM* ESC**** JOS* EUG****</t>
  </si>
  <si>
    <t>7594508</t>
  </si>
  <si>
    <t>CHIQUILLO PERTUZ ROBERTO ELIECER</t>
  </si>
  <si>
    <t>3716361</t>
  </si>
  <si>
    <t>SALAS CONTRERAS OSCAR SEGUNDO</t>
  </si>
  <si>
    <t>SAL** CON****** OSC** SEG****</t>
  </si>
  <si>
    <t>7595061</t>
  </si>
  <si>
    <t>CASTAÑEDA PIMIENTA MARIANO MIGUEL</t>
  </si>
  <si>
    <t>3723939</t>
  </si>
  <si>
    <t>BROCHERO MARTINEZ ADRIANO JOSE</t>
  </si>
  <si>
    <t>BRO***** MAR***** ADR**** JOS*</t>
  </si>
  <si>
    <t>7595064</t>
  </si>
  <si>
    <t>PINZON GARCIA ROGER ENRIQUE</t>
  </si>
  <si>
    <t>3732475</t>
  </si>
  <si>
    <t>GONZALEZ VELEZ EMEL DE JESUS</t>
  </si>
  <si>
    <t>GON***** VEL** EME* DE JES**</t>
  </si>
  <si>
    <t>7595941</t>
  </si>
  <si>
    <t>CARRANZA FONTALVO JOAQUIN GUILLERMO</t>
  </si>
  <si>
    <t>3735019</t>
  </si>
  <si>
    <t>ESCOBAR ARIZA DOMINGO GUZMAN</t>
  </si>
  <si>
    <t>13</t>
  </si>
  <si>
    <t>ESC**** ARI** DOM**** GUZ***</t>
  </si>
  <si>
    <t>7597994</t>
  </si>
  <si>
    <t>MOLINA CASTAÑEDA LENIN ALONSO</t>
  </si>
  <si>
    <t>3735452</t>
  </si>
  <si>
    <t>OCAMPO DOMINGUEZ JESUS MARIA</t>
  </si>
  <si>
    <t>OCA*** DOM****** JES** MAR**</t>
  </si>
  <si>
    <t>7642249</t>
  </si>
  <si>
    <t>GONZALEZ JIMENEZ CARLOS ALBERTO</t>
  </si>
  <si>
    <t>3DM</t>
  </si>
  <si>
    <t>3735462</t>
  </si>
  <si>
    <t>AVILA HORTA CRISTIAN EDUARDO</t>
  </si>
  <si>
    <t>AVI** HOR** CRI***** EDU****</t>
  </si>
  <si>
    <t>8511064</t>
  </si>
  <si>
    <t>BLANCO ROSADO LISANDER ANTONIO</t>
  </si>
  <si>
    <t>3BM</t>
  </si>
  <si>
    <t>3741927</t>
  </si>
  <si>
    <t>ALGARIN PALMA GABRIEL EDUARDO</t>
  </si>
  <si>
    <t>ALG**** PAL** GAB**** EDU****</t>
  </si>
  <si>
    <t>8711677</t>
  </si>
  <si>
    <t>FONTALVO MARTINEZ ISRAEL ANTONIO</t>
  </si>
  <si>
    <t>2B</t>
  </si>
  <si>
    <t>3742402</t>
  </si>
  <si>
    <t>CERVANTES MERIÑO VICTOR JULIO</t>
  </si>
  <si>
    <t>1A</t>
  </si>
  <si>
    <t>CER****** MER*** VIC*** JUL**</t>
  </si>
  <si>
    <t>8726294</t>
  </si>
  <si>
    <t>AMADOR FERNANDEZ ALFONSO ARMANDO</t>
  </si>
  <si>
    <t>3745556</t>
  </si>
  <si>
    <t>DE LA CRUZ DE LA HOZ MILTON JOSE</t>
  </si>
  <si>
    <t>1B</t>
  </si>
  <si>
    <t>DE LA CRU* DE LA HOZ MIL*** JOS*</t>
  </si>
  <si>
    <t>8762462</t>
  </si>
  <si>
    <t>ANDRADE MARTINEZ FRANCISCO JOSE</t>
  </si>
  <si>
    <t>3746120</t>
  </si>
  <si>
    <t>GOMEZ VILLARREAL GEOVANIS ENRIQUE</t>
  </si>
  <si>
    <t>GOM** VIL******* GEO***** ENR****</t>
  </si>
  <si>
    <t>8798066</t>
  </si>
  <si>
    <t>GARCIA ANDRADE ALEX HERNANDO</t>
  </si>
  <si>
    <t>3753440</t>
  </si>
  <si>
    <t>YEPEZ BOON ABEL GUSTAVO</t>
  </si>
  <si>
    <t>YEP** BOO* ABE* GUS****</t>
  </si>
  <si>
    <t>9134700</t>
  </si>
  <si>
    <t>BERMUDEZ MENDOZA NOVER ALFONSO</t>
  </si>
  <si>
    <t>3763564</t>
  </si>
  <si>
    <t>PEREZ PEREZ SAUL ANTONIO</t>
  </si>
  <si>
    <t>PER** PER** SAU* ANT****</t>
  </si>
  <si>
    <t>9139233</t>
  </si>
  <si>
    <t>LARIOS PAYARES LUIS EDUARDO</t>
  </si>
  <si>
    <t>3842026</t>
  </si>
  <si>
    <t>MEDINA PEREZ LUIS MIGUEL</t>
  </si>
  <si>
    <t>MED*** PER** LUI* MIG***</t>
  </si>
  <si>
    <t>9140552</t>
  </si>
  <si>
    <t>GOMEZ MARTINEZ MARCIAL ALFREDO</t>
  </si>
  <si>
    <t>3876674</t>
  </si>
  <si>
    <t>JIMENEZ SILVA FERNANDO JULIO</t>
  </si>
  <si>
    <t>JIM**** SIL** FER***** JUL**</t>
  </si>
  <si>
    <t>9265708</t>
  </si>
  <si>
    <t>RODRIGUEZ RIVAS ELI</t>
  </si>
  <si>
    <t>3886171</t>
  </si>
  <si>
    <t>JIMENEZ VIDES JAIME</t>
  </si>
  <si>
    <t>JIM**** VID** JAI**</t>
  </si>
  <si>
    <t>9266825</t>
  </si>
  <si>
    <t>NAVARRO PABA ALVARO</t>
  </si>
  <si>
    <t>3907271</t>
  </si>
  <si>
    <t>BENTHAN ARIAS CANDELARIO</t>
  </si>
  <si>
    <t>BEN**** ARI** CAN*******</t>
  </si>
  <si>
    <t>9267078</t>
  </si>
  <si>
    <t>TRESPALACIO NAVARRO AQUILES</t>
  </si>
  <si>
    <t>3946622</t>
  </si>
  <si>
    <t>DAVILA MEJIA EDILBERTO</t>
  </si>
  <si>
    <t>DAV*** MEJ** EDI******</t>
  </si>
  <si>
    <t>9267885</t>
  </si>
  <si>
    <t>BENAVIDES SILVA EVERTO LORENZO</t>
  </si>
  <si>
    <t>3946720</t>
  </si>
  <si>
    <t>PATIÑO COMAS EMEL</t>
  </si>
  <si>
    <t>PAT*** COM** EME*</t>
  </si>
  <si>
    <t>9268190</t>
  </si>
  <si>
    <t>LARA MENDOZA PRISCILIANO</t>
  </si>
  <si>
    <t>3946724</t>
  </si>
  <si>
    <t>RANGEL PATIÑO JOHNIS</t>
  </si>
  <si>
    <t>RAN*** PAT*** JOH***</t>
  </si>
  <si>
    <t>9271731</t>
  </si>
  <si>
    <t>MEJIA NAVARRO FABER</t>
  </si>
  <si>
    <t>3946829</t>
  </si>
  <si>
    <t>CARRASCAL CARO EDGAR</t>
  </si>
  <si>
    <t>CAR****** CAR* EDG**</t>
  </si>
  <si>
    <t>9877758</t>
  </si>
  <si>
    <t>GUETTE RICO ALVARO LUIS</t>
  </si>
  <si>
    <t>2AE</t>
  </si>
  <si>
    <t>3946975</t>
  </si>
  <si>
    <t>PEREZ MARTINEZ LUIS ANTONIO</t>
  </si>
  <si>
    <t>PER** MAR***** LUI* ANT****</t>
  </si>
  <si>
    <t>12539498</t>
  </si>
  <si>
    <t>DE LA CRUZ PADILLA REYNALDO RAFAEL</t>
  </si>
  <si>
    <t>3947072</t>
  </si>
  <si>
    <t>MEJIA RODRIGUEZ ODIS</t>
  </si>
  <si>
    <t>MEJ** ROD****** ODI*</t>
  </si>
  <si>
    <t>12543301</t>
  </si>
  <si>
    <t>LOZANO GARCIA JULIO ALBERTO</t>
  </si>
  <si>
    <t>3947144</t>
  </si>
  <si>
    <t>CARRASCAL CHAVEZ EDUIN</t>
  </si>
  <si>
    <t>CAR****** CHA*** EDU**</t>
  </si>
  <si>
    <t>12546641</t>
  </si>
  <si>
    <t>LOZANO BARRAZA EDILBERTO ANTONIO</t>
  </si>
  <si>
    <t>3947148</t>
  </si>
  <si>
    <t>HOSTIA HOSTIA ALONSO MANUEL</t>
  </si>
  <si>
    <t>HOS*** HOS*** ALO*** MAN***</t>
  </si>
  <si>
    <t>12549009</t>
  </si>
  <si>
    <t>MEYER IGLESIAS ROBERTO ANTONIO</t>
  </si>
  <si>
    <t>3947156</t>
  </si>
  <si>
    <t>ORTIZ CARRASCAL JOSE ANTONIO</t>
  </si>
  <si>
    <t>12</t>
  </si>
  <si>
    <t>ORT** CAR****** JOS* ANT****</t>
  </si>
  <si>
    <t>12556355</t>
  </si>
  <si>
    <t>GRANADOS GOMEZ OSIRIS ENRIQUE</t>
  </si>
  <si>
    <t>3963540</t>
  </si>
  <si>
    <t>SURMAY PIÑERES BENITO</t>
  </si>
  <si>
    <t>SUR*** PIÑ**** BEN***</t>
  </si>
  <si>
    <t>12557289</t>
  </si>
  <si>
    <t>DE LA ROSA ESCOBAR LUIS EDUARDO</t>
  </si>
  <si>
    <t>4252386</t>
  </si>
  <si>
    <t>FIGUEROA CHARRIS OSMAR ANTONIO</t>
  </si>
  <si>
    <t>3CM</t>
  </si>
  <si>
    <t>FIG***** CHA**** OSM** ANT****</t>
  </si>
  <si>
    <t>12561538</t>
  </si>
  <si>
    <t>MENDOZA BUSTOS HENRY</t>
  </si>
  <si>
    <t>2CE</t>
  </si>
  <si>
    <t>4851980</t>
  </si>
  <si>
    <t>JARAMILLO ASPRILLA JARIS EMEL</t>
  </si>
  <si>
    <t>JAR****** ASP***** JAR** EME*</t>
  </si>
  <si>
    <t>12563813</t>
  </si>
  <si>
    <t>MEJIA MUÑOZ NELSON</t>
  </si>
  <si>
    <t>4978546</t>
  </si>
  <si>
    <t>TERAN NOGUERA OSCAR ENRIQUE</t>
  </si>
  <si>
    <t>TER** NOG**** OSC** ENR****</t>
  </si>
  <si>
    <t>12564425</t>
  </si>
  <si>
    <t>JIMENEZ ESPITIA ENRIQUE SEGUNDO</t>
  </si>
  <si>
    <t>4978721</t>
  </si>
  <si>
    <t>USTA ATENCIO BLESMAN DE JESUS</t>
  </si>
  <si>
    <t>UST* ATE**** BLE**** DE JES**</t>
  </si>
  <si>
    <t>12590310</t>
  </si>
  <si>
    <t>GONZALEZ ARRIETA JOSE DEL TRANSITO</t>
  </si>
  <si>
    <t>4979545</t>
  </si>
  <si>
    <t>VARGAS BRIGANTE JAVIER ANTONIO</t>
  </si>
  <si>
    <t>VAR*** BRI***** JAV*** ANT****</t>
  </si>
  <si>
    <t>12591458</t>
  </si>
  <si>
    <t>GARCIA AMADOR NILSON ROBIRO</t>
  </si>
  <si>
    <t>4979993</t>
  </si>
  <si>
    <t>CABANA MADERO OMAR</t>
  </si>
  <si>
    <t>CAB*** MAD*** OMA*</t>
  </si>
  <si>
    <t>12594369</t>
  </si>
  <si>
    <t>DE ARCO CACERES ARMANDO JAIME</t>
  </si>
  <si>
    <t>4981223</t>
  </si>
  <si>
    <t>MARTINEZ PEÑA YEISON DE JESUS</t>
  </si>
  <si>
    <t>Docente Orientador</t>
  </si>
  <si>
    <t>MAR***** PEÑ* YEI*** DE JES**</t>
  </si>
  <si>
    <t>12599486</t>
  </si>
  <si>
    <t>MOSCOTE FUENTES RODOLFO DE JESUS</t>
  </si>
  <si>
    <t>4992991</t>
  </si>
  <si>
    <t>CHIQUILLO FONTALVO ALFREDO ENRIQUE</t>
  </si>
  <si>
    <t>CHI****** FON***** ALF**** ENR****</t>
  </si>
  <si>
    <t>12601966</t>
  </si>
  <si>
    <t>MEJIA NAVARRO BONAR</t>
  </si>
  <si>
    <t>4994372</t>
  </si>
  <si>
    <t>BLANCO POLO ROBERT JESUS</t>
  </si>
  <si>
    <t>BLA*** POL* ROB*** JES**</t>
  </si>
  <si>
    <t>12619802</t>
  </si>
  <si>
    <t>RUDOLF VILLANUEVA JOSE LUIS</t>
  </si>
  <si>
    <t>4995214</t>
  </si>
  <si>
    <t>CASTRO DE AGUAS JESUS DEL CRISTO</t>
  </si>
  <si>
    <t>CAS*** DE AGU** JES** DEL CRI***</t>
  </si>
  <si>
    <t>12632564</t>
  </si>
  <si>
    <t>MORENO LEAL AQUILES JOSE</t>
  </si>
  <si>
    <t>2DE</t>
  </si>
  <si>
    <t>4995227</t>
  </si>
  <si>
    <t>CARBONELL CAMACHO ROBERTO CALIXTO</t>
  </si>
  <si>
    <t>CAR****** CAM**** ROB**** CAL****</t>
  </si>
  <si>
    <t>13720925</t>
  </si>
  <si>
    <t>RESTREPO QUINTERO OSCAR ARTURO</t>
  </si>
  <si>
    <t>5021135</t>
  </si>
  <si>
    <t>PEÑA TORRES JORGE LUIS</t>
  </si>
  <si>
    <t>PEÑ* TOR*** JOR** LUI*</t>
  </si>
  <si>
    <t>15174532</t>
  </si>
  <si>
    <t>IZQUIERDO TORRES ONASIS</t>
  </si>
  <si>
    <t>6C3</t>
  </si>
  <si>
    <t>5039793</t>
  </si>
  <si>
    <t>APONTE CADENA AMATH</t>
  </si>
  <si>
    <t>APO*** CAD*** AMA**</t>
  </si>
  <si>
    <t>15248542</t>
  </si>
  <si>
    <t>JIMENEZ OSPINO PEDRO MANUEL</t>
  </si>
  <si>
    <t>2C</t>
  </si>
  <si>
    <t>5039800</t>
  </si>
  <si>
    <t>OLANO RUIDIAZ ENDER</t>
  </si>
  <si>
    <t>OLA** RUI**** END**</t>
  </si>
  <si>
    <t>19517647</t>
  </si>
  <si>
    <t>LOBO HERRERA PEDRO ANTONIO</t>
  </si>
  <si>
    <t>5039987</t>
  </si>
  <si>
    <t>PEDROZO MARTINEZ ELIGIO</t>
  </si>
  <si>
    <t>PED**** MAR***** ELI***</t>
  </si>
  <si>
    <t>19560766</t>
  </si>
  <si>
    <t>HERNANDEZ ARRIETA JORGE LUIS</t>
  </si>
  <si>
    <t>5040145</t>
  </si>
  <si>
    <t>LEMUS PACHECO DANIEL</t>
  </si>
  <si>
    <t>LEM** PAC**** DAN***</t>
  </si>
  <si>
    <t>19565127</t>
  </si>
  <si>
    <t>ACUÑA PEREA DAVID</t>
  </si>
  <si>
    <t>5048890</t>
  </si>
  <si>
    <t>MARTINEZ ISAZA ARTURO RAFAEL</t>
  </si>
  <si>
    <t>MAR***** ISA** ART*** RAF***</t>
  </si>
  <si>
    <t>19565520</t>
  </si>
  <si>
    <t>VILLA COLON WALTER JOSE</t>
  </si>
  <si>
    <t>5048898</t>
  </si>
  <si>
    <t>BECERRA DE LA CRUZ ELOY GUILLERMO</t>
  </si>
  <si>
    <t>BEC**** DE LA CRU* ELO* GUI******</t>
  </si>
  <si>
    <t>19589331</t>
  </si>
  <si>
    <t>RUIZ ALTAMAR FABIAN</t>
  </si>
  <si>
    <t>5048997</t>
  </si>
  <si>
    <t>OLIVEROS CONTRERAS DAVID RAFAEL</t>
  </si>
  <si>
    <t>OLI***** CON****** DAV** RAF***</t>
  </si>
  <si>
    <t>19589425</t>
  </si>
  <si>
    <t>ARIZA VARON VICENTE DANIEL</t>
  </si>
  <si>
    <t>5049024</t>
  </si>
  <si>
    <t>DE LA CRUZ BORRERO CIRO ROBERTO</t>
  </si>
  <si>
    <t>DE LA CRU* BOR**** CIR* ROB****</t>
  </si>
  <si>
    <t>19589820</t>
  </si>
  <si>
    <t>CANTILLO ESCORCIA OSWALDO ARTURO</t>
  </si>
  <si>
    <t>5049068</t>
  </si>
  <si>
    <t>VALENCIA GAMEZ BLAS ANTONIO</t>
  </si>
  <si>
    <t>VAL***** GAM** BLA* ANT****</t>
  </si>
  <si>
    <t>19592942</t>
  </si>
  <si>
    <t>JIMENEZ ARIAS LUIS ENRIQUE</t>
  </si>
  <si>
    <t>2BE</t>
  </si>
  <si>
    <t>5049131</t>
  </si>
  <si>
    <t>PACHECO ARIZA LUIS MARCIANO</t>
  </si>
  <si>
    <t>PAC**** ARI** LUI* MAR*****</t>
  </si>
  <si>
    <t>19600173</t>
  </si>
  <si>
    <t>SIMANCA CASTELLAR SAUL ANTONIO</t>
  </si>
  <si>
    <t>5049410</t>
  </si>
  <si>
    <t>SALGADO GOMEZ ARMANDO RAFAEL</t>
  </si>
  <si>
    <t>SAL**** GOM** ARM**** RAF***</t>
  </si>
  <si>
    <t>19640721</t>
  </si>
  <si>
    <t>BARRANCO FERRER JESUS ALBERTO</t>
  </si>
  <si>
    <t>5049474</t>
  </si>
  <si>
    <t>HERRERA NAVARRO HERMAGORA RAFAEL</t>
  </si>
  <si>
    <t>HER**** NAV**** HER****** RAF***</t>
  </si>
  <si>
    <t>22523168</t>
  </si>
  <si>
    <t>PEÑA AROCA ELSY YASMITH</t>
  </si>
  <si>
    <t>5049564</t>
  </si>
  <si>
    <t>CURE BARRIOS YAMIL JOSE</t>
  </si>
  <si>
    <t>CUR* BAR**** YAM** JOS*</t>
  </si>
  <si>
    <t>22567911</t>
  </si>
  <si>
    <t>TEJEDA LEYVA ESTELA DE JESUS</t>
  </si>
  <si>
    <t>5055212</t>
  </si>
  <si>
    <t>PERTUZ CABARCAS GILBERTO MANUEL</t>
  </si>
  <si>
    <t>PER*** CAB***** GIL***** MAN***</t>
  </si>
  <si>
    <t>22633490</t>
  </si>
  <si>
    <t>HERNANDEZ OROZCO EVARISTA MERCEDES</t>
  </si>
  <si>
    <t>5055419</t>
  </si>
  <si>
    <t>RODRIGUEZ VIZCAINO MIGTILIANO ENRIQUE</t>
  </si>
  <si>
    <t>ROD****** VIZ***** MIG******* ENR****</t>
  </si>
  <si>
    <t>22644375</t>
  </si>
  <si>
    <t>ROMERO DAZA KATRIEM ESTER</t>
  </si>
  <si>
    <t>5055559</t>
  </si>
  <si>
    <t>DITTA LARA JOSE DEL CARMEN</t>
  </si>
  <si>
    <t>DIT** LAR* JOS* DEL CAR***</t>
  </si>
  <si>
    <t>23074711</t>
  </si>
  <si>
    <t>RANGEL DE LA CRUZ NORIS</t>
  </si>
  <si>
    <t>5055805</t>
  </si>
  <si>
    <t>CARBONELL ALVAREZ ANTONIO ENRIQUE</t>
  </si>
  <si>
    <t>CAR****** ALV**** ANT**** ENR****</t>
  </si>
  <si>
    <t>26713171</t>
  </si>
  <si>
    <t>BARRIOS CERVANTES LUDYS ESTHER</t>
  </si>
  <si>
    <t>5055848</t>
  </si>
  <si>
    <t>RIQUETT MONTERO ARGEMIRO ENRIQUE</t>
  </si>
  <si>
    <t>RIQ**** MON**** ARG***** ENR****</t>
  </si>
  <si>
    <t>26783948</t>
  </si>
  <si>
    <t>YEPES MAYA REGINA ELENA</t>
  </si>
  <si>
    <t>5055902</t>
  </si>
  <si>
    <t>ORTEGA POLO CESAR AUGUSTO</t>
  </si>
  <si>
    <t>ORT*** POL* CES** AUG****</t>
  </si>
  <si>
    <t>26801977</t>
  </si>
  <si>
    <t>ESCOBAR GUTIERREZ MARGARITA DEL AMPARO</t>
  </si>
  <si>
    <t>5056135</t>
  </si>
  <si>
    <t>ZAMBRANO PALLARES ROBERTO FIDEL</t>
  </si>
  <si>
    <t>ZAM***** PAL***** ROB**** FID**</t>
  </si>
  <si>
    <t>26802345</t>
  </si>
  <si>
    <t>SANTANDER PALMERA YENIS MARINA</t>
  </si>
  <si>
    <t>5056146</t>
  </si>
  <si>
    <t>RIQUETT ORTIZ OSCAR ALBERTO</t>
  </si>
  <si>
    <t>RIQ**** ORT** OSC** ALB****</t>
  </si>
  <si>
    <t>26808803</t>
  </si>
  <si>
    <t>HERNANDEZ DE LA HOZ YAMILE</t>
  </si>
  <si>
    <t>5056154</t>
  </si>
  <si>
    <t>ESQUEA VALENCIA JOSE DOMINGO</t>
  </si>
  <si>
    <t>ESQ*** VAL***** JOS* DOM****</t>
  </si>
  <si>
    <t>26900503</t>
  </si>
  <si>
    <t>CORONADO ACUÑA LEODYS</t>
  </si>
  <si>
    <t>5056237</t>
  </si>
  <si>
    <t>PALLARES PAEZ TOMAS CIPRIANO</t>
  </si>
  <si>
    <t>Docente Tutor</t>
  </si>
  <si>
    <t>PAL***** PAE* TOM** CIP*****</t>
  </si>
  <si>
    <t>26930369</t>
  </si>
  <si>
    <t>CHAMORRO MARIMON KAREN FABIOLA</t>
  </si>
  <si>
    <t>5056242</t>
  </si>
  <si>
    <t>CARBONELL CARBONELL JORGE LUIS</t>
  </si>
  <si>
    <t>CAR****** CAR****** JOR** LUI*</t>
  </si>
  <si>
    <t>32723578</t>
  </si>
  <si>
    <t>HERAZO RADA ENALBA FADITH</t>
  </si>
  <si>
    <t>5056248</t>
  </si>
  <si>
    <t>VARELA VARELA ROBINSON RAFAEL</t>
  </si>
  <si>
    <t>VAR*** VAR*** ROB***** RAF***</t>
  </si>
  <si>
    <t>32750917</t>
  </si>
  <si>
    <t>VARGAS LOPEZ CARMEN ROSA</t>
  </si>
  <si>
    <t>5056333</t>
  </si>
  <si>
    <t>CORMANE CARRANZA ALVARO ANTONIO</t>
  </si>
  <si>
    <t>COR**** CAR***** ALV*** ANT****</t>
  </si>
  <si>
    <t>32825293</t>
  </si>
  <si>
    <t>MEJIA DELGADO EDITH MARIA</t>
  </si>
  <si>
    <t>5056375</t>
  </si>
  <si>
    <t>CABARCAS SANCHEZ LUIS CARLOS</t>
  </si>
  <si>
    <t>CAB***** SAN**** LUI* CAR***</t>
  </si>
  <si>
    <t>33214250</t>
  </si>
  <si>
    <t>AREVALO DE LEON YANETH OFELIA</t>
  </si>
  <si>
    <t>5056424</t>
  </si>
  <si>
    <t>VIZCAINO DE LA HOZ TULIO JOSE</t>
  </si>
  <si>
    <t>VIZ***** DE LA HOZ TUL** JOS*</t>
  </si>
  <si>
    <t>36537025</t>
  </si>
  <si>
    <t>DE LA HOZ SANJUAN OTILIA MERCEDES</t>
  </si>
  <si>
    <t>5059609</t>
  </si>
  <si>
    <t>SALAS CANTILLO EMIRO ALBERTO</t>
  </si>
  <si>
    <t>SAL** CAN***** EMI** ALB****</t>
  </si>
  <si>
    <t>36542479</t>
  </si>
  <si>
    <t>SANJUANELO MARTINEZ MARIA LUISA</t>
  </si>
  <si>
    <t>5059610</t>
  </si>
  <si>
    <t>ROMO TOSCANO SIGILFREDO RAFAEL</t>
  </si>
  <si>
    <t>ROM* TOS**** SIG******* RAF***</t>
  </si>
  <si>
    <t>36551798</t>
  </si>
  <si>
    <t>MANES MOLINA DEISY DE JESUS</t>
  </si>
  <si>
    <t>5073723</t>
  </si>
  <si>
    <t>VARELA RUIZ TILSON</t>
  </si>
  <si>
    <t>VAR*** RUI* TIL***</t>
  </si>
  <si>
    <t>36564546</t>
  </si>
  <si>
    <t>STAN OSPINO CLAUDIA ISABEL</t>
  </si>
  <si>
    <t>5073987</t>
  </si>
  <si>
    <t>OROZCO BADILLO EBEL ANTONIO</t>
  </si>
  <si>
    <t>ORO*** BAD**** EBE* ANT****</t>
  </si>
  <si>
    <t>39016608</t>
  </si>
  <si>
    <t>LONDOÑO SERENO NANCY</t>
  </si>
  <si>
    <t>5074033</t>
  </si>
  <si>
    <t>HERNANDEZ PEZZOTTY JULIAN ALBERTO</t>
  </si>
  <si>
    <t>HER****** PEZ***** JUL*** ALB****</t>
  </si>
  <si>
    <t>39069373</t>
  </si>
  <si>
    <t>VIDES NUÑEZ ISABEL CRISTINA</t>
  </si>
  <si>
    <t>5074075</t>
  </si>
  <si>
    <t>FERREIRA OJEDA WILMAN ANTONIO</t>
  </si>
  <si>
    <t>FER***** OJE** WIL*** ANT****</t>
  </si>
  <si>
    <t>39088843</t>
  </si>
  <si>
    <t>TORREGROSA DE LA HOZ LUZ MARINA</t>
  </si>
  <si>
    <t>5074110</t>
  </si>
  <si>
    <t>MONSALVO GUERRERO JOSE LUIS</t>
  </si>
  <si>
    <t>MON***** GUE***** JOS* LUI*</t>
  </si>
  <si>
    <t>42156110</t>
  </si>
  <si>
    <t>GARCIA JIMENEZ CARMEN ELVIRA</t>
  </si>
  <si>
    <t>5074130</t>
  </si>
  <si>
    <t>GOMEZ MARQUEZ ADOLFO SEGUNDO</t>
  </si>
  <si>
    <t>GOM** MAR**** ADO*** SEG****</t>
  </si>
  <si>
    <t>49773884</t>
  </si>
  <si>
    <t>FLORES ZAMBRANO MAGALIS</t>
  </si>
  <si>
    <t>5074144</t>
  </si>
  <si>
    <t>LOPEZ PACHECO PEDRO ANTONIO</t>
  </si>
  <si>
    <t>LOP** PAC**** PED** ANT****</t>
  </si>
  <si>
    <t>50944510</t>
  </si>
  <si>
    <t>LONDOÑO MILVIA AILET</t>
  </si>
  <si>
    <t>5074269</t>
  </si>
  <si>
    <t>LOPEZ PACHECO HUMBERTO</t>
  </si>
  <si>
    <t>LOP** PAC**** HUM*****</t>
  </si>
  <si>
    <t>57115645</t>
  </si>
  <si>
    <t>SANCHEZ ANDRADE MARTHA GERTRUDIS</t>
  </si>
  <si>
    <t>5074280</t>
  </si>
  <si>
    <t>LOPEZ BADILLO EDISON</t>
  </si>
  <si>
    <t>LOP** BAD**** EDI***</t>
  </si>
  <si>
    <t>57280515</t>
  </si>
  <si>
    <t>QUEVEDO ARRIETA MYRIAM MARGARITA</t>
  </si>
  <si>
    <t>5074420</t>
  </si>
  <si>
    <t>VARELA MARQUEZ WILSON</t>
  </si>
  <si>
    <t>VAR*** MAR**** WIL***</t>
  </si>
  <si>
    <t>57280769</t>
  </si>
  <si>
    <t>VILLARREAL PINZON ENEDIT</t>
  </si>
  <si>
    <t>5074494</t>
  </si>
  <si>
    <t>BADILLO LOPEZ TEDIS ALBERTO</t>
  </si>
  <si>
    <t>BAD**** LOP** TED** ALB****</t>
  </si>
  <si>
    <t>57294650</t>
  </si>
  <si>
    <t>BOCANEGRA OROZCO LAUREN MARGARITA</t>
  </si>
  <si>
    <t>5077569</t>
  </si>
  <si>
    <t>RADA MONTENEGRO UBALDO SIGIFREDO</t>
  </si>
  <si>
    <t>RAD* MON******* UBA*** SIG******</t>
  </si>
  <si>
    <t>57404912</t>
  </si>
  <si>
    <t>SALAS MENDOZA EVELCI MARIA</t>
  </si>
  <si>
    <t>5078041</t>
  </si>
  <si>
    <t>MORRON FANDIÑO ALEXANDER FIDEL</t>
  </si>
  <si>
    <t>MOR*** FAN**** ALE****** FID**</t>
  </si>
  <si>
    <t>57411148</t>
  </si>
  <si>
    <t>ACOSTA FARIDE</t>
  </si>
  <si>
    <t>5078566</t>
  </si>
  <si>
    <t>CHARRIS BOLAÑO MANUEL ILDEFONSO</t>
  </si>
  <si>
    <t>CHA**** BOL*** MAN*** ILD******</t>
  </si>
  <si>
    <t>57413398</t>
  </si>
  <si>
    <t>MELO PAYARES MARTA MIREYA</t>
  </si>
  <si>
    <t>5093838</t>
  </si>
  <si>
    <t>ARZUAGA RODRIGUEZ AUGUSTO DAVID</t>
  </si>
  <si>
    <t>ARZ**** ROD****** AUG**** DAV**</t>
  </si>
  <si>
    <t>57413502</t>
  </si>
  <si>
    <t>CARDENAS CAMACHO LUZ MARIA</t>
  </si>
  <si>
    <t>5094538</t>
  </si>
  <si>
    <t>GONZALEZ OROZCO NELSON DARIO</t>
  </si>
  <si>
    <t>GON***** ORO*** NEL*** DAR**</t>
  </si>
  <si>
    <t>57426885</t>
  </si>
  <si>
    <t>LUNA MOLINA SHIRLE MARIA</t>
  </si>
  <si>
    <t>5094939</t>
  </si>
  <si>
    <t>SOLANO MUTO WILMAN</t>
  </si>
  <si>
    <t>SOL*** MUT* WIL***</t>
  </si>
  <si>
    <t>57433280</t>
  </si>
  <si>
    <t>BOLAÑO GRANADOS ANA ISABEL</t>
  </si>
  <si>
    <t>5094987</t>
  </si>
  <si>
    <t>OROZCO GUTIERREZ HUGO ALBERTO</t>
  </si>
  <si>
    <t>ORO*** GUT****** HUG* ALB****</t>
  </si>
  <si>
    <t>57436167</t>
  </si>
  <si>
    <t>RUA MARTINEZ JOHANNA CINTIA</t>
  </si>
  <si>
    <t>5095152</t>
  </si>
  <si>
    <t>PABON ALVARADO ELIECER DE JESUS</t>
  </si>
  <si>
    <t>PAB** ALV***** ELI**** DE JES**</t>
  </si>
  <si>
    <t>72126308</t>
  </si>
  <si>
    <t>OLMOS ZARATE HENRY ALFREDO</t>
  </si>
  <si>
    <t>5095154</t>
  </si>
  <si>
    <t>HERNANDEZ CANTILLO FRANCISCO</t>
  </si>
  <si>
    <t>HER****** CAN***** FRA******</t>
  </si>
  <si>
    <t>72130903</t>
  </si>
  <si>
    <t>CORONADO BORJA EDGARDO JOSE</t>
  </si>
  <si>
    <t>5095174</t>
  </si>
  <si>
    <t>MIRANDA OROZCO JOAQUIN GUILLERMO</t>
  </si>
  <si>
    <t>MIR**** ORO*** JOA**** GUI******</t>
  </si>
  <si>
    <t>72150390</t>
  </si>
  <si>
    <t>MARBELLO JIMENEZ JAVIER DE JESUS</t>
  </si>
  <si>
    <t>5095348</t>
  </si>
  <si>
    <t>PABON CARRILLO JOSE JULIAN</t>
  </si>
  <si>
    <t>6</t>
  </si>
  <si>
    <t>PAB** CAR***** JOS* JUL***</t>
  </si>
  <si>
    <t>72164279</t>
  </si>
  <si>
    <t>PALLARES DE LA HOZ FRANCISCO JOSE</t>
  </si>
  <si>
    <t>5097514</t>
  </si>
  <si>
    <t>FUENTES MARTINEZ ISMAEL</t>
  </si>
  <si>
    <t>FUE**** MAR***** ISM***</t>
  </si>
  <si>
    <t>72181364</t>
  </si>
  <si>
    <t>BERMUDEZ VERGARA JHONNY ENRIQUE</t>
  </si>
  <si>
    <t>5097545</t>
  </si>
  <si>
    <t>GUERRERO MULFORD SALOMON ANTONIO</t>
  </si>
  <si>
    <t>GUE***** MUL**** SAL**** ANT****</t>
  </si>
  <si>
    <t>72193190</t>
  </si>
  <si>
    <t>LOZANO ANDRADE FREDDY ARTURO</t>
  </si>
  <si>
    <t>5097592</t>
  </si>
  <si>
    <t>HERRERA NAVARRO BLAS DE JESUS</t>
  </si>
  <si>
    <t>HER**** NAV**** BLA* DE JES**</t>
  </si>
  <si>
    <t>72308857</t>
  </si>
  <si>
    <t>OSPINO DE LA CRUZ LEONI RAFAEL</t>
  </si>
  <si>
    <t>5097598</t>
  </si>
  <si>
    <t>ACUÑA FUENTES MODESTO</t>
  </si>
  <si>
    <t>ACU** FUE**** MOD****</t>
  </si>
  <si>
    <t>77195336</t>
  </si>
  <si>
    <t>SANTIAGO VARGAS RICARDO DANIEL</t>
  </si>
  <si>
    <t>5097660</t>
  </si>
  <si>
    <t>ABELLO JIMENEZ JUAN</t>
  </si>
  <si>
    <t>ABE*** JIM**** JUA*</t>
  </si>
  <si>
    <t>79003799</t>
  </si>
  <si>
    <t>HALDANE ACEVEDO PATRICIO</t>
  </si>
  <si>
    <t>5097661</t>
  </si>
  <si>
    <t>CABALLERO MARTINEZ LUIS ALBERTO</t>
  </si>
  <si>
    <t>CAB****** MAR***** LUI* ALB****</t>
  </si>
  <si>
    <t>79454763</t>
  </si>
  <si>
    <t>ORTIZ IBAÑEZ DAGOBERTO</t>
  </si>
  <si>
    <t>5097750</t>
  </si>
  <si>
    <t>FRANCO NIÑO HERNANDO CARLOS</t>
  </si>
  <si>
    <t>FRA*** NIÑ* HER***** CAR***</t>
  </si>
  <si>
    <t>79485332</t>
  </si>
  <si>
    <t>ARGUELLO GUEVARA JOSE LUIS</t>
  </si>
  <si>
    <t>2AM</t>
  </si>
  <si>
    <t>5097773</t>
  </si>
  <si>
    <t>FUENTES FONSECA JULIO FERNANDO</t>
  </si>
  <si>
    <t>FUE**** FON**** JUL** FER*****</t>
  </si>
  <si>
    <t>79502728</t>
  </si>
  <si>
    <t>HUERTAS MOYA HENRY AUGUSTO</t>
  </si>
  <si>
    <t>5098013</t>
  </si>
  <si>
    <t>ACU¿A MARIO ANDY JOSE</t>
  </si>
  <si>
    <t>ACU** MAR** AND* JOS*</t>
  </si>
  <si>
    <t>80076166</t>
  </si>
  <si>
    <t>OSORIO CAMPBELL ESNEIDER ALBERTO</t>
  </si>
  <si>
    <t>5103384</t>
  </si>
  <si>
    <t>CARDENAS ORTIZ EDUVILDO</t>
  </si>
  <si>
    <t>CAR***** ORT** EDU*****</t>
  </si>
  <si>
    <t>80769456</t>
  </si>
  <si>
    <t>GOMEZ BELTRAN EDWIN RODRIGO</t>
  </si>
  <si>
    <t>5105751</t>
  </si>
  <si>
    <t>GUILLEN FUENTES EREIDIS</t>
  </si>
  <si>
    <t>GUI**** FUE**** ERE****</t>
  </si>
  <si>
    <t>84043831</t>
  </si>
  <si>
    <t>SAUMETH REALES ARIEL ENRIQUE</t>
  </si>
  <si>
    <t>5107753</t>
  </si>
  <si>
    <t>ALVEAR SIERRA AUGUSTO RAFAEL</t>
  </si>
  <si>
    <t>ALV*** SIE*** AUG**** RAF***</t>
  </si>
  <si>
    <t>84454533</t>
  </si>
  <si>
    <t>MENDEZ ACELAS NILTON DAIRO</t>
  </si>
  <si>
    <t>2BM</t>
  </si>
  <si>
    <t>5107822</t>
  </si>
  <si>
    <t>ARRIETA QUEVEDO OTONIEL</t>
  </si>
  <si>
    <t>ARR**** QUE**** OTO****</t>
  </si>
  <si>
    <t>85127072</t>
  </si>
  <si>
    <t>BARRIOS CABALLERO MANUEL ANTONIO</t>
  </si>
  <si>
    <t>3CD</t>
  </si>
  <si>
    <t>5107921</t>
  </si>
  <si>
    <t>FIERRO URBINA JESUS MIGUEL</t>
  </si>
  <si>
    <t>FIE*** URB*** JES** MIG***</t>
  </si>
  <si>
    <t>85127420</t>
  </si>
  <si>
    <t>JIMENEZ MUÑOZ LUIS RAFAEL</t>
  </si>
  <si>
    <t>5107922</t>
  </si>
  <si>
    <t>FIERRO BOLAÑO FIDEL DARIO</t>
  </si>
  <si>
    <t>FIE*** BOL*** FID** DAR**</t>
  </si>
  <si>
    <t>85163240</t>
  </si>
  <si>
    <t>OSPINO MOYA FELIPE SANTIAGO</t>
  </si>
  <si>
    <t>5108288</t>
  </si>
  <si>
    <t>MEJIA FUENTES JOSE DE LA CRUZ</t>
  </si>
  <si>
    <t>MEJ** FUE**** JOS* DE LA CRU*</t>
  </si>
  <si>
    <t>85163485</t>
  </si>
  <si>
    <t>JIMENEZ JIMENEZ JAIME</t>
  </si>
  <si>
    <t>5110079</t>
  </si>
  <si>
    <t>DAZA ORTIZ ORLANDO EUGENIO</t>
  </si>
  <si>
    <t>DAZ* ORT** ORL**** EUG****</t>
  </si>
  <si>
    <t>85163760</t>
  </si>
  <si>
    <t>TINOCO ANGARITA EVERALDO</t>
  </si>
  <si>
    <t>5110080</t>
  </si>
  <si>
    <t>MORALES DIAZ ALVARO</t>
  </si>
  <si>
    <t>MOR**** DIA* ALV***</t>
  </si>
  <si>
    <t>85164478</t>
  </si>
  <si>
    <t>GUERRA FERNANDEZ EDWIN</t>
  </si>
  <si>
    <t>5110127</t>
  </si>
  <si>
    <t>CASTAÑO LOPEZ RAMIRO</t>
  </si>
  <si>
    <t>CAS**** LOP** RAM***</t>
  </si>
  <si>
    <t>85164586</t>
  </si>
  <si>
    <t>RANGEL ALVARADO ALBERTO RAFAEL</t>
  </si>
  <si>
    <t>5110174</t>
  </si>
  <si>
    <t>LARA LOPEZ ALBERTO</t>
  </si>
  <si>
    <t>LAR* LOP** ALB****</t>
  </si>
  <si>
    <t>85164778</t>
  </si>
  <si>
    <t>ARANGO VANEGAS JUAN BAUTISTA</t>
  </si>
  <si>
    <t>5110193</t>
  </si>
  <si>
    <t>AGUILAR SIADO IVAN ANTONIO</t>
  </si>
  <si>
    <t>AGU**** SIA** IVA* ANT****</t>
  </si>
  <si>
    <t>85165663</t>
  </si>
  <si>
    <t>PABA RUIDIAZ RAOMIR</t>
  </si>
  <si>
    <t>5110210</t>
  </si>
  <si>
    <t>ROCHA MONTALVO GRUELFER</t>
  </si>
  <si>
    <t>ROC** MON***** GRU*****</t>
  </si>
  <si>
    <t>85201225</t>
  </si>
  <si>
    <t>MARTINEZ TAPIA ANTONIO MARIA</t>
  </si>
  <si>
    <t>5110274</t>
  </si>
  <si>
    <t>GOMEZ SALAS PEDRO JULIO</t>
  </si>
  <si>
    <t>GOM** SAL** PED** JUL**</t>
  </si>
  <si>
    <t>85201238</t>
  </si>
  <si>
    <t>ARRIETA YEPEZ OMAR AGUSTIN</t>
  </si>
  <si>
    <t>5110313</t>
  </si>
  <si>
    <t>ARQUEZ LOPEZ MIGUEL JOAQUIN</t>
  </si>
  <si>
    <t>ARQ*** LOP** MIG*** JOA****</t>
  </si>
  <si>
    <t>85201822</t>
  </si>
  <si>
    <t>JIMENEZ DELGADO ALEX ALBERTO</t>
  </si>
  <si>
    <t>5110331</t>
  </si>
  <si>
    <t>OLIVEROS ROMERO NELSON</t>
  </si>
  <si>
    <t>OLI***** ROM*** NEL***</t>
  </si>
  <si>
    <t>85201902</t>
  </si>
  <si>
    <t>BENAVIDES RODERO WILFRIDO</t>
  </si>
  <si>
    <t>5110332</t>
  </si>
  <si>
    <t>VERGARA QUIROZ CARLOS JOSE</t>
  </si>
  <si>
    <t>VER**** QUI*** CAR*** JOS*</t>
  </si>
  <si>
    <t>85202326</t>
  </si>
  <si>
    <t>LARIOS JIMENEZ CESAR RIGOBERTO</t>
  </si>
  <si>
    <t>5110361</t>
  </si>
  <si>
    <t>MACHADO CORTINA MARLON GABRIEL</t>
  </si>
  <si>
    <t>MAC**** COR**** MAR*** GAB****</t>
  </si>
  <si>
    <t>85370607</t>
  </si>
  <si>
    <t>PEÑA MORAN ROBINSON RAFAEL</t>
  </si>
  <si>
    <t>5110392</t>
  </si>
  <si>
    <t>SOTO BENAVIDES PAULINO JOSE</t>
  </si>
  <si>
    <t>2D</t>
  </si>
  <si>
    <t>SOT* BEN****** PAU**** JOS*</t>
  </si>
  <si>
    <t>85434252</t>
  </si>
  <si>
    <t>CAMARGO TORRES BOLIVAR</t>
  </si>
  <si>
    <t>5110436</t>
  </si>
  <si>
    <t>CASTRO GUTIERREZ IVAN MODESTO</t>
  </si>
  <si>
    <t>CAS*** GUT****** IVA* MOD****</t>
  </si>
  <si>
    <t>85443874</t>
  </si>
  <si>
    <t>OVIEDO GUERRERO ALFREDO DE LA CRUZ</t>
  </si>
  <si>
    <t>5110446</t>
  </si>
  <si>
    <t>JULIO ALVARINO BENJAMIN</t>
  </si>
  <si>
    <t>JUL** ALV***** BEN*****</t>
  </si>
  <si>
    <t>85444616</t>
  </si>
  <si>
    <t>PALENCIA GUTIERREZ PAUL ELIECER</t>
  </si>
  <si>
    <t>5110623</t>
  </si>
  <si>
    <t>MONTERO SIMANCA BIONDIS</t>
  </si>
  <si>
    <t>MON**** SIM**** BIO****</t>
  </si>
  <si>
    <t>85444846</t>
  </si>
  <si>
    <t>CASTILLA LOZANO JORGE LUIS</t>
  </si>
  <si>
    <t>5110666</t>
  </si>
  <si>
    <t>DURAN MEJIA OVEIMAR JOSE</t>
  </si>
  <si>
    <t>2DM</t>
  </si>
  <si>
    <t>DUR** MEJ** OVE**** JOS*</t>
  </si>
  <si>
    <t>85446111</t>
  </si>
  <si>
    <t>ATENCIA MORALES ROBERTO CARLOS</t>
  </si>
  <si>
    <t>5110693</t>
  </si>
  <si>
    <t>PALOMINO MONTALVO ANIBAL ANTONIO</t>
  </si>
  <si>
    <t>PAL***** MON***** ANI*** ANT****</t>
  </si>
  <si>
    <t>85447955</t>
  </si>
  <si>
    <t>ACUÑA MACIAS JAIME DARIO</t>
  </si>
  <si>
    <t>5110863</t>
  </si>
  <si>
    <t>HERRERA NAVARRO JOSE DEL CARMEN</t>
  </si>
  <si>
    <t>HER**** NAV**** JOS* DEL CAR***</t>
  </si>
  <si>
    <t>85448704</t>
  </si>
  <si>
    <t>VILLANUEVA BERMUDEZ DAVID ENRIQUE</t>
  </si>
  <si>
    <t>5112089</t>
  </si>
  <si>
    <t>MEJIA ROCHA ENRIQUE</t>
  </si>
  <si>
    <t>MEJ** ROC** ENR****</t>
  </si>
  <si>
    <t>85452455</t>
  </si>
  <si>
    <t>SANTIAGO RINCON JULIO CESAR</t>
  </si>
  <si>
    <t>5121361</t>
  </si>
  <si>
    <t>GUTIERREZ MARTINEZ EDILBERTO</t>
  </si>
  <si>
    <t>GUT****** MAR***** EDI******</t>
  </si>
  <si>
    <t>85455960</t>
  </si>
  <si>
    <t>FONSECA MARTINEZ HUGO ARCENIO</t>
  </si>
  <si>
    <t>5123020</t>
  </si>
  <si>
    <t>CHARRIS ACOSTA ALMIDES JOSE</t>
  </si>
  <si>
    <t>CHA**** ACO*** ALM**** JOS*</t>
  </si>
  <si>
    <t>85456339</t>
  </si>
  <si>
    <t>SAUMET REALES NEIL JOSE</t>
  </si>
  <si>
    <t>5123059</t>
  </si>
  <si>
    <t>RAMOS SAENZ JOSE MIGUEL</t>
  </si>
  <si>
    <t>RAM** SAE** JOS* MIG***</t>
  </si>
  <si>
    <t>85462439</t>
  </si>
  <si>
    <t>FERNANDEZ CHIQUILLO PEDRO LUIS</t>
  </si>
  <si>
    <t>5123225</t>
  </si>
  <si>
    <t>MERCADO MARQUEZ HUMBERTO RAFAEL</t>
  </si>
  <si>
    <t>MER**** MAR**** HUM***** RAF***</t>
  </si>
  <si>
    <t>85463737</t>
  </si>
  <si>
    <t>ROVIRA MEZA RAFAEL SEGUNDO</t>
  </si>
  <si>
    <t>5123295</t>
  </si>
  <si>
    <t>TETAY PADILLA MADINSON JAVIER</t>
  </si>
  <si>
    <t>TET** PAD**** MAD***** JAV***</t>
  </si>
  <si>
    <t>85465215</t>
  </si>
  <si>
    <t>MEJIA IZQUIERDO JUAN JAIRO</t>
  </si>
  <si>
    <t>5123380</t>
  </si>
  <si>
    <t>MARTINEZ DE LA HOZ CLEMENTE ANTONIO</t>
  </si>
  <si>
    <t>MAR***** DE LA HOZ CLE***** ANT****</t>
  </si>
  <si>
    <t>85465654</t>
  </si>
  <si>
    <t>PEREZ LOPSANT AROLDO ENRIQUE</t>
  </si>
  <si>
    <t>5123433</t>
  </si>
  <si>
    <t>VARGAS MARIN CESAR ENRIQUE</t>
  </si>
  <si>
    <t>VAR*** MAR** CES** ENR****</t>
  </si>
  <si>
    <t>85467362</t>
  </si>
  <si>
    <t>GONZALEZ OSORIO HUMBERTO ISMAEL</t>
  </si>
  <si>
    <t>5123442</t>
  </si>
  <si>
    <t>BAEZ MERCADO EDGARDO JOSE</t>
  </si>
  <si>
    <t>BAE* MER**** EDG**** JOS*</t>
  </si>
  <si>
    <t>85468328</t>
  </si>
  <si>
    <t>PEREZ GUTIERREZ JORGE ALFONSO</t>
  </si>
  <si>
    <t>5123467</t>
  </si>
  <si>
    <t>GARCIA MARIMON LUIS DOMINGO</t>
  </si>
  <si>
    <t>GAR*** MAR**** LUI* DOM****</t>
  </si>
  <si>
    <t>85472829</t>
  </si>
  <si>
    <t>ANAYA ARRIETA OSVALDO MANUEL</t>
  </si>
  <si>
    <t>5123487</t>
  </si>
  <si>
    <t>NAVARRO CORTINA MANUEL FRANCISCO</t>
  </si>
  <si>
    <t>NAV**** COR**** MAN*** FRA******</t>
  </si>
  <si>
    <t>85474389</t>
  </si>
  <si>
    <t>PEREZ CEBALLOS LUIS ALEJANDRO</t>
  </si>
  <si>
    <t>5123497</t>
  </si>
  <si>
    <t>MERCADO CURCIO OMER GREGORIO</t>
  </si>
  <si>
    <t>4</t>
  </si>
  <si>
    <t>MER**** CUR*** OME* GRE*****</t>
  </si>
  <si>
    <t>85488399</t>
  </si>
  <si>
    <t>PEÑA ANNICHIARICO JULIO FRANCISCO</t>
  </si>
  <si>
    <t>5124704</t>
  </si>
  <si>
    <t>ARAGON ARRIETA EDELFIN RAFAEL</t>
  </si>
  <si>
    <t>ARA*** ARR**** EDE**** RAF***</t>
  </si>
  <si>
    <t>88031622</t>
  </si>
  <si>
    <t>DIAZ JAIMES JOSE JESUS</t>
  </si>
  <si>
    <t>5124756</t>
  </si>
  <si>
    <t>FERNANDEZ MARTINEZ OSCAR ENRIQUE</t>
  </si>
  <si>
    <t>FER****** MAR***** OSC** ENR****</t>
  </si>
  <si>
    <t>91424200</t>
  </si>
  <si>
    <t>MUÑOZ MARTINEZ PEDRO</t>
  </si>
  <si>
    <t>5124778</t>
  </si>
  <si>
    <t>CARVAJAL DELGADO JOSE NICANOR</t>
  </si>
  <si>
    <t>CAR***** DEL**** JOS* NIC****</t>
  </si>
  <si>
    <t>91428271</t>
  </si>
  <si>
    <t>VIDES ROBLES MEDEL ANTONIO</t>
  </si>
  <si>
    <t>5125700</t>
  </si>
  <si>
    <t>TETTAY POLANCO WILMER ENRIQUE</t>
  </si>
  <si>
    <t>TET*** POL**** WIL*** ENR****</t>
  </si>
  <si>
    <t>1065582013</t>
  </si>
  <si>
    <t>FONSECA RODRIGUEZ JHONATAN</t>
  </si>
  <si>
    <t>5138322</t>
  </si>
  <si>
    <t>SALCEDO PATERNOSTRO PABLO JOSE</t>
  </si>
  <si>
    <t>SAL**** PAT******** PAB** JOS*</t>
  </si>
  <si>
    <t>1082869531</t>
  </si>
  <si>
    <t>ORTEGA GUERRERO JOSE DAVID</t>
  </si>
  <si>
    <t>5408723</t>
  </si>
  <si>
    <t>LOPEZ PEREZ HEBER</t>
  </si>
  <si>
    <t>LOP** PER** HEB**</t>
  </si>
  <si>
    <t>1082891737</t>
  </si>
  <si>
    <t>RIVERA ACOSTA CHRISTIAN DAVID</t>
  </si>
  <si>
    <t>6136679</t>
  </si>
  <si>
    <t>GONZALEZ SANCHEZ SERGIO ALEXIS</t>
  </si>
  <si>
    <t>GON***** SAN**** SER*** ALE***</t>
  </si>
  <si>
    <t>1096203695</t>
  </si>
  <si>
    <t>PUENTE BARROS ALVARO ENRIQUE</t>
  </si>
  <si>
    <t>6463571</t>
  </si>
  <si>
    <t>RUIZ BELTRAN JOSE JAVIER</t>
  </si>
  <si>
    <t>RUI* BEL**** JOS* JAV***</t>
  </si>
  <si>
    <t>1128196860</t>
  </si>
  <si>
    <t>MARQUEZ LUNA EDGAR ALFONSO</t>
  </si>
  <si>
    <t>6609523</t>
  </si>
  <si>
    <t>MOTTA JAVIER</t>
  </si>
  <si>
    <t>MOT** JAV***</t>
  </si>
  <si>
    <t>6762899</t>
  </si>
  <si>
    <t>BADILLO NARANJO DAMASO ANTONIO</t>
  </si>
  <si>
    <t>BAD**** NAR**** DAM*** ANT****</t>
  </si>
  <si>
    <t>6765028</t>
  </si>
  <si>
    <t>GAONA ALBERTO FERNANDO</t>
  </si>
  <si>
    <t>GAO** ALB**** FER*****</t>
  </si>
  <si>
    <t>6774810</t>
  </si>
  <si>
    <t>VILLEGAS MARTINEZ GUSTAVO ENRIQUE</t>
  </si>
  <si>
    <t>VIL***** MAR***** GUS**** ENR****</t>
  </si>
  <si>
    <t>6794959</t>
  </si>
  <si>
    <t>ARIANO ROBLES LEONARDO</t>
  </si>
  <si>
    <t>ARI*** ROB*** LEO*****</t>
  </si>
  <si>
    <t>6889194</t>
  </si>
  <si>
    <t>ORTIZ PACHECO GREGORIO JOSE</t>
  </si>
  <si>
    <t>ORT** PAC**** GRE***** JOS*</t>
  </si>
  <si>
    <t>6892151</t>
  </si>
  <si>
    <t>RAMOS PEREZ ALVARO DE JESUS</t>
  </si>
  <si>
    <t>RAM** PER** ALV*** DE JES**</t>
  </si>
  <si>
    <t>7140220</t>
  </si>
  <si>
    <t>TROUT BOVEA DAWINSO ADNOVER</t>
  </si>
  <si>
    <t>TRO** BOV** DAW**** ADN****</t>
  </si>
  <si>
    <t>7141229</t>
  </si>
  <si>
    <t>DIAZ TORRES YAIR ALEXANDER</t>
  </si>
  <si>
    <t>2CM</t>
  </si>
  <si>
    <t>DIA* TOR*** YAI* ALE******</t>
  </si>
  <si>
    <t>7141627</t>
  </si>
  <si>
    <t>JOHNSON GUERRA ROJO TSETUNG</t>
  </si>
  <si>
    <t>JOH**** GUE*** ROJ* TSE****</t>
  </si>
  <si>
    <t>7142088</t>
  </si>
  <si>
    <t>PEREZ DEL TORO ORLANDO JAVIER</t>
  </si>
  <si>
    <t>PER** DEL TOR* ORL**** JAV***</t>
  </si>
  <si>
    <t>7143337</t>
  </si>
  <si>
    <t>SARMIENTO VARGAS LUIS EDUARDO</t>
  </si>
  <si>
    <t>SAR****** VAR*** LUI* EDU****</t>
  </si>
  <si>
    <t>7143423</t>
  </si>
  <si>
    <t>HERNANDEZ DE LA ROSA ORLANDO HAROLD</t>
  </si>
  <si>
    <t>HER****** DE LA ROS* ORL**** HAR***</t>
  </si>
  <si>
    <t>7143774</t>
  </si>
  <si>
    <t>ZUÑIGA VEGA EDWIN MANUEL</t>
  </si>
  <si>
    <t>ZUÑ*** VEG* EDW** MAN***</t>
  </si>
  <si>
    <t>7144386</t>
  </si>
  <si>
    <t>MARIÑO HERRERA FRANCISCO ANTONIO</t>
  </si>
  <si>
    <t>MAR*** HER**** FRA****** ANT****</t>
  </si>
  <si>
    <t>7151144</t>
  </si>
  <si>
    <t>VELEZ GARCIA GUSTAVO ANTONIO</t>
  </si>
  <si>
    <t>VEL** GAR*** GUS**** ANT****</t>
  </si>
  <si>
    <t>7151597</t>
  </si>
  <si>
    <t>BARROS LOPEZ EDELMIS</t>
  </si>
  <si>
    <t>BAR*** LOP** EDE****</t>
  </si>
  <si>
    <t>7151714</t>
  </si>
  <si>
    <t>PALMERA MONTESINO ISAEL</t>
  </si>
  <si>
    <t>PAL**** MON****** ISA**</t>
  </si>
  <si>
    <t>7172669</t>
  </si>
  <si>
    <t>DIAZ CASTAÑEDA EDWIN JOSE</t>
  </si>
  <si>
    <t>DIA* CAS****** EDW** JOS*</t>
  </si>
  <si>
    <t>7570430</t>
  </si>
  <si>
    <t>CARREÑO ARENAS JADER</t>
  </si>
  <si>
    <t>CAR**** ARE*** JAD**</t>
  </si>
  <si>
    <t>7571118</t>
  </si>
  <si>
    <t>SUAREZ CORDOBA EDINSON JOSE</t>
  </si>
  <si>
    <t>SUA*** COR**** EDI**** JOS*</t>
  </si>
  <si>
    <t>7585647</t>
  </si>
  <si>
    <t>TREJO CASTILLO MIGUEL ANGEL</t>
  </si>
  <si>
    <t>TRE** CAS***** MIG*** ANG**</t>
  </si>
  <si>
    <t>7591474</t>
  </si>
  <si>
    <t>FONTALVO ORTEGA OSCAR AUGUSTO</t>
  </si>
  <si>
    <t>FON***** ORT*** OSC** AUG****</t>
  </si>
  <si>
    <t>7591686</t>
  </si>
  <si>
    <t>MORALES FONTALVO ELIODORO ALBERTO</t>
  </si>
  <si>
    <t>MOR**** FON***** ELI***** ALB****</t>
  </si>
  <si>
    <t>7591696</t>
  </si>
  <si>
    <t>DE LA HOZ PACHECO LUIS ENRIQUE</t>
  </si>
  <si>
    <t>DE LA HOZ PAC**** LUI* ENR****</t>
  </si>
  <si>
    <t>7591734</t>
  </si>
  <si>
    <t>RIVERA GARCIA HUMBERTO JULIO</t>
  </si>
  <si>
    <t>RIV*** GAR*** HUM***** JUL**</t>
  </si>
  <si>
    <t>7591784</t>
  </si>
  <si>
    <t>JULIO GARCIA ANDRES JOSE</t>
  </si>
  <si>
    <t>JUL** GAR*** AND*** JOS*</t>
  </si>
  <si>
    <t>7591945</t>
  </si>
  <si>
    <t>COLON YANCY ALVARO DAVID</t>
  </si>
  <si>
    <t>COL** YAN** ALV*** DAV**</t>
  </si>
  <si>
    <t>7592094</t>
  </si>
  <si>
    <t>GOMEZ MANGA RAFAEL ENRIQUE</t>
  </si>
  <si>
    <t>GOM** MAN** RAF*** ENR****</t>
  </si>
  <si>
    <t>7592127</t>
  </si>
  <si>
    <t>JULIO GARCIA CRISTOBAL DE JESUS</t>
  </si>
  <si>
    <t>JUL** GAR*** CRI****** DE JES**</t>
  </si>
  <si>
    <t>7592147</t>
  </si>
  <si>
    <t>DE LA CRUZ MACIAS PEDRO MANUEL</t>
  </si>
  <si>
    <t>DE LA CRU* MAC*** PED** MAN***</t>
  </si>
  <si>
    <t>7592171</t>
  </si>
  <si>
    <t>GOMEZ HERNANDEZ PEDRO MANUEL</t>
  </si>
  <si>
    <t>GOM** HER****** PED** MAN***</t>
  </si>
  <si>
    <t>7592172</t>
  </si>
  <si>
    <t>VARGAS MORALES MATIAS ANTONIO</t>
  </si>
  <si>
    <t>VAR*** MOR**** MAT*** ANT****</t>
  </si>
  <si>
    <t>7592242</t>
  </si>
  <si>
    <t>CASTRO TORREGROZA ALVARO CESAR</t>
  </si>
  <si>
    <t>CAS*** TOR******* ALV*** CES**</t>
  </si>
  <si>
    <t>7592263</t>
  </si>
  <si>
    <t>PEREZ OROZCO FEDERMAN</t>
  </si>
  <si>
    <t>PER** ORO*** FED*****</t>
  </si>
  <si>
    <t>7592302</t>
  </si>
  <si>
    <t>GARCIA CANTILLO EVERTO LUIS</t>
  </si>
  <si>
    <t>GAR*** CAN***** EVE*** LUI*</t>
  </si>
  <si>
    <t>7592411</t>
  </si>
  <si>
    <t>PALACIO TORRES JORGE ELIECER</t>
  </si>
  <si>
    <t>PAL**** TOR*** JOR** ELI****</t>
  </si>
  <si>
    <t>7592559</t>
  </si>
  <si>
    <t>SILVA TERNERA OSCAR MARTIN</t>
  </si>
  <si>
    <t>SIL** TER**** OSC** MAR***</t>
  </si>
  <si>
    <t>7592656</t>
  </si>
  <si>
    <t>BOLAÑO DE LA CRUZ JOSE MANUEL</t>
  </si>
  <si>
    <t>BOL*** DE LA CRU* JOS* MAN***</t>
  </si>
  <si>
    <t>7592703</t>
  </si>
  <si>
    <t>BOLAÑO GUTIERREZ HIDALGO</t>
  </si>
  <si>
    <t>BOL*** GUT****** HID****</t>
  </si>
  <si>
    <t>7592750</t>
  </si>
  <si>
    <t>DE LA CRUZ GARCIA JUAN BAUTISTA</t>
  </si>
  <si>
    <t>DE LA CRU* GAR*** JUA* BAU*****</t>
  </si>
  <si>
    <t>7592752</t>
  </si>
  <si>
    <t>OROZCO PERTUZ JOSE ANTONIO</t>
  </si>
  <si>
    <t>ORO*** PER*** JOS* ANT****</t>
  </si>
  <si>
    <t>7593006</t>
  </si>
  <si>
    <t>SALAS RIVERA MIGUEL ALFONSO</t>
  </si>
  <si>
    <t>SAL** RIV*** MIG*** ALF****</t>
  </si>
  <si>
    <t>7593008</t>
  </si>
  <si>
    <t>MARENCO ACOSTA JESUS RAFAEL</t>
  </si>
  <si>
    <t>MAR**** ACO*** JES** RAF***</t>
  </si>
  <si>
    <t>7593203</t>
  </si>
  <si>
    <t>AMAYA FONTALVO GABRIEL DE JESUS</t>
  </si>
  <si>
    <t>AMA** FON***** GAB**** DE JES**</t>
  </si>
  <si>
    <t>7593236</t>
  </si>
  <si>
    <t>ESQUEA VARELA EDUARDO ENRIQUE</t>
  </si>
  <si>
    <t>ESQ*** VAR*** EDU**** ENR****</t>
  </si>
  <si>
    <t>7593259</t>
  </si>
  <si>
    <t>BORJA DE LA ROSA SOFANOR ENRIQUE</t>
  </si>
  <si>
    <t>BOR** DE LA ROS* SOF**** ENR****</t>
  </si>
  <si>
    <t>7593324</t>
  </si>
  <si>
    <t>GONZALEZ CABALLERO CESAR AUGUSTO</t>
  </si>
  <si>
    <t>GON***** CAB****** CES** AUG****</t>
  </si>
  <si>
    <t>7593421</t>
  </si>
  <si>
    <t>PARRA CHIQUILLO ORLANDO DE JESUS</t>
  </si>
  <si>
    <t>PAR** CHI****** ORL**** DE JES**</t>
  </si>
  <si>
    <t>7593526</t>
  </si>
  <si>
    <t>POLO ACOSTA CARLOS MIGUEL</t>
  </si>
  <si>
    <t>POL* ACO*** CAR*** MIG***</t>
  </si>
  <si>
    <t>7593565</t>
  </si>
  <si>
    <t>COLLAZO BORNACELLI JAIRO RAFAEL</t>
  </si>
  <si>
    <t>COL**** BOR******* JAI** RAF***</t>
  </si>
  <si>
    <t>7593570</t>
  </si>
  <si>
    <t>GARCIA PEREZ MANUEL RAMON</t>
  </si>
  <si>
    <t>GAR*** PER** MAN*** RAM**</t>
  </si>
  <si>
    <t>7593572</t>
  </si>
  <si>
    <t>ROMO BUSTOS CESAR AUGUSTO</t>
  </si>
  <si>
    <t>ROM* BUS*** CES** AUG****</t>
  </si>
  <si>
    <t>7593632</t>
  </si>
  <si>
    <t>ALVAREZ CANTILLO JORGE ELIECER</t>
  </si>
  <si>
    <t>ALV**** CAN***** JOR** ELI****</t>
  </si>
  <si>
    <t>7593634</t>
  </si>
  <si>
    <t>DE LA HOZ PACHECO ELIECER RAFAEL</t>
  </si>
  <si>
    <t>DE LA HOZ PAC**** ELI**** RAF***</t>
  </si>
  <si>
    <t>7593645</t>
  </si>
  <si>
    <t>SALINAS DE LA CRUZ CARLOS RAMIRO</t>
  </si>
  <si>
    <t>SAL**** DE LA CRU* CAR*** RAM***</t>
  </si>
  <si>
    <t>7593665</t>
  </si>
  <si>
    <t>TORREGROZA JIMENEZ JOSE SEGUNDO</t>
  </si>
  <si>
    <t>TOR******* JIM**** JOS* SEG****</t>
  </si>
  <si>
    <t>7593736</t>
  </si>
  <si>
    <t>POLO BORJA JUAN FRANCISCO</t>
  </si>
  <si>
    <t>POL* BOR** JUA* FRA******</t>
  </si>
  <si>
    <t>7593894</t>
  </si>
  <si>
    <t>VALLE CANTILLO REMBERTO RAFAEL</t>
  </si>
  <si>
    <t>VAL** CAN***** REM***** RAF***</t>
  </si>
  <si>
    <t>7594053</t>
  </si>
  <si>
    <t>COLON YANCI ALBERTO LUIS</t>
  </si>
  <si>
    <t>COL** YAN** ALB**** LUI*</t>
  </si>
  <si>
    <t>7594213</t>
  </si>
  <si>
    <t>POLO BORJA OMAR JOSE</t>
  </si>
  <si>
    <t>POL* BOR** OMA* JOS*</t>
  </si>
  <si>
    <t>7594269</t>
  </si>
  <si>
    <t>DE LA HOZ JULIO OBDULIO</t>
  </si>
  <si>
    <t>DE LA HOZ JUL** OBD****</t>
  </si>
  <si>
    <t>7594324</t>
  </si>
  <si>
    <t>OROZCO TORREGROZA RAMIRO ENRIQUE</t>
  </si>
  <si>
    <t>ORO*** TOR******* RAM*** ENR****</t>
  </si>
  <si>
    <t>7594338</t>
  </si>
  <si>
    <t>POLO ACOSTA JAIME ALFONSO</t>
  </si>
  <si>
    <t>POL* ACO*** JAI** ALF****</t>
  </si>
  <si>
    <t>7594339</t>
  </si>
  <si>
    <t>POTES DONADO OMAR LORENZO</t>
  </si>
  <si>
    <t>POT** DON*** OMA* LOR****</t>
  </si>
  <si>
    <t>7594341</t>
  </si>
  <si>
    <t>PERTUZ OROZCO JORGE HUMBERTO</t>
  </si>
  <si>
    <t>PER*** ORO*** JOR** HUM*****</t>
  </si>
  <si>
    <t>7594345</t>
  </si>
  <si>
    <t>GOMEZ HERNANDEZ NEIRO ANTONIO</t>
  </si>
  <si>
    <t>GOM** HER****** NEI** ANT****</t>
  </si>
  <si>
    <t>7594358</t>
  </si>
  <si>
    <t>YANCI PERTUZ RAFAEL DIONISIO</t>
  </si>
  <si>
    <t>YAN** PER*** RAF*** DIO*****</t>
  </si>
  <si>
    <t>7594439</t>
  </si>
  <si>
    <t>TORREGROZA CABARCAS DIEGO SEGUNDO</t>
  </si>
  <si>
    <t>TOR******* CAB***** DIE** SEG****</t>
  </si>
  <si>
    <t>7594450</t>
  </si>
  <si>
    <t>SALAS SOLANO GERSON JOSE</t>
  </si>
  <si>
    <t>SAL** SOL*** GER*** JOS*</t>
  </si>
  <si>
    <t>7594462</t>
  </si>
  <si>
    <t>FONTALVO MONTENEGRO JOSE MARIA</t>
  </si>
  <si>
    <t>FON***** MON******* JOS* MAR**</t>
  </si>
  <si>
    <t>7594609</t>
  </si>
  <si>
    <t>CANTILLO CHIQUILLO JAIRO DAVID</t>
  </si>
  <si>
    <t>CAN***** CHI****** JAI** DAV**</t>
  </si>
  <si>
    <t>7594654</t>
  </si>
  <si>
    <t>RODRIGUEZ VEGA MANUEL SALVADOR</t>
  </si>
  <si>
    <t>ROD****** VEG* MAN*** SAL*****</t>
  </si>
  <si>
    <t>7594676</t>
  </si>
  <si>
    <t>ROMERO ACOSTA FREDY ENRIQUE</t>
  </si>
  <si>
    <t>ROM*** ACO*** FRE** ENR****</t>
  </si>
  <si>
    <t>7594682</t>
  </si>
  <si>
    <t>PERTUZ OROZCO ALCIDES ALFONSO</t>
  </si>
  <si>
    <t>PER*** ORO*** ALC**** ALF****</t>
  </si>
  <si>
    <t>7594702</t>
  </si>
  <si>
    <t>PINTO CANTILLO ALBERTO ENRIQUE</t>
  </si>
  <si>
    <t>PIN** CAN***** ALB**** ENR****</t>
  </si>
  <si>
    <t>7594716</t>
  </si>
  <si>
    <t>YANCY PEREZ ALFONSO DAVID</t>
  </si>
  <si>
    <t>YAN** PER** ALF**** DAV**</t>
  </si>
  <si>
    <t>7594734</t>
  </si>
  <si>
    <t>CANTILLO ESCALANTE ABELARDO ENRIQUE</t>
  </si>
  <si>
    <t>CAN***** ESC****** ABE***** ENR****</t>
  </si>
  <si>
    <t>7594879</t>
  </si>
  <si>
    <t>PERTUZ ROMO CARLOS ALBERTO</t>
  </si>
  <si>
    <t>PER*** ROM* CAR*** ALB****</t>
  </si>
  <si>
    <t>7594916</t>
  </si>
  <si>
    <t>POLO DOMINGUEZ GILBERTO NACIANO</t>
  </si>
  <si>
    <t>POL* DOM****** GIL***** NAC****</t>
  </si>
  <si>
    <t>7594931</t>
  </si>
  <si>
    <t>BERMUDEZ JIMENEZ FRANCISCO</t>
  </si>
  <si>
    <t>BER***** JIM**** FRA******</t>
  </si>
  <si>
    <t>7594969</t>
  </si>
  <si>
    <t>LLANOS CORONADO FREDY JOSE</t>
  </si>
  <si>
    <t>LLA*** COR***** FRE** JOS*</t>
  </si>
  <si>
    <t>7595039</t>
  </si>
  <si>
    <t>PALLARES DE LA CRUZ LUIS EDUARDO</t>
  </si>
  <si>
    <t>PAL***** DE LA CRU* LUI* EDU****</t>
  </si>
  <si>
    <t>7595062</t>
  </si>
  <si>
    <t>TERNERA JULIO JOAQUIN VICENTE</t>
  </si>
  <si>
    <t>TER**** JUL** JOA**** VIC****</t>
  </si>
  <si>
    <t>7595075</t>
  </si>
  <si>
    <t>OROZCO MOVILLA ANIBAL RICARDO</t>
  </si>
  <si>
    <t>ORO*** MOV**** ANI*** RIC****</t>
  </si>
  <si>
    <t>7595163</t>
  </si>
  <si>
    <t>CABALLERO TERNERA NADIN JOSE</t>
  </si>
  <si>
    <t>CAB****** TER**** NAD** JOS*</t>
  </si>
  <si>
    <t>7595191</t>
  </si>
  <si>
    <t>PERTUZ OROZCO SAIME LUIS</t>
  </si>
  <si>
    <t>PER*** ORO*** SAI** LUI*</t>
  </si>
  <si>
    <t>7595375</t>
  </si>
  <si>
    <t>PERTUZ GARCIA JOSE DEL CARMEN</t>
  </si>
  <si>
    <t>PER*** GAR*** JOS* DEL CAR***</t>
  </si>
  <si>
    <t>7595404</t>
  </si>
  <si>
    <t>MERCADO POLO FREDY DE JESUS</t>
  </si>
  <si>
    <t>MER**** POL* FRE** DE JES**</t>
  </si>
  <si>
    <t>7595447</t>
  </si>
  <si>
    <t>ORTIZ TORREGROZA NILSON RAFAEL</t>
  </si>
  <si>
    <t>ORT** TOR******* NIL*** RAF***</t>
  </si>
  <si>
    <t>7595489</t>
  </si>
  <si>
    <t>GARCIA MERIÑO CESAR ANTONIO</t>
  </si>
  <si>
    <t>GAR*** MER*** CES** ANT****</t>
  </si>
  <si>
    <t>7595607</t>
  </si>
  <si>
    <t>GARCIA CORONADO RICARDO JOSE</t>
  </si>
  <si>
    <t>GAR*** COR***** RIC**** JOS*</t>
  </si>
  <si>
    <t>7595788</t>
  </si>
  <si>
    <t>PERTUZ PEREZ ROBERTO MANUEL</t>
  </si>
  <si>
    <t>PER*** PER** ROB**** MAN***</t>
  </si>
  <si>
    <t>7595954</t>
  </si>
  <si>
    <t>GUETTE GRANADOS RAFAEL AUGUSTO</t>
  </si>
  <si>
    <t>GUE*** GRA***** RAF*** AUG****</t>
  </si>
  <si>
    <t>7596286</t>
  </si>
  <si>
    <t>DE LA CRUZ CALVO JUAN PABLO</t>
  </si>
  <si>
    <t>DE LA CRU* CAL** JUA* PAB**</t>
  </si>
  <si>
    <t>7596399</t>
  </si>
  <si>
    <t>MANGA MENDOZA LUIS MIGUEL</t>
  </si>
  <si>
    <t>MAN** MEN**** LUI* MIG***</t>
  </si>
  <si>
    <t>7596448</t>
  </si>
  <si>
    <t>GONZALEZ BARRIOS YONNIS MANUEL</t>
  </si>
  <si>
    <t>GON***** BAR**** YON*** MAN***</t>
  </si>
  <si>
    <t>7596479</t>
  </si>
  <si>
    <t>MENDOZA OLAYA CATALINO ANTONIO</t>
  </si>
  <si>
    <t>MEN**** OLA** CAT***** ANT****</t>
  </si>
  <si>
    <t>7596486</t>
  </si>
  <si>
    <t>LOPEZ VILLAREAL CESAR ALFONSO</t>
  </si>
  <si>
    <t>LOP** VIL****** CES** ALF****</t>
  </si>
  <si>
    <t>7596537</t>
  </si>
  <si>
    <t>BOLAÑO LIDUEÑA EMEL ELIAS</t>
  </si>
  <si>
    <t>BOL*** LID**** EME* ELI**</t>
  </si>
  <si>
    <t>7596538</t>
  </si>
  <si>
    <t>PEREZ ORDOÑEZ IVAN ENRIQUE</t>
  </si>
  <si>
    <t>PER** ORD**** IVA* ENR****</t>
  </si>
  <si>
    <t>7596601</t>
  </si>
  <si>
    <t>CARRILLO OROZCO WILFRIDO</t>
  </si>
  <si>
    <t>CAR***** ORO*** WIL*****</t>
  </si>
  <si>
    <t>7596606</t>
  </si>
  <si>
    <t>NOSSA PLATA OSCAR</t>
  </si>
  <si>
    <t>NOS** PLA** OSC**</t>
  </si>
  <si>
    <t>7596684</t>
  </si>
  <si>
    <t>SALAS CABALLERO PEDRO CONSTANTINO</t>
  </si>
  <si>
    <t>SAL** CAB****** PED** CON********</t>
  </si>
  <si>
    <t>7596784</t>
  </si>
  <si>
    <t>CHARRIS CANTILLO HEIMAN JAMITH</t>
  </si>
  <si>
    <t>CHA**** CAN***** HEI*** JAM***</t>
  </si>
  <si>
    <t>7596820</t>
  </si>
  <si>
    <t>PACHECO CARRANZA JAIME</t>
  </si>
  <si>
    <t>PAC**** CAR***** JAI**</t>
  </si>
  <si>
    <t>7596875</t>
  </si>
  <si>
    <t>BONETT GARCIA JORGE ELIECER</t>
  </si>
  <si>
    <t>BON*** GAR*** JOR** ELI****</t>
  </si>
  <si>
    <t>7596922</t>
  </si>
  <si>
    <t>MONTENEGRO CASTRO ENRIQUE NELSON</t>
  </si>
  <si>
    <t>MON******* CAS*** ENR**** NEL***</t>
  </si>
  <si>
    <t>7596925</t>
  </si>
  <si>
    <t>CRESPO CRESPO YOBANI ENRIQUE</t>
  </si>
  <si>
    <t>CRE*** CRE*** YOB*** ENR****</t>
  </si>
  <si>
    <t>7597222</t>
  </si>
  <si>
    <t>PEDROZA CASTRO JOSE SEGUNDO</t>
  </si>
  <si>
    <t>PED**** CAS*** JOS* SEG****</t>
  </si>
  <si>
    <t>7597291</t>
  </si>
  <si>
    <t>VEGA CANTILLO HERNANDO MANUEL</t>
  </si>
  <si>
    <t>VEG* CAN***** HER***** MAN***</t>
  </si>
  <si>
    <t>7597304</t>
  </si>
  <si>
    <t>POLO VILLA JAIME ENRIQUE</t>
  </si>
  <si>
    <t>POL* VIL** JAI** ENR****</t>
  </si>
  <si>
    <t>7597314</t>
  </si>
  <si>
    <t>TORRES GRANADOS MANUEL ANTONIO</t>
  </si>
  <si>
    <t>TOR*** GRA***** MAN*** ANT****</t>
  </si>
  <si>
    <t>7597335</t>
  </si>
  <si>
    <t>GOMEZ MANGA OSVALDO JOSE</t>
  </si>
  <si>
    <t>GOM** MAN** OSV**** JOS*</t>
  </si>
  <si>
    <t>7597370</t>
  </si>
  <si>
    <t>BARON DE LA CRUZ HIDALGO</t>
  </si>
  <si>
    <t>BAR** DE LA CRU* HID****</t>
  </si>
  <si>
    <t>7597642</t>
  </si>
  <si>
    <t>GARCIA PERALTA ASAID DE JESUS</t>
  </si>
  <si>
    <t>GAR*** PER**** ASA** DE JES**</t>
  </si>
  <si>
    <t>7597690</t>
  </si>
  <si>
    <t>MERIÑO OSPINO JOSE GREGORIO</t>
  </si>
  <si>
    <t>MER*** OSP*** JOS* GRE*****</t>
  </si>
  <si>
    <t>7597755</t>
  </si>
  <si>
    <t>LARA OROZCO JORGE LUIS</t>
  </si>
  <si>
    <t>LAR* ORO*** JOR** LUI*</t>
  </si>
  <si>
    <t>7597866</t>
  </si>
  <si>
    <t>PERTUZ GARCIA JORGE DAVID</t>
  </si>
  <si>
    <t>PER*** GAR*** JOR** DAV**</t>
  </si>
  <si>
    <t>7597894</t>
  </si>
  <si>
    <t>ALVAREZ TERNERA JOSMAN</t>
  </si>
  <si>
    <t>ALV**** TER**** JOS***</t>
  </si>
  <si>
    <t>7597955</t>
  </si>
  <si>
    <t>TORREGROZA JIMENEZ FREDYS ALFONSO</t>
  </si>
  <si>
    <t>TOR******* JIM**** FRE*** ALF****</t>
  </si>
  <si>
    <t>7598167</t>
  </si>
  <si>
    <t>ROMERO MOZO JUAN ALBERTO</t>
  </si>
  <si>
    <t>ROM*** MOZ* JUA* ALB****</t>
  </si>
  <si>
    <t>7598293</t>
  </si>
  <si>
    <t>CUELLO NORIEGA NILSON ALBEIRO</t>
  </si>
  <si>
    <t>CUE*** NOR**** NIL*** ALB****</t>
  </si>
  <si>
    <t>7598307</t>
  </si>
  <si>
    <t>OROZCO SALVADOR AFRANIO</t>
  </si>
  <si>
    <t>ORO*** SAL***** AFR****</t>
  </si>
  <si>
    <t>7598482</t>
  </si>
  <si>
    <t>JULIO PAYARES JAMER DAVID</t>
  </si>
  <si>
    <t>JUL** PAY**** JAM** DAV**</t>
  </si>
  <si>
    <t>7598520</t>
  </si>
  <si>
    <t>DE LA HOZ VASQUEZ JOSE IGINIO</t>
  </si>
  <si>
    <t>DE LA HOZ VAS**** JOS* IGI***</t>
  </si>
  <si>
    <t>7598587</t>
  </si>
  <si>
    <t>BOLAÑO PABON EDGARDO FABIAN</t>
  </si>
  <si>
    <t>BOL*** PAB** EDG**** FAB***</t>
  </si>
  <si>
    <t>7598760</t>
  </si>
  <si>
    <t>POLO TERNERA CARLOS MARIO</t>
  </si>
  <si>
    <t>POL* TER**** CAR*** MAR**</t>
  </si>
  <si>
    <t>7598763</t>
  </si>
  <si>
    <t>DE LA CRUZ CALVO DAIRO ELIAS</t>
  </si>
  <si>
    <t>DE LA CRU* CAL** DAI** ELI**</t>
  </si>
  <si>
    <t>7598852</t>
  </si>
  <si>
    <t>BOLAÑO PALACIN JHON CARLOS</t>
  </si>
  <si>
    <t>BOL*** PAL**** JHO* CAR***</t>
  </si>
  <si>
    <t>7598862</t>
  </si>
  <si>
    <t>GARCIA MOLINA FORTUNATO JAVIER</t>
  </si>
  <si>
    <t>GAR*** MOL*** FOR****** JAV***</t>
  </si>
  <si>
    <t>7598909</t>
  </si>
  <si>
    <t>PERTUZ SAMPER EMERSON ENRIQUE</t>
  </si>
  <si>
    <t>PER*** SAM*** EME**** ENR****</t>
  </si>
  <si>
    <t>7599318</t>
  </si>
  <si>
    <t>GARCIA DE LA HOZ FERNEY ALFONSO</t>
  </si>
  <si>
    <t>GAR*** DE LA HOZ FER*** ALF****</t>
  </si>
  <si>
    <t>7599385</t>
  </si>
  <si>
    <t>MARTINEZ CAMARGO NEDIL FRAN</t>
  </si>
  <si>
    <t>MAR***** CAM**** NED** FRA*</t>
  </si>
  <si>
    <t>7599489</t>
  </si>
  <si>
    <t>GARCIA ROJAS JAIR ENRIQUE</t>
  </si>
  <si>
    <t>GAR*** ROJ** JAI* ENR****</t>
  </si>
  <si>
    <t>7599533</t>
  </si>
  <si>
    <t>BONETT PERTUZ OMAR DAVID</t>
  </si>
  <si>
    <t>BON*** PER*** OMA* DAV**</t>
  </si>
  <si>
    <t>7599810</t>
  </si>
  <si>
    <t>JIMENEZ SULBARAN MANUEL MARCIAL</t>
  </si>
  <si>
    <t>JIM**** SUL***** MAN*** MAR****</t>
  </si>
  <si>
    <t>7600465</t>
  </si>
  <si>
    <t>MARTINEZ BENAVIDES JORGE ELIECER</t>
  </si>
  <si>
    <t>MAR***** BEN****** JOR** ELI****</t>
  </si>
  <si>
    <t>7600509</t>
  </si>
  <si>
    <t>NAVARRO AYOLA DANYS DE JESUS</t>
  </si>
  <si>
    <t>NAV**** AYO** DAN** DE JES**</t>
  </si>
  <si>
    <t>7600634</t>
  </si>
  <si>
    <t>RADA CAMPO ALFONSO SEGUNDO</t>
  </si>
  <si>
    <t>RAD* CAM** ALF**** SEG****</t>
  </si>
  <si>
    <t>7601272</t>
  </si>
  <si>
    <t>HERNANDEZ IGIRIO JAVIER ALFONSO</t>
  </si>
  <si>
    <t>HER****** IGI*** JAV*** ALF****</t>
  </si>
  <si>
    <t>7601289</t>
  </si>
  <si>
    <t>CEBALLOS GARCIA LUIS GABRIEL</t>
  </si>
  <si>
    <t>CEB***** GAR*** LUI* GAB****</t>
  </si>
  <si>
    <t>7601540</t>
  </si>
  <si>
    <t>VALERO CARBONO GIOVANY ALBERTO</t>
  </si>
  <si>
    <t>VAL*** CAR**** GIO**** ALB****</t>
  </si>
  <si>
    <t>7601620</t>
  </si>
  <si>
    <t>ARANGO ABAD ABID YOVANNY</t>
  </si>
  <si>
    <t>ARA*** ABA* ABI* YOV****</t>
  </si>
  <si>
    <t>7601840</t>
  </si>
  <si>
    <t>ORTIZ PEREZ JOSE DAVID</t>
  </si>
  <si>
    <t>ORT** PER** JOS* DAV**</t>
  </si>
  <si>
    <t>7602206</t>
  </si>
  <si>
    <t>ANAYA SANCHEZ FABIAN TOMAS</t>
  </si>
  <si>
    <t>ANA** SAN**** FAB*** TOM**</t>
  </si>
  <si>
    <t>7602280</t>
  </si>
  <si>
    <t>BARRIOS MARRIAGA MANUEL FERNANDO</t>
  </si>
  <si>
    <t>BAR**** MAR***** MAN*** FER*****</t>
  </si>
  <si>
    <t>7602364</t>
  </si>
  <si>
    <t>CAMPO BARRANCO SNEYDER ANDRES</t>
  </si>
  <si>
    <t>CAM** BAR***** SNE**** AND***</t>
  </si>
  <si>
    <t>7602390</t>
  </si>
  <si>
    <t>CASTRO MELENDEZ EDUIN RAFAEL</t>
  </si>
  <si>
    <t>CAS*** MEL***** EDU** RAF***</t>
  </si>
  <si>
    <t>7602439</t>
  </si>
  <si>
    <t>TORRES VILLAFAÑA JOSE RAUL</t>
  </si>
  <si>
    <t>Din. Ped. o edu. Ind. Docente de aula de espacios educativos</t>
  </si>
  <si>
    <t>5C2</t>
  </si>
  <si>
    <t>ADMINISTRATIVO</t>
  </si>
  <si>
    <t>TOR*** VIL****** JOS* RAU*</t>
  </si>
  <si>
    <t>7602500</t>
  </si>
  <si>
    <t>PATERNINA OSPINO WILMER ENRIQUE</t>
  </si>
  <si>
    <t>PAT****** OSP*** WIL*** ENR****</t>
  </si>
  <si>
    <t>7602960</t>
  </si>
  <si>
    <t>CARRANZA MORALES SAMAEL VICENTE</t>
  </si>
  <si>
    <t>CAR***** MOR**** SAM*** VIC****</t>
  </si>
  <si>
    <t>7603259</t>
  </si>
  <si>
    <t>CASALINS BARRIOS GUSTAVO JOSE</t>
  </si>
  <si>
    <t>CAS***** BAR**** GUS**** JOS*</t>
  </si>
  <si>
    <t>7604645</t>
  </si>
  <si>
    <t>REDONDO ANAYA RONALDO EDUARDO</t>
  </si>
  <si>
    <t>RED**** ANA** RON**** EDU****</t>
  </si>
  <si>
    <t>7617012</t>
  </si>
  <si>
    <t>LOPEZ CORREA JAIME JOSE</t>
  </si>
  <si>
    <t>LOP** COR*** JAI** JOS*</t>
  </si>
  <si>
    <t>7617020</t>
  </si>
  <si>
    <t>RADA ALQUERQUE OSCAR</t>
  </si>
  <si>
    <t>RAD* ALQ****** OSC**</t>
  </si>
  <si>
    <t>7617190</t>
  </si>
  <si>
    <t>RUBIO BALLESTA JOSE MARIA</t>
  </si>
  <si>
    <t>RUB** BAL***** JOS* MAR**</t>
  </si>
  <si>
    <t>7617555</t>
  </si>
  <si>
    <t>TINOCO RUIDIAZ NAIRO</t>
  </si>
  <si>
    <t>TIN*** RUI**** NAI**</t>
  </si>
  <si>
    <t>7617789</t>
  </si>
  <si>
    <t>AVENDAÑO PIÑERES RIQUELMER</t>
  </si>
  <si>
    <t>AVE***** PIÑ**** RIQ******</t>
  </si>
  <si>
    <t>7618022</t>
  </si>
  <si>
    <t>CAMARGO DIAZ JAIRO JOSE</t>
  </si>
  <si>
    <t>CAM**** DIA* JAI** JOS*</t>
  </si>
  <si>
    <t>7618055</t>
  </si>
  <si>
    <t>MALKUN GARCIA JAIR</t>
  </si>
  <si>
    <t>MAL*** GAR*** JAI*</t>
  </si>
  <si>
    <t>7618588</t>
  </si>
  <si>
    <t>OROZCO PALMERA GABRIEL JOSE</t>
  </si>
  <si>
    <t>ORO*** PAL**** GAB**** JOS*</t>
  </si>
  <si>
    <t>7618601</t>
  </si>
  <si>
    <t>HERNANDEZ RIVERA DAVINSSON JOSE</t>
  </si>
  <si>
    <t>HER****** RIV*** DAV****** JOS*</t>
  </si>
  <si>
    <t>7618613</t>
  </si>
  <si>
    <t>MANJARRES GUTIERREZ JOSE LUIS</t>
  </si>
  <si>
    <t>MAN****** GUT****** JOS* LUI*</t>
  </si>
  <si>
    <t>7619016</t>
  </si>
  <si>
    <t>GOMEZ BELEÑO MAURIS</t>
  </si>
  <si>
    <t>GOM** BEL*** MAU***</t>
  </si>
  <si>
    <t>7619815</t>
  </si>
  <si>
    <t>OVIEDO CASTRO JORGE LUIS</t>
  </si>
  <si>
    <t>OVI*** CAS*** JOR** LUI*</t>
  </si>
  <si>
    <t>7628489</t>
  </si>
  <si>
    <t>ABRIL CUBAQUE ALEX FRANZ</t>
  </si>
  <si>
    <t>ABR** CUB**** ALE* FRA**</t>
  </si>
  <si>
    <t>7628576</t>
  </si>
  <si>
    <t>MENDIETA OTALORA WILLIAM JESUS</t>
  </si>
  <si>
    <t>MEN***** OTA**** WIL**** JES**</t>
  </si>
  <si>
    <t>7628703</t>
  </si>
  <si>
    <t>ANGULO PEREZ CARLOS MANUEL</t>
  </si>
  <si>
    <t>ANG*** PER** CAR*** MAN***</t>
  </si>
  <si>
    <t>7629284</t>
  </si>
  <si>
    <t>TORRES VILLAFAÑA ALDINEVER ELI</t>
  </si>
  <si>
    <t>ET3</t>
  </si>
  <si>
    <t>ETNOEDUCADOR</t>
  </si>
  <si>
    <t>TOR*** VIL****** ALD****** ELI</t>
  </si>
  <si>
    <t>7629780</t>
  </si>
  <si>
    <t>OÑATE ACOSTA OSCAR GREGORIO</t>
  </si>
  <si>
    <t>OÑA** ACO*** OSC** GRE*****</t>
  </si>
  <si>
    <t>7630157</t>
  </si>
  <si>
    <t>RIOS HERNANDEZ JHON JAIRO</t>
  </si>
  <si>
    <t>RIO* HER****** JHO* JAI**</t>
  </si>
  <si>
    <t>7630363</t>
  </si>
  <si>
    <t>BERMUDEZ QUINTERO JORMER</t>
  </si>
  <si>
    <t>BER***** QUI***** JOR***</t>
  </si>
  <si>
    <t>7630615</t>
  </si>
  <si>
    <t>CHAPARRO GARCIA LUIS CARLOS</t>
  </si>
  <si>
    <t>CHA***** GAR*** LUI* CAR***</t>
  </si>
  <si>
    <t>7630977</t>
  </si>
  <si>
    <t>MARTINEZ CAMPO DANNY DELMIRO</t>
  </si>
  <si>
    <t>MAR***** CAM** DAN** DEL****</t>
  </si>
  <si>
    <t>7631629</t>
  </si>
  <si>
    <t>CONTRERAS HENRIQUEZ DEIVY JOSE</t>
  </si>
  <si>
    <t>1D</t>
  </si>
  <si>
    <t>CON****** HEN****** DEI** JOS*</t>
  </si>
  <si>
    <t>7632133</t>
  </si>
  <si>
    <t>ROMERO MEJIA RONALD REYNER</t>
  </si>
  <si>
    <t>ROM*** MEJ** RON*** REY***</t>
  </si>
  <si>
    <t>7632441</t>
  </si>
  <si>
    <t>CAMARGO ROMERO MILCIADES DE JESUS</t>
  </si>
  <si>
    <t>CAM**** ROM*** MIL****** DE JES**</t>
  </si>
  <si>
    <t>7632514</t>
  </si>
  <si>
    <t>CABAS HERNANDEZ RICARDO JOSE</t>
  </si>
  <si>
    <t>CAB** HER****** RIC**** JOS*</t>
  </si>
  <si>
    <t>7632574</t>
  </si>
  <si>
    <t>CAMPO SILVA JADER JAVIER</t>
  </si>
  <si>
    <t>CAM** SIL** JAD** JAV***</t>
  </si>
  <si>
    <t>7632671</t>
  </si>
  <si>
    <t>ELJADUE CARREÑO GILBRAN ANTONIO</t>
  </si>
  <si>
    <t>ELJ**** CAR**** GIL**** ANT****</t>
  </si>
  <si>
    <t>7633115</t>
  </si>
  <si>
    <t>VILLAFAÑA IZQUIERDO SELSO</t>
  </si>
  <si>
    <t>ET2</t>
  </si>
  <si>
    <t>VIL****** IZQ****** SEL**</t>
  </si>
  <si>
    <t>7633354</t>
  </si>
  <si>
    <t>VARON PAYARES JAIRO JAVIER</t>
  </si>
  <si>
    <t>VAR** PAY**** JAI** JAV***</t>
  </si>
  <si>
    <t>7633834</t>
  </si>
  <si>
    <t>PEREA HERNANDEZ ADAULFO JUNIOR</t>
  </si>
  <si>
    <t>PER** HER****** ADA**** JUN***</t>
  </si>
  <si>
    <t>7634730</t>
  </si>
  <si>
    <t>PEÑARANDA LOPEZ JOSE ALBERTO</t>
  </si>
  <si>
    <t>PEÑ****** LOP** JOS* ALB****</t>
  </si>
  <si>
    <t>7634920</t>
  </si>
  <si>
    <t>ACUÑA VALLE DEVIN MILTON</t>
  </si>
  <si>
    <t>ACU** VAL** DEV** MIL***</t>
  </si>
  <si>
    <t>7635465</t>
  </si>
  <si>
    <t>JARABA OSPINO ALEXANDER JOSE</t>
  </si>
  <si>
    <t>JAR*** OSP*** ALE****** JOS*</t>
  </si>
  <si>
    <t>7635480</t>
  </si>
  <si>
    <t>MARTINEZ JIMENEZ HUGO FAVIAN</t>
  </si>
  <si>
    <t>4C1</t>
  </si>
  <si>
    <t>MAR***** JIM**** HUG* FAV***</t>
  </si>
  <si>
    <t>7635514</t>
  </si>
  <si>
    <t>VILLERO DE ANGEL FABIO ENRIQUE</t>
  </si>
  <si>
    <t>VIL**** DE ANG** FAB** ENR****</t>
  </si>
  <si>
    <t>7635688</t>
  </si>
  <si>
    <t>DE LEON OCHOA VICTOR MANUEL</t>
  </si>
  <si>
    <t>DE LEO* OCH** VIC*** MAN***</t>
  </si>
  <si>
    <t>7635768</t>
  </si>
  <si>
    <t>GARCIA ALMENDRALES DONALDO ENRIQUE</t>
  </si>
  <si>
    <t>GAR*** ALM******** DON**** ENR****</t>
  </si>
  <si>
    <t>7635783</t>
  </si>
  <si>
    <t>HERRERA COHEN JAVIER ALONSO</t>
  </si>
  <si>
    <t>HER**** COH** JAV*** ALO***</t>
  </si>
  <si>
    <t>7635941</t>
  </si>
  <si>
    <t>MOLINA JIMENEZ FABIAN GUILLERMO</t>
  </si>
  <si>
    <t>MOL*** JIM**** FAB*** GUI******</t>
  </si>
  <si>
    <t>7636238</t>
  </si>
  <si>
    <t>VILLARREAL TORRES JOSE LUIS</t>
  </si>
  <si>
    <t>VIL******* TOR*** JOS* LUI*</t>
  </si>
  <si>
    <t>7636446</t>
  </si>
  <si>
    <t>SANCHEZ JIMENEZ MANUEL SEGUNDO</t>
  </si>
  <si>
    <t>SAN**** JIM**** MAN*** SEG****</t>
  </si>
  <si>
    <t>7636795</t>
  </si>
  <si>
    <t>OSPINO QUINTANA LUIS GREGORIO</t>
  </si>
  <si>
    <t>OSP*** QUI***** LUI* GRE*****</t>
  </si>
  <si>
    <t>7641035</t>
  </si>
  <si>
    <t>RIVAS ORTIZ YAIMER EMIRO</t>
  </si>
  <si>
    <t>RIV** ORT** YAI*** EMI**</t>
  </si>
  <si>
    <t>7641061</t>
  </si>
  <si>
    <t>ELJAUDE SERRANO ANUAR</t>
  </si>
  <si>
    <t>ELJ**** SER**** ANU**</t>
  </si>
  <si>
    <t>7641093</t>
  </si>
  <si>
    <t>JULIO ALVARINO SANTANDER</t>
  </si>
  <si>
    <t>JUL** ALV***** SAN******</t>
  </si>
  <si>
    <t>7641492</t>
  </si>
  <si>
    <t>NAVARRO CORTINA ALVARO RAFAEL</t>
  </si>
  <si>
    <t>NAV**** COR**** ALV*** RAF***</t>
  </si>
  <si>
    <t>7641522</t>
  </si>
  <si>
    <t>ARIZA ESCOBAR RAFAEL ANTONIO</t>
  </si>
  <si>
    <t>ARI** ESC**** RAF*** ANT****</t>
  </si>
  <si>
    <t>7641587</t>
  </si>
  <si>
    <t>DIAZ ARIAS JOSE MARIA</t>
  </si>
  <si>
    <t>DIA* ARI** JOS* MAR**</t>
  </si>
  <si>
    <t>7641653</t>
  </si>
  <si>
    <t>CERVANTES ORDOÑEZ CARLOS IVAN</t>
  </si>
  <si>
    <t>10</t>
  </si>
  <si>
    <t>CER****** ORD**** CAR*** IVA*</t>
  </si>
  <si>
    <t>7641662</t>
  </si>
  <si>
    <t>ANAYA MERCADO EDUARDO MANUEL</t>
  </si>
  <si>
    <t>ANA** MER**** EDU**** MAN***</t>
  </si>
  <si>
    <t>7641702</t>
  </si>
  <si>
    <t>ARRIETA RAMOS NALFER ANTONIO</t>
  </si>
  <si>
    <t>ARR**** RAM** NAL*** ANT****</t>
  </si>
  <si>
    <t>7641739</t>
  </si>
  <si>
    <t>VILLAMIZAR GONZALEZ JULIO CESAR</t>
  </si>
  <si>
    <t>VIL******* GON***** JUL** CES**</t>
  </si>
  <si>
    <t>7641859</t>
  </si>
  <si>
    <t>MARQUEZ MARENCO EDUARDO ENRIQUE</t>
  </si>
  <si>
    <t>MAR**** MAR**** EDU**** ENR****</t>
  </si>
  <si>
    <t>7641913</t>
  </si>
  <si>
    <t>CANTILLO CASTELLAR FRANCISCO JOSE</t>
  </si>
  <si>
    <t>CAN***** CAS****** FRA****** JOS*</t>
  </si>
  <si>
    <t>7642220</t>
  </si>
  <si>
    <t>MIRANDA CORTINA YOHAN CASSIUS</t>
  </si>
  <si>
    <t>MIR**** COR**** YOH** CAS****</t>
  </si>
  <si>
    <t>7642223</t>
  </si>
  <si>
    <t>WILCHES CORTINA ALEXANDER DE JESUS</t>
  </si>
  <si>
    <t>WIL**** COR**** ALE****** DE JES**</t>
  </si>
  <si>
    <t>7642287</t>
  </si>
  <si>
    <t>SANCHEZ OROZCO JOHNI GREGORIO</t>
  </si>
  <si>
    <t>SAN**** ORO*** JOH** GRE*****</t>
  </si>
  <si>
    <t>7642475</t>
  </si>
  <si>
    <t>VILLA MERCADO ENRIQUE MIGUEL</t>
  </si>
  <si>
    <t>VIL** MER**** ENR**** MIG***</t>
  </si>
  <si>
    <t>7642681</t>
  </si>
  <si>
    <t>CAPARROSO CORTINA EDUARDO FRANCISCO</t>
  </si>
  <si>
    <t>CAP****** COR**** EDU**** FRA******</t>
  </si>
  <si>
    <t>7642694</t>
  </si>
  <si>
    <t>CANTILLO GUZMAN LUIS RAMIRO</t>
  </si>
  <si>
    <t>CAN***** GUZ*** LUI* RAM***</t>
  </si>
  <si>
    <t>7642702</t>
  </si>
  <si>
    <t>BADILLO HERNANDEZ ANDRES EDUARDO</t>
  </si>
  <si>
    <t>BAD**** HER****** AND*** EDU****</t>
  </si>
  <si>
    <t>7642864</t>
  </si>
  <si>
    <t>CHAMORRO MARIMON JORGE MARIO</t>
  </si>
  <si>
    <t>CHA***** MAR**** JOR** MAR**</t>
  </si>
  <si>
    <t>7642872</t>
  </si>
  <si>
    <t>MEDINA ARRIETA FERNANDO RAFAEL</t>
  </si>
  <si>
    <t>MED*** ARR**** FER***** RAF***</t>
  </si>
  <si>
    <t>7642895</t>
  </si>
  <si>
    <t>BRAVO NAVAS JOSE ISAIAS</t>
  </si>
  <si>
    <t>BRA** NAV** JOS* ISA***</t>
  </si>
  <si>
    <t>7675934</t>
  </si>
  <si>
    <t>PEÑA OBESO JARLIN JAVIER</t>
  </si>
  <si>
    <t>PEÑ* OBE** JAR*** JAV***</t>
  </si>
  <si>
    <t>7676004</t>
  </si>
  <si>
    <t>BARRAZA RODRIGUEZ RENSO DE JESUS</t>
  </si>
  <si>
    <t>BAR**** ROD****** REN** DE JES**</t>
  </si>
  <si>
    <t>7676007</t>
  </si>
  <si>
    <t>ALMANZA PEÑA YENALDY RAFAEL</t>
  </si>
  <si>
    <t>ALM**** PEÑ* YEN**** RAF***</t>
  </si>
  <si>
    <t>7919812</t>
  </si>
  <si>
    <t>VARELA BOLAÑO JUAN CARLOS</t>
  </si>
  <si>
    <t>VAR*** BOL*** JUA* CAR***</t>
  </si>
  <si>
    <t>7997082</t>
  </si>
  <si>
    <t>MUÑOZ LOPEZ JOHN BAYRON</t>
  </si>
  <si>
    <t>MUÑ** LOP** JOH* BAY***</t>
  </si>
  <si>
    <t>8323202</t>
  </si>
  <si>
    <t>MARTINEZ LOBO JEINER</t>
  </si>
  <si>
    <t>MAR***** LOB* JEI***</t>
  </si>
  <si>
    <t>8357988</t>
  </si>
  <si>
    <t>CAMPO FRANCISCO JAVIER</t>
  </si>
  <si>
    <t>CAM** FRA****** JAV***</t>
  </si>
  <si>
    <t>8486934</t>
  </si>
  <si>
    <t>FARELO PEÑA HUBER ENRIQUE</t>
  </si>
  <si>
    <t>FAR*** PEÑ* HUB** ENR****</t>
  </si>
  <si>
    <t>8497622</t>
  </si>
  <si>
    <t>TRUYOL PEREZ JOSE DARIO</t>
  </si>
  <si>
    <t>TRU*** PER** JOS* DAR**</t>
  </si>
  <si>
    <t>8500376</t>
  </si>
  <si>
    <t>TORRES TAPIAS CARLOS ALBERTO</t>
  </si>
  <si>
    <t>TOR*** TAP*** CAR*** ALB****</t>
  </si>
  <si>
    <t>8511265</t>
  </si>
  <si>
    <t>ORTEGA MIRANDA MARTIN GUILLERMO</t>
  </si>
  <si>
    <t>ORT*** MIR**** MAR*** GUI******</t>
  </si>
  <si>
    <t>8520631</t>
  </si>
  <si>
    <t>SANDOVAL HERNANDEZ ERICK</t>
  </si>
  <si>
    <t>SAN***** HER****** ERI**</t>
  </si>
  <si>
    <t>8531095</t>
  </si>
  <si>
    <t>OLIVERO NAVARRO EDIER</t>
  </si>
  <si>
    <t>OLI**** NAV**** EDI**</t>
  </si>
  <si>
    <t>8533137</t>
  </si>
  <si>
    <t>MARTINEZ BARRAZA EDUARDO RAFAEL</t>
  </si>
  <si>
    <t>MAR***** BAR**** EDU**** RAF***</t>
  </si>
  <si>
    <t>8535357</t>
  </si>
  <si>
    <t>RIVERA AYCARDI JESUS MARTIN</t>
  </si>
  <si>
    <t>RIV*** AYC**** JES** MAR***</t>
  </si>
  <si>
    <t>8536943</t>
  </si>
  <si>
    <t>MOYA BARRAZA SENEN ENRIQUE</t>
  </si>
  <si>
    <t>MOY* BAR**** SEN** ENR****</t>
  </si>
  <si>
    <t>8539915</t>
  </si>
  <si>
    <t>ALVAREZ RODRIGUEZ LUIS FERNANDO</t>
  </si>
  <si>
    <t>ALV**** ROD****** LUI* FER*****</t>
  </si>
  <si>
    <t>8566589</t>
  </si>
  <si>
    <t>TERAN JARAMILLO JOSE FRANCISCO</t>
  </si>
  <si>
    <t>TER** JAR****** JOS* FRA******</t>
  </si>
  <si>
    <t>8569011</t>
  </si>
  <si>
    <t>PEDROZA CANTILLO LUIS ALBERTO</t>
  </si>
  <si>
    <t>PED**** CAN***** LUI* ALB****</t>
  </si>
  <si>
    <t>8572002</t>
  </si>
  <si>
    <t>MEJIA PADILLA MANUEL DE JESUS</t>
  </si>
  <si>
    <t>MEJ** PAD**** MAN*** DE JES**</t>
  </si>
  <si>
    <t>8572369</t>
  </si>
  <si>
    <t>CABALLERO PERTUZ ROISER RAFAEL</t>
  </si>
  <si>
    <t>CAB****** PER*** ROI*** RAF***</t>
  </si>
  <si>
    <t>8601734</t>
  </si>
  <si>
    <t>RUIZ RUIZ ALFIDES RAFAEL</t>
  </si>
  <si>
    <t>RUI* RUI* ALF**** RAF***</t>
  </si>
  <si>
    <t>8602876</t>
  </si>
  <si>
    <t>AMADOR BAYUELO NESTOR AMILCAR</t>
  </si>
  <si>
    <t>AMA*** BAY**** NES*** AMI****</t>
  </si>
  <si>
    <t>8604139</t>
  </si>
  <si>
    <t>MENA UTRIA BLADIMIR ANTONIO</t>
  </si>
  <si>
    <t>MEN* UTR** BLA***** ANT****</t>
  </si>
  <si>
    <t>8632802</t>
  </si>
  <si>
    <t>ISAZA ARIZA NILDO DE JESUS</t>
  </si>
  <si>
    <t>ISA** ARI** NIL** DE JES**</t>
  </si>
  <si>
    <t>8632887</t>
  </si>
  <si>
    <t>CABARCAS GOMEZ EDILBERTO</t>
  </si>
  <si>
    <t>CAB***** GOM** EDI******</t>
  </si>
  <si>
    <t>8632978</t>
  </si>
  <si>
    <t>DE LA HOZ BOLAÑO GERMAN</t>
  </si>
  <si>
    <t>DE LA HOZ BOL*** GER***</t>
  </si>
  <si>
    <t>8634888</t>
  </si>
  <si>
    <t>ESCALANTE CHARRIS ROBERTO LUIS</t>
  </si>
  <si>
    <t>ESC****** CHA**** ROB**** LUI*</t>
  </si>
  <si>
    <t>8636104</t>
  </si>
  <si>
    <t>GONZALEZ CARRANZA ALVARO IVAN</t>
  </si>
  <si>
    <t>GON***** CAR***** ALV*** IVA*</t>
  </si>
  <si>
    <t>8639149</t>
  </si>
  <si>
    <t>MERCADO BARRAZA JOSE MARIA</t>
  </si>
  <si>
    <t>MER**** BAR**** JOS* MAR**</t>
  </si>
  <si>
    <t>8639275</t>
  </si>
  <si>
    <t>SERJE MERCADO ROGELIO FLORENTINO</t>
  </si>
  <si>
    <t>SER** MER**** ROG**** FLO*******</t>
  </si>
  <si>
    <t>8639754</t>
  </si>
  <si>
    <t>ZABALETA ALMANZA JUAN CARLOS</t>
  </si>
  <si>
    <t>ZAB***** ALM**** JUA* CAR***</t>
  </si>
  <si>
    <t>8639960</t>
  </si>
  <si>
    <t>FRANCIA HERNANDEZ HERMAN EGAUT</t>
  </si>
  <si>
    <t>FRA**** HER****** HER*** EGA**</t>
  </si>
  <si>
    <t>8640498</t>
  </si>
  <si>
    <t>OSPINO ESCALANTE ABELARDO ANTONIO</t>
  </si>
  <si>
    <t>OSP*** ESC****** ABE***** ANT****</t>
  </si>
  <si>
    <t>8640627</t>
  </si>
  <si>
    <t>GOMEZ CASTRO UBALDO ENRIQUE</t>
  </si>
  <si>
    <t>GOM** CAS*** UBA*** ENR****</t>
  </si>
  <si>
    <t>8640854</t>
  </si>
  <si>
    <t>BERDUGO CHARRIS YORIS MANUEL</t>
  </si>
  <si>
    <t>BER**** CHA**** YOR** MAN***</t>
  </si>
  <si>
    <t>8641132</t>
  </si>
  <si>
    <t>ARAGON OSPINO OSCAR ANDRES</t>
  </si>
  <si>
    <t>ARA*** OSP*** OSC** AND***</t>
  </si>
  <si>
    <t>8646302</t>
  </si>
  <si>
    <t>ZAMBRANO MORALES WILMER JOSE</t>
  </si>
  <si>
    <t>ZAM***** MOR**** WIL*** JOS*</t>
  </si>
  <si>
    <t>8646929</t>
  </si>
  <si>
    <t>OROZCO OROZCO JOMEINIS ALONSO</t>
  </si>
  <si>
    <t>ORO*** ORO*** JOM***** ALO***</t>
  </si>
  <si>
    <t>8648297</t>
  </si>
  <si>
    <t>OSPINO ESCALANTE ALFONSO ENRIQUE</t>
  </si>
  <si>
    <t>OSP*** ESC****** ALF**** ENR****</t>
  </si>
  <si>
    <t>8670823</t>
  </si>
  <si>
    <t>MORENO VILLAMIZAR NESTOR ENRIQUE</t>
  </si>
  <si>
    <t>MOR*** VIL******* NES*** ENR****</t>
  </si>
  <si>
    <t>8673127</t>
  </si>
  <si>
    <t>PARRA SUAREZ HENRY</t>
  </si>
  <si>
    <t>PAR** SUA*** HEN**</t>
  </si>
  <si>
    <t>8674845</t>
  </si>
  <si>
    <t>DE LA HOZ FONTALVO EDGARDO JOSE</t>
  </si>
  <si>
    <t>DE LA HOZ FON***** EDG**** JOS*</t>
  </si>
  <si>
    <t>8680180</t>
  </si>
  <si>
    <t>TURBAY ANDRADE AUGUSTO EMILIO</t>
  </si>
  <si>
    <t>TUR*** AND**** AUG**** EMI***</t>
  </si>
  <si>
    <t>8685215</t>
  </si>
  <si>
    <t>VILLANUEVA GONZALEZ SIMON ALBERTO</t>
  </si>
  <si>
    <t>VIL******* GON***** SIM** ALB****</t>
  </si>
  <si>
    <t>8689632</t>
  </si>
  <si>
    <t>DE LA CRUZ DE LA CRUZ ADAMIS DE JESUS</t>
  </si>
  <si>
    <t>DE LA CRU* DE LA CRU* ADA*** DE JES**</t>
  </si>
  <si>
    <t>8692617</t>
  </si>
  <si>
    <t>VILLA MERIÑO REINEL GUSTAVO</t>
  </si>
  <si>
    <t>VIL** MER*** REI*** GUS****</t>
  </si>
  <si>
    <t>8692768</t>
  </si>
  <si>
    <t>MONTERO GONZALEZ JOSE MANUEL</t>
  </si>
  <si>
    <t>MON**** GON***** JOS* MAN***</t>
  </si>
  <si>
    <t>8693123</t>
  </si>
  <si>
    <t>MIRANDA MIRANDA LUIS CARLOS</t>
  </si>
  <si>
    <t>MIR**** MIR**** LUI* CAR***</t>
  </si>
  <si>
    <t>8694532</t>
  </si>
  <si>
    <t>GAITAN CASTELLANOS WILSON</t>
  </si>
  <si>
    <t>GAI*** CAS******** WIL***</t>
  </si>
  <si>
    <t>8697182</t>
  </si>
  <si>
    <t>RUIZ MUÑOZ GUSTAVO MANUEL</t>
  </si>
  <si>
    <t>RUI* MUÑ** GUS**** MAN***</t>
  </si>
  <si>
    <t>8698589</t>
  </si>
  <si>
    <t>ROPAIN LOBO OSVALDO ENRIQUE</t>
  </si>
  <si>
    <t>ROP*** LOB* OSV**** ENR****</t>
  </si>
  <si>
    <t>8701985</t>
  </si>
  <si>
    <t>ROMO BONETT EDUARDO ENRIQUE</t>
  </si>
  <si>
    <t>ROM* BON*** EDU**** ENR****</t>
  </si>
  <si>
    <t>8702332</t>
  </si>
  <si>
    <t>MERIÑO FARIAS JAIME ANTONIO</t>
  </si>
  <si>
    <t>MER*** FAR*** JAI** ANT****</t>
  </si>
  <si>
    <t>8703568</t>
  </si>
  <si>
    <t>PIMIENTA VARGAS VICTOR</t>
  </si>
  <si>
    <t>PIM***** VAR*** VIC***</t>
  </si>
  <si>
    <t>8706564</t>
  </si>
  <si>
    <t>MONTEALEGRE SALCEDO FREDY</t>
  </si>
  <si>
    <t>MON******** SAL**** FRE**</t>
  </si>
  <si>
    <t>8707352</t>
  </si>
  <si>
    <t>MOLINA POMARICO BLAS ARMANDO</t>
  </si>
  <si>
    <t>MOL*** POM***** BLA* ARM****</t>
  </si>
  <si>
    <t>8709275</t>
  </si>
  <si>
    <t>DE LA ROSA MERIÑO JESUS RAFAEL</t>
  </si>
  <si>
    <t>DE LA ROS* MER*** JES** RAF***</t>
  </si>
  <si>
    <t>8711054</t>
  </si>
  <si>
    <t>SILVA VIVERO DAVID ANTONIO</t>
  </si>
  <si>
    <t>SIL** VIV*** DAV** ANT****</t>
  </si>
  <si>
    <t>8711816</t>
  </si>
  <si>
    <t>CABRERA ORTEGA SIDNEY GUILLERMO</t>
  </si>
  <si>
    <t>CAB**** ORT*** SID*** GUI******</t>
  </si>
  <si>
    <t>8712701</t>
  </si>
  <si>
    <t>FERREIRA MARTINEZ ALBERTO</t>
  </si>
  <si>
    <t>FER***** MAR***** ALB****</t>
  </si>
  <si>
    <t>8713595</t>
  </si>
  <si>
    <t>BARRIOS SANCHEZ EMEL JOSE</t>
  </si>
  <si>
    <t>BAR**** SAN**** EME* JOS*</t>
  </si>
  <si>
    <t>8715975</t>
  </si>
  <si>
    <t>OROZCO ARROYO ORLANDO ENRIQUE</t>
  </si>
  <si>
    <t>ORO*** ARR*** ORL**** ENR****</t>
  </si>
  <si>
    <t>8716034</t>
  </si>
  <si>
    <t>CAMACHO SALGE SIGIFREDO JOSE</t>
  </si>
  <si>
    <t>CAM**** SAL** SIG****** JOS*</t>
  </si>
  <si>
    <t>8716141</t>
  </si>
  <si>
    <t>PADILLA BATISTA JUAN ANTONIO</t>
  </si>
  <si>
    <t>PAD**** BAT**** JUA* ANT****</t>
  </si>
  <si>
    <t>8717937</t>
  </si>
  <si>
    <t>GRANADOS FONTALVO RAFAEL AUGUSTO</t>
  </si>
  <si>
    <t>GRA***** FON***** RAF*** AUG****</t>
  </si>
  <si>
    <t>8718518</t>
  </si>
  <si>
    <t>VILARDY BARRETO ITALO JOSE</t>
  </si>
  <si>
    <t>VIL**** BAR**** ITA** JOS*</t>
  </si>
  <si>
    <t>8720150</t>
  </si>
  <si>
    <t>IGLESIAS ACOSTA JAVIER JESUS</t>
  </si>
  <si>
    <t>IGL***** ACO*** JAV*** JES**</t>
  </si>
  <si>
    <t>8723467</t>
  </si>
  <si>
    <t>VIADERO RIOS ALFONSO</t>
  </si>
  <si>
    <t>VIA**** RIO* ALF****</t>
  </si>
  <si>
    <t>8723531</t>
  </si>
  <si>
    <t>PAEZ BROCHERO GILBERTO JOSE</t>
  </si>
  <si>
    <t>PAE* BRO***** GIL***** JOS*</t>
  </si>
  <si>
    <t>8724321</t>
  </si>
  <si>
    <t>GALVAN MESA ARGE DAVID</t>
  </si>
  <si>
    <t>GAL*** MES* ARG* DAV**</t>
  </si>
  <si>
    <t>8724589</t>
  </si>
  <si>
    <t>OLAYA RIVERA ORLANDO SEGUNDO</t>
  </si>
  <si>
    <t>OLA** RIV*** ORL**** SEG****</t>
  </si>
  <si>
    <t>8725229</t>
  </si>
  <si>
    <t>PAREJA NOVA MANUEL JOSE</t>
  </si>
  <si>
    <t>PAR*** NOV* MAN*** JOS*</t>
  </si>
  <si>
    <t>8729233</t>
  </si>
  <si>
    <t>NOVOA RONCALLO WILMAN</t>
  </si>
  <si>
    <t>NOV** RON***** WIL***</t>
  </si>
  <si>
    <t>8736181</t>
  </si>
  <si>
    <t>POLO ORTEGA CESAR AGUSTO</t>
  </si>
  <si>
    <t>POL* ORT*** CES** AGU***</t>
  </si>
  <si>
    <t>8736437</t>
  </si>
  <si>
    <t>ANGULO MANOTAS GIOVANNI ARTURO</t>
  </si>
  <si>
    <t>ANG*** MAN**** GIO***** ART***</t>
  </si>
  <si>
    <t>8736525</t>
  </si>
  <si>
    <t>FERNANDEZ PAVA HERNAN</t>
  </si>
  <si>
    <t>FER****** PAV* HER***</t>
  </si>
  <si>
    <t>8737333</t>
  </si>
  <si>
    <t>MEZA SUAREZ CARLOS ENRIQUE</t>
  </si>
  <si>
    <t>MEZ* SUA*** CAR*** ENR****</t>
  </si>
  <si>
    <t>8737508</t>
  </si>
  <si>
    <t>HERNANDEZ MONTERO AGAPITO RAFAEL</t>
  </si>
  <si>
    <t>HER****** MON**** AGA**** RAF***</t>
  </si>
  <si>
    <t>8739450</t>
  </si>
  <si>
    <t>SALCEDO DE LA HOZ GALDINO ANDRES</t>
  </si>
  <si>
    <t>SAL**** DE LA HOZ GAL**** AND***</t>
  </si>
  <si>
    <t>8739747</t>
  </si>
  <si>
    <t>OROZCO VEGA ALVARO ENRIQUE</t>
  </si>
  <si>
    <t>ORO*** VEG* ALV*** ENR****</t>
  </si>
  <si>
    <t>8743695</t>
  </si>
  <si>
    <t>BRU VILLA TOMAS</t>
  </si>
  <si>
    <t>BRU VIL** TOM**</t>
  </si>
  <si>
    <t>8743866</t>
  </si>
  <si>
    <t>BAENA BOLAÑO EDILBERTO</t>
  </si>
  <si>
    <t>BAE** BOL*** EDI******</t>
  </si>
  <si>
    <t>8744887</t>
  </si>
  <si>
    <t>GONZALEZ BORJA GUSTAVO GABRIEL</t>
  </si>
  <si>
    <t>GON***** BOR** GUS**** GAB****</t>
  </si>
  <si>
    <t>8751641</t>
  </si>
  <si>
    <t>MUÑOZ POLO RODRIGO ALBERTO</t>
  </si>
  <si>
    <t>MUÑ** POL* ROD**** ALB****</t>
  </si>
  <si>
    <t>8752806</t>
  </si>
  <si>
    <t>UCROS PACHECO JOSE MIGUEL</t>
  </si>
  <si>
    <t>UCR** PAC**** JOS* MIG***</t>
  </si>
  <si>
    <t>8755308</t>
  </si>
  <si>
    <t>SEGURA PEREZ JOSE DE LOS REYES</t>
  </si>
  <si>
    <t>SEG*** PER** JOS* DE LOS REY**</t>
  </si>
  <si>
    <t>8757209</t>
  </si>
  <si>
    <t>FRANCO BANDERA JOSE VIRGILIO</t>
  </si>
  <si>
    <t>FRA*** BAN**** JOS* VIR*****</t>
  </si>
  <si>
    <t>8758580</t>
  </si>
  <si>
    <t>FIGUEROA RAMOS DAGOBERTO ANTONIO</t>
  </si>
  <si>
    <t>FIG***** RAM** DAG****** ANT****</t>
  </si>
  <si>
    <t>8766994</t>
  </si>
  <si>
    <t>NIÑO CASTAÑEDA JUAN CARLOS</t>
  </si>
  <si>
    <t>NIÑ* CAS****** JUA* CAR***</t>
  </si>
  <si>
    <t>8769912</t>
  </si>
  <si>
    <t>CAMACHO FONTALVO ELIONED JAVIER</t>
  </si>
  <si>
    <t>CAM**** FON***** ELI**** JAV***</t>
  </si>
  <si>
    <t>8770922</t>
  </si>
  <si>
    <t>TILANO MARRIAGA ARNALDO</t>
  </si>
  <si>
    <t>TIL*** MAR***** ARN****</t>
  </si>
  <si>
    <t>8771259</t>
  </si>
  <si>
    <t>DE LA HOZ MONTERO ORLANDO ENRIQUE</t>
  </si>
  <si>
    <t>DE LA HOZ MON**** ORL**** ENR****</t>
  </si>
  <si>
    <t>8771290</t>
  </si>
  <si>
    <t>MARTINEZ ORDOÑEZ LUIS ENRIQUE</t>
  </si>
  <si>
    <t>MAR***** ORD**** LUI* ENR****</t>
  </si>
  <si>
    <t>8771331</t>
  </si>
  <si>
    <t>SIERRA DE AGUA URIEL ENRIQUE</t>
  </si>
  <si>
    <t>SIE*** DE AGU* URI** ENR****</t>
  </si>
  <si>
    <t>8771429</t>
  </si>
  <si>
    <t>MENDOZA GUTIERREZ AQUILIO ANTONIO</t>
  </si>
  <si>
    <t>MEN**** GUT****** AQU**** ANT****</t>
  </si>
  <si>
    <t>8771622</t>
  </si>
  <si>
    <t>GUTIERREZ CANTILLO SANTANDER</t>
  </si>
  <si>
    <t>GUT****** CAN***** SAN******</t>
  </si>
  <si>
    <t>8775367</t>
  </si>
  <si>
    <t>JIMENEZ ANAYA FRANKLIN DE JESUS</t>
  </si>
  <si>
    <t>JIM**** ANA** FRA***** DE JES**</t>
  </si>
  <si>
    <t>8775368</t>
  </si>
  <si>
    <t>DE LEON SERRANO PABLO JOSE</t>
  </si>
  <si>
    <t>DE LEO* SER**** PAB** JOS*</t>
  </si>
  <si>
    <t>8778029</t>
  </si>
  <si>
    <t>ROJANO ORTIZ ANGEL</t>
  </si>
  <si>
    <t>ROJ*** ORT** ANG**</t>
  </si>
  <si>
    <t>8782927</t>
  </si>
  <si>
    <t>GOMEZ MARTINEZ VICTOR MANUEL</t>
  </si>
  <si>
    <t>GOM** MAR***** VIC*** MAN***</t>
  </si>
  <si>
    <t>8783783</t>
  </si>
  <si>
    <t>ARRIETA MENDOZA DIEGO FERNANDO</t>
  </si>
  <si>
    <t>ARR**** MEN**** DIE** FER*****</t>
  </si>
  <si>
    <t>8785744</t>
  </si>
  <si>
    <t>OSPINO FONSECA XAVIER EDUARDO</t>
  </si>
  <si>
    <t>OSP*** FON**** XAV*** EDU****</t>
  </si>
  <si>
    <t>8787297</t>
  </si>
  <si>
    <t>DE LA CRUZ MIER RAMIRO OMAR</t>
  </si>
  <si>
    <t>DE LA CRU* MIE* RAM*** OMA*</t>
  </si>
  <si>
    <t>8789423</t>
  </si>
  <si>
    <t>VERGARA HERNANDEZ CARLOS SEGUNDO</t>
  </si>
  <si>
    <t>VER**** HER****** CAR*** SEG****</t>
  </si>
  <si>
    <t>8791276</t>
  </si>
  <si>
    <t>TORRALBO GUTIERREZ ROBINSON</t>
  </si>
  <si>
    <t>BC</t>
  </si>
  <si>
    <t>TOR***** GUT****** ROB*****</t>
  </si>
  <si>
    <t>8797830</t>
  </si>
  <si>
    <t>PADILLA BARRIOS ALBERTO MARIO</t>
  </si>
  <si>
    <t>PAD**** BAR**** ALB**** MAR**</t>
  </si>
  <si>
    <t>8799269</t>
  </si>
  <si>
    <t>NAVARRO ARCHBOLD LEON MANUEL</t>
  </si>
  <si>
    <t>NAV**** ARC***** LEO* MAN***</t>
  </si>
  <si>
    <t>8850882</t>
  </si>
  <si>
    <t>MARTINEZ HOYOS JAVIER ENRIQUE</t>
  </si>
  <si>
    <t>MAR***** HOY** JAV*** ENR****</t>
  </si>
  <si>
    <t>8865617</t>
  </si>
  <si>
    <t>GUERRERO MONROY EDER DE JESUS</t>
  </si>
  <si>
    <t>GUE***** MON*** EDE* DE JES**</t>
  </si>
  <si>
    <t>8885108</t>
  </si>
  <si>
    <t>CASTRILLO CORRALES MOISES</t>
  </si>
  <si>
    <t>CAS****** COR***** MOI***</t>
  </si>
  <si>
    <t>8885152</t>
  </si>
  <si>
    <t>CARVAJAL CORRALES RODRIGO</t>
  </si>
  <si>
    <t>CAR***** COR***** ROD****</t>
  </si>
  <si>
    <t>9021539</t>
  </si>
  <si>
    <t>GUARNIZO CUDRIS ORLANDO FABIAN</t>
  </si>
  <si>
    <t>GUA***** CUD*** ORL**** FAB***</t>
  </si>
  <si>
    <t>9022620</t>
  </si>
  <si>
    <t>HERAZO PEREIRA NESTOR RAFAEL</t>
  </si>
  <si>
    <t>HER*** PER**** NES*** RAF***</t>
  </si>
  <si>
    <t>9098122</t>
  </si>
  <si>
    <t>PEINADO CRUZ JACKSON</t>
  </si>
  <si>
    <t>PEI**** CRU* JAC****</t>
  </si>
  <si>
    <t>9101193</t>
  </si>
  <si>
    <t>BORDETH MARTINEZ JORGE LUIS</t>
  </si>
  <si>
    <t>BOR**** MAR***** JOR** LUI*</t>
  </si>
  <si>
    <t>9103128</t>
  </si>
  <si>
    <t>MENDOZA PEREZ PEDRO CARLOS</t>
  </si>
  <si>
    <t>MEN**** PER** PED** CAR***</t>
  </si>
  <si>
    <t>9136461</t>
  </si>
  <si>
    <t>JIMENEZ TAPIA FERNANDO</t>
  </si>
  <si>
    <t>JIM**** TAP** FER*****</t>
  </si>
  <si>
    <t>9137507</t>
  </si>
  <si>
    <t>GUARNIZO MONROY JOSE EDGAR</t>
  </si>
  <si>
    <t>GUA***** MON*** JOS* EDG**</t>
  </si>
  <si>
    <t>9139513</t>
  </si>
  <si>
    <t>FERNANDEZ ALFARO HECTOR</t>
  </si>
  <si>
    <t>FER****** ALF*** HEC***</t>
  </si>
  <si>
    <t>9139600</t>
  </si>
  <si>
    <t>JIMENEZ GUTIERREZ JOSE LUIS</t>
  </si>
  <si>
    <t>JIM**** GUT****** JOS* LUI*</t>
  </si>
  <si>
    <t>9140359</t>
  </si>
  <si>
    <t>ROMERO VIDES EDGARDO JOSE</t>
  </si>
  <si>
    <t>ROM*** VID** EDG**** JOS*</t>
  </si>
  <si>
    <t>9142923</t>
  </si>
  <si>
    <t>BERMUDEZ MENDOZA OSCAR DAVID</t>
  </si>
  <si>
    <t>BER***** MEN**** OSC** DAV**</t>
  </si>
  <si>
    <t>9143197</t>
  </si>
  <si>
    <t>CHACON LARIOS SILFREDO</t>
  </si>
  <si>
    <t>CHA*** LAR*** SIL*****</t>
  </si>
  <si>
    <t>9144575</t>
  </si>
  <si>
    <t>SINNING SUAREZ OSCAR</t>
  </si>
  <si>
    <t>SIN**** SUA*** OSC**</t>
  </si>
  <si>
    <t>9173311</t>
  </si>
  <si>
    <t>LAJUD RICO GERMAN RAFAEL</t>
  </si>
  <si>
    <t>LAJ** RIC* GER*** RAF***</t>
  </si>
  <si>
    <t>9176469</t>
  </si>
  <si>
    <t>VASQUEZ VILLALBA CARLOS DANIEL</t>
  </si>
  <si>
    <t>VAS**** VIL***** CAR*** DAN***</t>
  </si>
  <si>
    <t>9195631</t>
  </si>
  <si>
    <t>BARRIOS ACUÑA NICOLAS ALFONSO</t>
  </si>
  <si>
    <t>BAR**** ACU** NIC**** ALF****</t>
  </si>
  <si>
    <t>9236748</t>
  </si>
  <si>
    <t>MORA BORJA ARNOLD</t>
  </si>
  <si>
    <t>MOR* BOR** ARN***</t>
  </si>
  <si>
    <t>9262541</t>
  </si>
  <si>
    <t>AREVALO CANTILLO RODOLFO</t>
  </si>
  <si>
    <t>ARE**** CAN***** ROD****</t>
  </si>
  <si>
    <t>9262782</t>
  </si>
  <si>
    <t>PATIÑO GARCES ORLANDO</t>
  </si>
  <si>
    <t>PAT*** GAR*** ORL****</t>
  </si>
  <si>
    <t>9263292</t>
  </si>
  <si>
    <t>QUINTERO PARRA JAIRO</t>
  </si>
  <si>
    <t>QUI***** PAR** JAI**</t>
  </si>
  <si>
    <t>9263517</t>
  </si>
  <si>
    <t>SANTOS ROJAS EMIRO ENRIQUE</t>
  </si>
  <si>
    <t>SAN*** ROJ** EMI** ENR****</t>
  </si>
  <si>
    <t>9263610</t>
  </si>
  <si>
    <t>DURAN CARO ALBERTO</t>
  </si>
  <si>
    <t>DUR** CAR* ALB****</t>
  </si>
  <si>
    <t>9263751</t>
  </si>
  <si>
    <t>TURIZO ZAPATA JAIRO</t>
  </si>
  <si>
    <t>TUR*** ZAP*** JAI**</t>
  </si>
  <si>
    <t>9263846</t>
  </si>
  <si>
    <t>DUNOYER URBANO EDGARDO RAFAEL</t>
  </si>
  <si>
    <t>DUN**** URB*** EDG**** RAF***</t>
  </si>
  <si>
    <t>9264199</t>
  </si>
  <si>
    <t>OSPINO GARCES HECTOR</t>
  </si>
  <si>
    <t>OSP*** GAR*** HEC***</t>
  </si>
  <si>
    <t>9264421</t>
  </si>
  <si>
    <t>MORALES PONCE ADRIANO</t>
  </si>
  <si>
    <t>MOR**** PON** ADR****</t>
  </si>
  <si>
    <t>9264500</t>
  </si>
  <si>
    <t>CASTRILLO CORRALES LUIS ANGEL</t>
  </si>
  <si>
    <t>CAS****** COR***** LUI* ANG**</t>
  </si>
  <si>
    <t>9264630</t>
  </si>
  <si>
    <t>EHRHARDT GONZALEZ ELMER</t>
  </si>
  <si>
    <t>EHR***** GON***** ELM**</t>
  </si>
  <si>
    <t>9264688</t>
  </si>
  <si>
    <t>BELEÑO FLORIAN WILSON</t>
  </si>
  <si>
    <t>BEL*** FLO**** WIL***</t>
  </si>
  <si>
    <t>9264779</t>
  </si>
  <si>
    <t>MONTES CORRALES NEHEMIAS</t>
  </si>
  <si>
    <t>MON*** COR***** NEH*****</t>
  </si>
  <si>
    <t>9264801</t>
  </si>
  <si>
    <t>ACUÑA FUENTES LUIS ANIBAL</t>
  </si>
  <si>
    <t>ACU** FUE**** LUI* ANI***</t>
  </si>
  <si>
    <t>9264907</t>
  </si>
  <si>
    <t>ECHAVEZ ESPAÑA WILLIAM</t>
  </si>
  <si>
    <t>ECH**** ESP*** WIL****</t>
  </si>
  <si>
    <t>9264963</t>
  </si>
  <si>
    <t>MENDOZA FUENTES TEOBALDO</t>
  </si>
  <si>
    <t>MEN**** FUE**** TEO*****</t>
  </si>
  <si>
    <t>9264980</t>
  </si>
  <si>
    <t>MORALES MARIN JUAN BAUTISTA</t>
  </si>
  <si>
    <t>MOR**** MAR** JUA* BAU*****</t>
  </si>
  <si>
    <t>9265392</t>
  </si>
  <si>
    <t>GARCES OSPINO EDILSON</t>
  </si>
  <si>
    <t>GAR*** OSP*** EDI****</t>
  </si>
  <si>
    <t>9265605</t>
  </si>
  <si>
    <t>CAMPO MOLINA CESAR DOMINGO</t>
  </si>
  <si>
    <t>CAM** MOL*** CES** DOM****</t>
  </si>
  <si>
    <t>9265733</t>
  </si>
  <si>
    <t>ORTIZ MADRID CECIL ALFONSO</t>
  </si>
  <si>
    <t>ORT** MAD*** CEC** ALF****</t>
  </si>
  <si>
    <t>9265991</t>
  </si>
  <si>
    <t>GUILLEN TERRAZA ERASMO</t>
  </si>
  <si>
    <t>GUI**** TER**** ERA***</t>
  </si>
  <si>
    <t>9266148</t>
  </si>
  <si>
    <t>GUERRERO MULFORD ELEAZAR</t>
  </si>
  <si>
    <t>GUE***** MUL**** ELE****</t>
  </si>
  <si>
    <t>9266381</t>
  </si>
  <si>
    <t>GARCES MEJIA LUIS FERNANDO</t>
  </si>
  <si>
    <t>GAR*** MEJ** LUI* FER*****</t>
  </si>
  <si>
    <t>9266568</t>
  </si>
  <si>
    <t>OSPINO ARCE WILLIAM</t>
  </si>
  <si>
    <t>OSP*** ARC* WIL****</t>
  </si>
  <si>
    <t>9266625</t>
  </si>
  <si>
    <t>PALMERA AGUILAR EDGAR ANTONIO</t>
  </si>
  <si>
    <t>PAL**** AGU**** EDG** ANT****</t>
  </si>
  <si>
    <t>9266638</t>
  </si>
  <si>
    <t>MORALES OTALORA ADAULFO</t>
  </si>
  <si>
    <t>MOR**** OTA**** ADA****</t>
  </si>
  <si>
    <t>9267226</t>
  </si>
  <si>
    <t>FLORIAN FERREIRA DIOGENES</t>
  </si>
  <si>
    <t>FLO**** FER***** DIO*****</t>
  </si>
  <si>
    <t>9267289</t>
  </si>
  <si>
    <t>GARCES RIZZO RAFAEL</t>
  </si>
  <si>
    <t>GAR*** RIZ** RAF***</t>
  </si>
  <si>
    <t>9267377</t>
  </si>
  <si>
    <t>DELGADO NAVARRO JORGE LUIS</t>
  </si>
  <si>
    <t>DEL**** NAV**** JOR** LUI*</t>
  </si>
  <si>
    <t>9267395</t>
  </si>
  <si>
    <t>ELJADUE SILVA LEONARDO</t>
  </si>
  <si>
    <t>ELJ**** SIL** LEO*****</t>
  </si>
  <si>
    <t>9267555</t>
  </si>
  <si>
    <t>MOYA MUÑOZ MARCOS</t>
  </si>
  <si>
    <t>MOY* MUÑ** MAR***</t>
  </si>
  <si>
    <t>9267563</t>
  </si>
  <si>
    <t>GUERRERO NIÑO BLAS EMIRO</t>
  </si>
  <si>
    <t>GUE***** NIÑ* BLA* EMI**</t>
  </si>
  <si>
    <t>9267802</t>
  </si>
  <si>
    <t>GUERRERO GUERRERO JAVIER</t>
  </si>
  <si>
    <t>GUE***** GUE***** JAV***</t>
  </si>
  <si>
    <t>9267867</t>
  </si>
  <si>
    <t>OLIVEROS DELGADO EDGAR</t>
  </si>
  <si>
    <t>OLI***** DEL**** EDG**</t>
  </si>
  <si>
    <t>9268022</t>
  </si>
  <si>
    <t>GUERRERO GOMEZ JAVIER ANTONIO</t>
  </si>
  <si>
    <t>GUE***** GOM** JAV*** ANT****</t>
  </si>
  <si>
    <t>9268069</t>
  </si>
  <si>
    <t>WOOGGLE MENDOZA ALFREDO</t>
  </si>
  <si>
    <t>WOO**** MEN**** ALF****</t>
  </si>
  <si>
    <t>9268130</t>
  </si>
  <si>
    <t>LARA URBINA GUIDO ROBERTO</t>
  </si>
  <si>
    <t>LAR* URB*** GUI** ROB****</t>
  </si>
  <si>
    <t>9268140</t>
  </si>
  <si>
    <t>GUERRERO CANTILLO PROSPERO</t>
  </si>
  <si>
    <t>GUE***** CAN***** PRO*****</t>
  </si>
  <si>
    <t>9268170</t>
  </si>
  <si>
    <t>NIÑO NAVARRO ELIECER</t>
  </si>
  <si>
    <t>NIÑ* NAV**** ELI****</t>
  </si>
  <si>
    <t>9268242</t>
  </si>
  <si>
    <t>AMARIS DAVILA ADALBERTO</t>
  </si>
  <si>
    <t>AMA*** DAV*** ADA******</t>
  </si>
  <si>
    <t>9268514</t>
  </si>
  <si>
    <t>ROCHA ARIAS JOSE DARISNEL</t>
  </si>
  <si>
    <t>ROC** ARI** JOS* DAR*****</t>
  </si>
  <si>
    <t>9268533</t>
  </si>
  <si>
    <t>SAENZ NAVARRO YIMMYS ALBERTO</t>
  </si>
  <si>
    <t>SAE** NAV**** YIM*** ALB****</t>
  </si>
  <si>
    <t>9268814</t>
  </si>
  <si>
    <t>OYAGA PRADO WILLIAN</t>
  </si>
  <si>
    <t>OYA** PRA** WIL****</t>
  </si>
  <si>
    <t>9268884</t>
  </si>
  <si>
    <t>ALVARADO BARRETO ALFONSO</t>
  </si>
  <si>
    <t>ALV***** BAR**** ALF****</t>
  </si>
  <si>
    <t>9268955</t>
  </si>
  <si>
    <t>DE LEON BUSTAMANTE JOSE GREGORIO</t>
  </si>
  <si>
    <t>DE LEO* BUS******* JOS* GRE*****</t>
  </si>
  <si>
    <t>9268991</t>
  </si>
  <si>
    <t>GARCIA NIETO AMBROSIO</t>
  </si>
  <si>
    <t>GAR*** NIE** AMB*****</t>
  </si>
  <si>
    <t>9269126</t>
  </si>
  <si>
    <t>GARCIA NAJERA ROBINSON HUMBERTO</t>
  </si>
  <si>
    <t>GAR*** NAJ*** ROB***** HUM*****</t>
  </si>
  <si>
    <t>9269245</t>
  </si>
  <si>
    <t>ROCHA OTALORA MANUEL SALVADOR</t>
  </si>
  <si>
    <t>ROC** OTA**** MAN*** SAL*****</t>
  </si>
  <si>
    <t>9269301</t>
  </si>
  <si>
    <t>DURAN CARO DAGOBERTO</t>
  </si>
  <si>
    <t>DUR** CAR* DAG******</t>
  </si>
  <si>
    <t>9269559</t>
  </si>
  <si>
    <t>ROCHA COMAS RAUL</t>
  </si>
  <si>
    <t>ROC** COM** RAU*</t>
  </si>
  <si>
    <t>9269683</t>
  </si>
  <si>
    <t>RODRIGUEZ MARTINEZ EVER</t>
  </si>
  <si>
    <t>9</t>
  </si>
  <si>
    <t>ROD****** MAR***** EVE*</t>
  </si>
  <si>
    <t>9269951</t>
  </si>
  <si>
    <t>BOLAÑO POLO JOSE DE JESUS</t>
  </si>
  <si>
    <t>BOL*** POL* JOS* DE JES**</t>
  </si>
  <si>
    <t>9270010</t>
  </si>
  <si>
    <t>HERRERA NAVARRO EDUVARD</t>
  </si>
  <si>
    <t>HER**** NAV**** EDU****</t>
  </si>
  <si>
    <t>9270019</t>
  </si>
  <si>
    <t>LOPEZ QUINTANA RAFAEL ARTURO</t>
  </si>
  <si>
    <t>LOP** QUI***** RAF*** ART***</t>
  </si>
  <si>
    <t>9270256</t>
  </si>
  <si>
    <t>GALVAN ORTIZ DAIRO</t>
  </si>
  <si>
    <t>GAL*** ORT** DAI**</t>
  </si>
  <si>
    <t>9270501</t>
  </si>
  <si>
    <t>CASTRO RODRIGUEZ JAYDIS</t>
  </si>
  <si>
    <t>CAS*** ROD****** JAY***</t>
  </si>
  <si>
    <t>9270513</t>
  </si>
  <si>
    <t>BARRAZA RODRIGUEZ LARRY</t>
  </si>
  <si>
    <t>BAR**** ROD****** LAR**</t>
  </si>
  <si>
    <t>9270544</t>
  </si>
  <si>
    <t>BAÑOS AREVALO LUIS FERNANDO</t>
  </si>
  <si>
    <t>BAÑ** ARE**** LUI* FER*****</t>
  </si>
  <si>
    <t>9270568</t>
  </si>
  <si>
    <t>ACUÑA MEDINA NELSON ENRIQUE</t>
  </si>
  <si>
    <t>ACU** MED*** NEL*** ENR****</t>
  </si>
  <si>
    <t>9270688</t>
  </si>
  <si>
    <t>PALMERA AGUILAR JOSE DE LA ROSA</t>
  </si>
  <si>
    <t>PAL**** AGU**** JOS* DE LA ROS*</t>
  </si>
  <si>
    <t>9270689</t>
  </si>
  <si>
    <t>ARCE PATIÑO YUDYS</t>
  </si>
  <si>
    <t>ARC* PAT*** YUD**</t>
  </si>
  <si>
    <t>9270787</t>
  </si>
  <si>
    <t>ROCHA MONROY CARLOS ENRIQUE</t>
  </si>
  <si>
    <t>ROC** MON*** CAR*** ENR****</t>
  </si>
  <si>
    <t>9270796</t>
  </si>
  <si>
    <t>CASTILLA DELGADO FABIAN ENRIQUE</t>
  </si>
  <si>
    <t>CAS***** DEL**** FAB*** ENR****</t>
  </si>
  <si>
    <t>9270916</t>
  </si>
  <si>
    <t>ALTAHONA PALOMINO ROMEL</t>
  </si>
  <si>
    <t>ALT***** PAL***** ROM**</t>
  </si>
  <si>
    <t>9270970</t>
  </si>
  <si>
    <t>MACHUCA ARQUEZ BLADIMIR</t>
  </si>
  <si>
    <t>MAC**** ARQ*** BLA*****</t>
  </si>
  <si>
    <t>9271098</t>
  </si>
  <si>
    <t>FONSECA MONTALVO OSVALDO MODESTO</t>
  </si>
  <si>
    <t>FON**** MON***** OSV**** MOD****</t>
  </si>
  <si>
    <t>9271405</t>
  </si>
  <si>
    <t>NAVARRO PABA NEIL</t>
  </si>
  <si>
    <t>NAV**** PAB* NEI*</t>
  </si>
  <si>
    <t>9271421</t>
  </si>
  <si>
    <t>HERNANDEZ CRESPO LUIS ALBERTO</t>
  </si>
  <si>
    <t>HER****** CRE*** LUI* ALB****</t>
  </si>
  <si>
    <t>9271655</t>
  </si>
  <si>
    <t>HERRERA MADRID JUVENAL</t>
  </si>
  <si>
    <t>HER**** MAD*** JUV****</t>
  </si>
  <si>
    <t>9271735</t>
  </si>
  <si>
    <t>MARTINEZ MARTINEZ GILBERTO</t>
  </si>
  <si>
    <t>MAR***** MAR***** GIL*****</t>
  </si>
  <si>
    <t>9271819</t>
  </si>
  <si>
    <t>MADRID ORTIZ DEIBER</t>
  </si>
  <si>
    <t>MAD*** ORT** DEI***</t>
  </si>
  <si>
    <t>9272070</t>
  </si>
  <si>
    <t>ALTAHONA PALOMINO DEIBIS ALFONSO</t>
  </si>
  <si>
    <t>ALT***** PAL***** DEI*** ALF****</t>
  </si>
  <si>
    <t>9272237</t>
  </si>
  <si>
    <t>MARTINEZ NAVARRO LEONEL</t>
  </si>
  <si>
    <t>MAR***** NAV**** LEO***</t>
  </si>
  <si>
    <t>9272362</t>
  </si>
  <si>
    <t>ACUÑA GUERRERO LAUTH</t>
  </si>
  <si>
    <t>ACU** GUE***** LAU**</t>
  </si>
  <si>
    <t>9272398</t>
  </si>
  <si>
    <t>DE LEON MARIN LEONID MANUEL</t>
  </si>
  <si>
    <t>DE LEO* MAR** LEO*** MAN***</t>
  </si>
  <si>
    <t>9272503</t>
  </si>
  <si>
    <t>SERRANO LUNA EDUIS MIGUEL</t>
  </si>
  <si>
    <t>SER**** LUN* EDU** MIG***</t>
  </si>
  <si>
    <t>9272509</t>
  </si>
  <si>
    <t>LARIOS CASTRO GUSTAVO</t>
  </si>
  <si>
    <t>LAR*** CAS*** GUS****</t>
  </si>
  <si>
    <t>9272586</t>
  </si>
  <si>
    <t>BELEÑO CUESTA ALVARO</t>
  </si>
  <si>
    <t>BEL*** CUE*** ALV***</t>
  </si>
  <si>
    <t>9272679</t>
  </si>
  <si>
    <t>PALOMINO OJEDA ALEX HENRIQUE</t>
  </si>
  <si>
    <t>PAL***** OJE** ALE* HEN*****</t>
  </si>
  <si>
    <t>9272727</t>
  </si>
  <si>
    <t>OYAGA OLIVEROS NESTOR MANUEL</t>
  </si>
  <si>
    <t>OYA** OLI***** NES*** MAN***</t>
  </si>
  <si>
    <t>9272867</t>
  </si>
  <si>
    <t>AREVALO ROMERO VLADIMIR</t>
  </si>
  <si>
    <t>ARE**** ROM*** VLA*****</t>
  </si>
  <si>
    <t>9273103</t>
  </si>
  <si>
    <t>MONTERO PADILLA PEDRO ANTONIO</t>
  </si>
  <si>
    <t>MON**** PAD**** PED** ANT****</t>
  </si>
  <si>
    <t>9273156</t>
  </si>
  <si>
    <t>HERRERA GONZALEZ ALEXANDER</t>
  </si>
  <si>
    <t>HER**** GON***** ALE******</t>
  </si>
  <si>
    <t>9273456</t>
  </si>
  <si>
    <t>CORTES MEJIA MAURICIO</t>
  </si>
  <si>
    <t>COR*** MEJ** MAU*****</t>
  </si>
  <si>
    <t>9273488</t>
  </si>
  <si>
    <t>OSPINO ARCE JORGE ALBERTO</t>
  </si>
  <si>
    <t>OSP*** ARC* JOR** ALB****</t>
  </si>
  <si>
    <t>9273638</t>
  </si>
  <si>
    <t>FERIAS CARVAJAL LUIS ALBERTO</t>
  </si>
  <si>
    <t>FER*** CAR***** LUI* ALB****</t>
  </si>
  <si>
    <t>9274326</t>
  </si>
  <si>
    <t>OYAGA PRADO RENE</t>
  </si>
  <si>
    <t>OYA** PRA** REN*</t>
  </si>
  <si>
    <t>9274360</t>
  </si>
  <si>
    <t>MACHADO DI FILIPPO FRANCISCO ANIBAL</t>
  </si>
  <si>
    <t>MAC**** DI FIL**** FRA****** ANI***</t>
  </si>
  <si>
    <t>9274362</t>
  </si>
  <si>
    <t>ACUÑA GUERRERO LEANDRIS YASIL</t>
  </si>
  <si>
    <t>ACU** GUE***** LEA***** YAS**</t>
  </si>
  <si>
    <t>9274842</t>
  </si>
  <si>
    <t>CERVANTES OSPINO ALBENIO</t>
  </si>
  <si>
    <t>CER****** OSP*** ALB****</t>
  </si>
  <si>
    <t>9274868</t>
  </si>
  <si>
    <t>SILVA MANRIQUE DAVID ERNESTO</t>
  </si>
  <si>
    <t>SIL** MAN***** DAV** ERN****</t>
  </si>
  <si>
    <t>9274869</t>
  </si>
  <si>
    <t>SILVA MANRIQUE JESUS ANDRES</t>
  </si>
  <si>
    <t>SIL** MAN***** JES** AND***</t>
  </si>
  <si>
    <t>9692027</t>
  </si>
  <si>
    <t>CAMPO ARMESTO DANIEL LUIS</t>
  </si>
  <si>
    <t>CAM** ARM**** DAN*** LUI*</t>
  </si>
  <si>
    <t>9846760</t>
  </si>
  <si>
    <t>MARIN SANCHEZ MAURICIO</t>
  </si>
  <si>
    <t>MAR** SAN**** MAU*****</t>
  </si>
  <si>
    <t>9875414</t>
  </si>
  <si>
    <t>TERNERA JULIO DAIRO JOSE</t>
  </si>
  <si>
    <t>TER**** JUL** DAI** JOS*</t>
  </si>
  <si>
    <t>9875428</t>
  </si>
  <si>
    <t>PEREZ ROMO ROBERTO CARLOS</t>
  </si>
  <si>
    <t>PER** ROM* ROB**** CAR***</t>
  </si>
  <si>
    <t>9875769</t>
  </si>
  <si>
    <t>CORMANE LOPEZ JOSE ALFONSO</t>
  </si>
  <si>
    <t>COR**** LOP** JOS* ALF****</t>
  </si>
  <si>
    <t>9875785</t>
  </si>
  <si>
    <t>TORRES RODRIGUEZ LUIS ALBERTO</t>
  </si>
  <si>
    <t>TOR*** ROD****** LUI* ALB****</t>
  </si>
  <si>
    <t>9875927</t>
  </si>
  <si>
    <t>GARCIA DE LA HOZ FABIAN DAVID</t>
  </si>
  <si>
    <t>GAR*** DE LA HOZ FAB*** DAV**</t>
  </si>
  <si>
    <t>9875933</t>
  </si>
  <si>
    <t>PERTUZ PALACIO NADIN JAVIER</t>
  </si>
  <si>
    <t>PER*** PAL**** NAD** JAV***</t>
  </si>
  <si>
    <t>9875954</t>
  </si>
  <si>
    <t>ALTAMAR MARENCO FARETH FARID</t>
  </si>
  <si>
    <t>ALT**** MAR**** FAR*** FAR**</t>
  </si>
  <si>
    <t>9876204</t>
  </si>
  <si>
    <t>RANGEL MERCADO PEDRO</t>
  </si>
  <si>
    <t>RAN*** MER**** PED**</t>
  </si>
  <si>
    <t>9876299</t>
  </si>
  <si>
    <t>CHIQUILLO BORJA FERNANDO LUIS</t>
  </si>
  <si>
    <t>CHI****** BOR** FER***** LUI*</t>
  </si>
  <si>
    <t>9876328</t>
  </si>
  <si>
    <t>OROZCO PACHECO ESNEIDER ALFONSO</t>
  </si>
  <si>
    <t>ORO*** PAC**** ESN***** ALF****</t>
  </si>
  <si>
    <t>9876556</t>
  </si>
  <si>
    <t>RODRIGUEZ PABON RAFAEL SEGUNDO</t>
  </si>
  <si>
    <t>ROD****** PAB** RAF*** SEG****</t>
  </si>
  <si>
    <t>9876611</t>
  </si>
  <si>
    <t>GARCIA CABALLERO RONAL DAVID</t>
  </si>
  <si>
    <t>GAR*** CAB****** RON** DAV**</t>
  </si>
  <si>
    <t>9877759</t>
  </si>
  <si>
    <t>VARGAS FONTALVO OSCAR EDUARDO</t>
  </si>
  <si>
    <t>VAR*** FON***** OSC** EDU****</t>
  </si>
  <si>
    <t>9878115</t>
  </si>
  <si>
    <t>PEREZ TERNERA VICTOR ALFONSO</t>
  </si>
  <si>
    <t>PER** TER**** VIC*** ALF****</t>
  </si>
  <si>
    <t>9878188</t>
  </si>
  <si>
    <t>MERIÑO PALACIO FELIX ENRIQUE</t>
  </si>
  <si>
    <t>MER*** PAL**** FEL** ENR****</t>
  </si>
  <si>
    <t>10772136</t>
  </si>
  <si>
    <t>OBREGON DUE¿AS ERNESTO JOSE</t>
  </si>
  <si>
    <t>OBR**** DUE*** ERN**** JOS*</t>
  </si>
  <si>
    <t>10781715</t>
  </si>
  <si>
    <t>BUELVAS BOLAÑO ALBERTO MARIO</t>
  </si>
  <si>
    <t>BUE**** BOL*** ALB**** MAR**</t>
  </si>
  <si>
    <t>10931578</t>
  </si>
  <si>
    <t>OLASCOAGA HOYOS LUIS YAIR</t>
  </si>
  <si>
    <t>OLA****** HOY** LUI* YAI*</t>
  </si>
  <si>
    <t>11387021</t>
  </si>
  <si>
    <t>HURTADO QUINTERO ALEXANDER DE JESUS</t>
  </si>
  <si>
    <t>HUR**** QUI***** ALE****** DE JES**</t>
  </si>
  <si>
    <t>11790521</t>
  </si>
  <si>
    <t>LOPEZ CHAVERRA FELIX JUVENAL</t>
  </si>
  <si>
    <t>LOP** CHA***** FEL** JUV****</t>
  </si>
  <si>
    <t>11793054</t>
  </si>
  <si>
    <t>RENTERIA LEMOS TOMAS DE AQUINO</t>
  </si>
  <si>
    <t>REN***** LEM** TOM** DE AQU***</t>
  </si>
  <si>
    <t>11803934</t>
  </si>
  <si>
    <t>LONDOÑO HINESTROZA JAMES FELIPE</t>
  </si>
  <si>
    <t>LON**** HIN******* JAM** FEL***</t>
  </si>
  <si>
    <t>11804826</t>
  </si>
  <si>
    <t>HURTADO MOSQUERA TIRSO YUBERTH</t>
  </si>
  <si>
    <t>HUR**** MOS***** TIR** YUB****</t>
  </si>
  <si>
    <t>11805574</t>
  </si>
  <si>
    <t>GARCIA MENA JOSE ANGEL</t>
  </si>
  <si>
    <t>GAR*** MEN* JOS* ANG**</t>
  </si>
  <si>
    <t>11810584</t>
  </si>
  <si>
    <t>PACHECO CAICEDO LUIS GABRIEL</t>
  </si>
  <si>
    <t>PAC**** CAI**** LUI* GAB****</t>
  </si>
  <si>
    <t>11811048</t>
  </si>
  <si>
    <t>MOSQUERA RODRIGUEZ BALDOINO</t>
  </si>
  <si>
    <t>MOS***** ROD****** BAL*****</t>
  </si>
  <si>
    <t>11811171</t>
  </si>
  <si>
    <t>MORENO MOSQUERA ESTNER OVIDIO</t>
  </si>
  <si>
    <t>MOR*** MOS***** EST*** OVI***</t>
  </si>
  <si>
    <t>12390164</t>
  </si>
  <si>
    <t>RODRIGUEZ VILLA ANTONIO JOSE</t>
  </si>
  <si>
    <t>ROD****** VIL** ANT**** JOS*</t>
  </si>
  <si>
    <t>12400370</t>
  </si>
  <si>
    <t>BAENA MUÑOZ CARLOS ANDRES</t>
  </si>
  <si>
    <t>BAE** MUÑ** CAR*** AND***</t>
  </si>
  <si>
    <t>12401089</t>
  </si>
  <si>
    <t>RANGEL RODRIGUEZ JOSE FRANCISCO</t>
  </si>
  <si>
    <t>RAN*** ROD****** JOS* FRA******</t>
  </si>
  <si>
    <t>12401865</t>
  </si>
  <si>
    <t>ROSADO SANDOVAL SAMUEL DE JESUS</t>
  </si>
  <si>
    <t>ROS*** SAN***** SAM*** DE JES**</t>
  </si>
  <si>
    <t>12402046</t>
  </si>
  <si>
    <t>AMARIS BARRIOS MATEO</t>
  </si>
  <si>
    <t>AMA*** BAR**** MAT**</t>
  </si>
  <si>
    <t>12402164</t>
  </si>
  <si>
    <t>QUINTERO PAYAN JESUS MARIA</t>
  </si>
  <si>
    <t>QUI***** PAY** JES** MAR**</t>
  </si>
  <si>
    <t>12402261</t>
  </si>
  <si>
    <t>MARTINEZ GARCES ENEL</t>
  </si>
  <si>
    <t>MAR***** GAR*** ENE*</t>
  </si>
  <si>
    <t>12402279</t>
  </si>
  <si>
    <t>RODRIGUEZ PEREZ EVER</t>
  </si>
  <si>
    <t>ROD****** PER** EVE*</t>
  </si>
  <si>
    <t>12402311</t>
  </si>
  <si>
    <t>DELGADO QUIÑONES RAFAEL</t>
  </si>
  <si>
    <t>DEL**** QUI***** RAF***</t>
  </si>
  <si>
    <t>12402396</t>
  </si>
  <si>
    <t>CASTRO CORREA CARLOS ARMANDO</t>
  </si>
  <si>
    <t>CAS*** COR*** CAR*** ARM****</t>
  </si>
  <si>
    <t>12402464</t>
  </si>
  <si>
    <t>GUERRERO GUTIERREZ REINALDO</t>
  </si>
  <si>
    <t>GUE***** GUT****** REI*****</t>
  </si>
  <si>
    <t>12402468</t>
  </si>
  <si>
    <t>QUINTERO BLANCO NOE</t>
  </si>
  <si>
    <t>QUI***** BLA*** NOE</t>
  </si>
  <si>
    <t>12402742</t>
  </si>
  <si>
    <t>BAENA RIVERA DEIVIS LEIDER</t>
  </si>
  <si>
    <t>BAE** RIV*** DEI*** LEI***</t>
  </si>
  <si>
    <t>12425085</t>
  </si>
  <si>
    <t>RODRIGUEZ PEÑA NEUFAL JOSE</t>
  </si>
  <si>
    <t>ROD****** PEÑ* NEU*** JOS*</t>
  </si>
  <si>
    <t>12435797</t>
  </si>
  <si>
    <t>MARRIAGA MEDINA MILTON MARIO</t>
  </si>
  <si>
    <t>MAR***** MED*** MIL*** MAR**</t>
  </si>
  <si>
    <t>12436445</t>
  </si>
  <si>
    <t>MONSALVO GONZALEZ DEIBYS RAFAEL</t>
  </si>
  <si>
    <t>MON***** GON***** DEI*** RAF***</t>
  </si>
  <si>
    <t>12446833</t>
  </si>
  <si>
    <t>MORENO VILLARREAL ELKIN LISARDO</t>
  </si>
  <si>
    <t>MOR*** VIL******* ELK** LIS****</t>
  </si>
  <si>
    <t>12447063</t>
  </si>
  <si>
    <t>RODRIGUEZ CONTRERAS YESID LEZANDER</t>
  </si>
  <si>
    <t>ROD****** CON****** YES** LEZ*****</t>
  </si>
  <si>
    <t>12447229</t>
  </si>
  <si>
    <t>GUERRERO ARIAS EDWIN MANUEL</t>
  </si>
  <si>
    <t>GUE***** ARI** EDW** MAN***</t>
  </si>
  <si>
    <t>12447714</t>
  </si>
  <si>
    <t>BARRIOS TOSCANO VICTOR HUGO</t>
  </si>
  <si>
    <t>BAR**** TOS**** VIC*** HUG*</t>
  </si>
  <si>
    <t>12448435</t>
  </si>
  <si>
    <t>MARTINEZ ALBUS YAIR ALEXANDER</t>
  </si>
  <si>
    <t>MAR***** ALB** YAI* ALE******</t>
  </si>
  <si>
    <t>12449362</t>
  </si>
  <si>
    <t>CANTILLO VIDAL WILLINTON JOSE</t>
  </si>
  <si>
    <t>CAN***** VID** WIL****** JOS*</t>
  </si>
  <si>
    <t>12449970</t>
  </si>
  <si>
    <t>EBRAT MANCILLA JORGE LUIS</t>
  </si>
  <si>
    <t>EBR** MAN***** JOR** LUI*</t>
  </si>
  <si>
    <t>12539564</t>
  </si>
  <si>
    <t>AVENDAÑO CABARCA ROBERTO ANTONIO</t>
  </si>
  <si>
    <t>AVE***** CAB**** ROB**** ANT****</t>
  </si>
  <si>
    <t>12541869</t>
  </si>
  <si>
    <t>GOMEZ CANDELARIO PABLO EMILIO</t>
  </si>
  <si>
    <t>GOM** CAN******* PAB** EMI***</t>
  </si>
  <si>
    <t>12542274</t>
  </si>
  <si>
    <t>MEZA LOPEZ LUIS ALBERTO</t>
  </si>
  <si>
    <t>MEZ* LOP** LUI* ALB****</t>
  </si>
  <si>
    <t>12542793</t>
  </si>
  <si>
    <t>CASTAÑEDA GARCIA ORLANDO JESUS</t>
  </si>
  <si>
    <t>CAS****** GAR*** ORL**** JES**</t>
  </si>
  <si>
    <t>12544998</t>
  </si>
  <si>
    <t>SANTANDER DE LA CRUZ WILMAN SALVADOR</t>
  </si>
  <si>
    <t>SAN****** DE LA CRU* WIL*** SAL*****</t>
  </si>
  <si>
    <t>12545121</t>
  </si>
  <si>
    <t>MONTERO TINOCO GUSTAVO</t>
  </si>
  <si>
    <t>MON**** TIN*** GUS****</t>
  </si>
  <si>
    <t>12545653</t>
  </si>
  <si>
    <t>CHICA LARIOS JOSE DANIEL</t>
  </si>
  <si>
    <t>CHI** LAR*** JOS* DAN***</t>
  </si>
  <si>
    <t>12547256</t>
  </si>
  <si>
    <t>MANIGUA ALMANZA ALEJANDRO ESTEBAN</t>
  </si>
  <si>
    <t>MAN**** ALM**** ALE****** EST****</t>
  </si>
  <si>
    <t>12547313</t>
  </si>
  <si>
    <t>JACOBS ARNEDO HELMAN ALBERTO</t>
  </si>
  <si>
    <t>JAC*** ARN*** HEL*** ALB****</t>
  </si>
  <si>
    <t>12547763</t>
  </si>
  <si>
    <t>RIVAS RIVAS EDGAR ANTONIO</t>
  </si>
  <si>
    <t>RIV** RIV** EDG** ANT****</t>
  </si>
  <si>
    <t>12548306</t>
  </si>
  <si>
    <t>TORRENEGRA ESCORCIA LUIS ALBERTO</t>
  </si>
  <si>
    <t>TOR******* ESC***** LUI* ALB****</t>
  </si>
  <si>
    <t>12548492</t>
  </si>
  <si>
    <t>CASTRO CORTES JORGE LUIS</t>
  </si>
  <si>
    <t>CAS*** COR*** JOR** LUI*</t>
  </si>
  <si>
    <t>12549008</t>
  </si>
  <si>
    <t>TOBIAS RANGEL GUSTAVO ANTONIO</t>
  </si>
  <si>
    <t>TOB*** RAN*** GUS**** ANT****</t>
  </si>
  <si>
    <t>12549064</t>
  </si>
  <si>
    <t>LOBATO LOBO EDINSON ALBERTO</t>
  </si>
  <si>
    <t>LOB*** LOB* EDI**** ALB****</t>
  </si>
  <si>
    <t>12550623</t>
  </si>
  <si>
    <t>MENDINUETA ROCA ALBERTO MANUEL</t>
  </si>
  <si>
    <t>MEN******* ROC* ALB**** MAN***</t>
  </si>
  <si>
    <t>12550876</t>
  </si>
  <si>
    <t>RIPOLL LARA PEDRO PABLO</t>
  </si>
  <si>
    <t>RIP*** LAR* PED** PAB**</t>
  </si>
  <si>
    <t>12551005</t>
  </si>
  <si>
    <t>BOCANEGRA ANTOLINEZ CESAR AUGUSTO</t>
  </si>
  <si>
    <t>8</t>
  </si>
  <si>
    <t>BOC****** ANT****** CES** AUG****</t>
  </si>
  <si>
    <t>12551182</t>
  </si>
  <si>
    <t>OSPINO PEÑA OTONIEL ENRIQUE</t>
  </si>
  <si>
    <t>OSP*** PEÑ* OTO**** ENR****</t>
  </si>
  <si>
    <t>12552933</t>
  </si>
  <si>
    <t>TOLOZA GUTIERREZ JOHNY</t>
  </si>
  <si>
    <t>TOL*** GUT****** JOH**</t>
  </si>
  <si>
    <t>12553037</t>
  </si>
  <si>
    <t>SILVA BARRIOS CESAR</t>
  </si>
  <si>
    <t>SIL** BAR**** CES**</t>
  </si>
  <si>
    <t>12553199</t>
  </si>
  <si>
    <t>MONTENEGRO PADILLA JAIME ANTONIO</t>
  </si>
  <si>
    <t>MON******* PAD**** JAI** ANT****</t>
  </si>
  <si>
    <t>12553737</t>
  </si>
  <si>
    <t>ESCALANTE HERNANDEZ CARLOS ARTURO</t>
  </si>
  <si>
    <t>ESC****** HER****** CAR*** ART***</t>
  </si>
  <si>
    <t>12553767</t>
  </si>
  <si>
    <t>DE LA CRUZ AROCA RAFAEL</t>
  </si>
  <si>
    <t>DE LA CRU* ARO** RAF***</t>
  </si>
  <si>
    <t>12554376</t>
  </si>
  <si>
    <t>ALVEAR MANCILLA FAUSTINO SEGUNDO</t>
  </si>
  <si>
    <t>ALV*** MAN***** FAU***** SEG****</t>
  </si>
  <si>
    <t>12554469</t>
  </si>
  <si>
    <t>VIZCAINO VIZCAINO ALFONSO JOAQUIN</t>
  </si>
  <si>
    <t>VIZ***** VIZ***** ALF**** JOA****</t>
  </si>
  <si>
    <t>12554565</t>
  </si>
  <si>
    <t>CALDERON LOPEZ JOSE RAFAEL</t>
  </si>
  <si>
    <t>CAL***** LOP** JOS* RAF***</t>
  </si>
  <si>
    <t>12554576</t>
  </si>
  <si>
    <t>ORDOÑEZ PEREZ EFRAIN</t>
  </si>
  <si>
    <t>ORD**** PER** EFR***</t>
  </si>
  <si>
    <t>12554812</t>
  </si>
  <si>
    <t>CASTRO TORRES JAIRO ISAAC</t>
  </si>
  <si>
    <t>CAS*** TOR*** JAI** ISA**</t>
  </si>
  <si>
    <t>12554833</t>
  </si>
  <si>
    <t>SALAS MACHADO JIMMY</t>
  </si>
  <si>
    <t>SAL** MAC**** JIM**</t>
  </si>
  <si>
    <t>12555117</t>
  </si>
  <si>
    <t>RAMIREZ CASTILLO ERNESTO MANUEL</t>
  </si>
  <si>
    <t>RAM**** CAS***** ERN**** MAN***</t>
  </si>
  <si>
    <t>12556309</t>
  </si>
  <si>
    <t>MONTENEGRO MARIO ANTONIO</t>
  </si>
  <si>
    <t>MON******* MAR** ANT****</t>
  </si>
  <si>
    <t>12556810</t>
  </si>
  <si>
    <t>VARON GARCIA MANUEL JULIAN</t>
  </si>
  <si>
    <t>VAR** GAR*** MAN*** JUL***</t>
  </si>
  <si>
    <t>12557099</t>
  </si>
  <si>
    <t>BUSTAMANTE GONZALEZ FERNANDO ANTONIO</t>
  </si>
  <si>
    <t>BUS******* GON***** FER***** ANT****</t>
  </si>
  <si>
    <t>12557773</t>
  </si>
  <si>
    <t>OROZCO OROZCO GERMAN ISAAC</t>
  </si>
  <si>
    <t>ORO*** ORO*** GER*** ISA**</t>
  </si>
  <si>
    <t>12558379</t>
  </si>
  <si>
    <t>LOBATO LOBO JOSE JOAQUIN</t>
  </si>
  <si>
    <t>LOB*** LOB* JOS* JOA****</t>
  </si>
  <si>
    <t>12559463</t>
  </si>
  <si>
    <t>RUEDA SANDOVAL JUAN DE LA ROSA</t>
  </si>
  <si>
    <t>RUE** SAN***** JUA* DE LA ROS*</t>
  </si>
  <si>
    <t>12559818</t>
  </si>
  <si>
    <t>ECHEVERRIA TORREGROZA OSCAR ALBERTO</t>
  </si>
  <si>
    <t>ECH******* TOR******* OSC** ALB****</t>
  </si>
  <si>
    <t>12560240</t>
  </si>
  <si>
    <t>AMASHTA PEREZ ALONSO ELIAS</t>
  </si>
  <si>
    <t>AMA**** PER** ALO*** ELI**</t>
  </si>
  <si>
    <t>12560268</t>
  </si>
  <si>
    <t>ROJAS DUICA ROY RAY</t>
  </si>
  <si>
    <t>ROJ** DUI** ROY RAY</t>
  </si>
  <si>
    <t>12561939</t>
  </si>
  <si>
    <t>HERNANDEZ RAMIREZ EUDIS ENRIQUE</t>
  </si>
  <si>
    <t>HER****** RAM**** EUD** ENR****</t>
  </si>
  <si>
    <t>12562758</t>
  </si>
  <si>
    <t>CABALLERO RUIZ JESUS ASTOLFO</t>
  </si>
  <si>
    <t>CAB****** RUI* JES** AST****</t>
  </si>
  <si>
    <t>12562933</t>
  </si>
  <si>
    <t>ORTEGA VENERA EDGAR ENRIQUE</t>
  </si>
  <si>
    <t>ORT*** VEN*** EDG** ENR****</t>
  </si>
  <si>
    <t>12563129</t>
  </si>
  <si>
    <t>RICAURTE GARCIA MANFREDIS GUZMAN</t>
  </si>
  <si>
    <t>RIC***** GAR*** MAN****** GUZ***</t>
  </si>
  <si>
    <t>12563158</t>
  </si>
  <si>
    <t>MARTINEZ MUÑOZ EDUAR JAVIER</t>
  </si>
  <si>
    <t>MAR***** MUÑ** EDU** JAV***</t>
  </si>
  <si>
    <t>12563185</t>
  </si>
  <si>
    <t>ROJAS BOLA?O AMILCAR JULIO</t>
  </si>
  <si>
    <t>ROJ** BOL*** AMI**** JUL**</t>
  </si>
  <si>
    <t>12563753</t>
  </si>
  <si>
    <t>GOMEZ NOGUERA ALEJANDRO IGNACIO</t>
  </si>
  <si>
    <t>GOM** NOG**** ALE****** IGN****</t>
  </si>
  <si>
    <t>12563866</t>
  </si>
  <si>
    <t>MENDOZA RONDON GERARDO RAFAEL</t>
  </si>
  <si>
    <t>MEN**** RON*** GER**** RAF***</t>
  </si>
  <si>
    <t>12563880</t>
  </si>
  <si>
    <t>CUADRADO ARIZA LUIS NAPOLEON</t>
  </si>
  <si>
    <t>CUA***** ARI** LUI* NAP*****</t>
  </si>
  <si>
    <t>12563919</t>
  </si>
  <si>
    <t>JIMENEZ DE LA ROSA JOAQUIN DANIEL</t>
  </si>
  <si>
    <t>JIM**** DE LA ROS* JOA**** DAN***</t>
  </si>
  <si>
    <t>12564262</t>
  </si>
  <si>
    <t>PEÑA NUÑEZ EDUARDO ENRIQUE</t>
  </si>
  <si>
    <t>PEÑ* NUÑ** EDU**** ENR****</t>
  </si>
  <si>
    <t>12564667</t>
  </si>
  <si>
    <t>HERNANDEZ NUÑEZ DARIO ENRIQUE</t>
  </si>
  <si>
    <t>HER****** NUÑ** DAR** ENR****</t>
  </si>
  <si>
    <t>12580452</t>
  </si>
  <si>
    <t>RANGEL GARCIA LIBARDO JOSE</t>
  </si>
  <si>
    <t>RAN*** GAR*** LIB**** JOS*</t>
  </si>
  <si>
    <t>12580698</t>
  </si>
  <si>
    <t>GOMEZ OSPINO ORLANDO</t>
  </si>
  <si>
    <t>GOM** OSP*** ORL****</t>
  </si>
  <si>
    <t>12580793</t>
  </si>
  <si>
    <t>BETANCOURT FERREIRA DAVID RAMIRO</t>
  </si>
  <si>
    <t>BET******* FER***** DAV** RAM***</t>
  </si>
  <si>
    <t>12580844</t>
  </si>
  <si>
    <t>TORRECILLA MEDINA EDUARDO</t>
  </si>
  <si>
    <t>TOR******* MED*** EDU****</t>
  </si>
  <si>
    <t>12580877</t>
  </si>
  <si>
    <t>RIBON MARTINEZ JAIRO ENRIQUE</t>
  </si>
  <si>
    <t>RIB** MAR***** JAI** ENR****</t>
  </si>
  <si>
    <t>12580958</t>
  </si>
  <si>
    <t>VILLARREAL VILLARRUEL ALBERTO ENRIQUE</t>
  </si>
  <si>
    <t>VIL******* VIL******* ALB**** ENR****</t>
  </si>
  <si>
    <t>12581259</t>
  </si>
  <si>
    <t>DIAZ PEÑA LUIS RAFAEL</t>
  </si>
  <si>
    <t>DIA* PEÑ* LUI* RAF***</t>
  </si>
  <si>
    <t>12581488</t>
  </si>
  <si>
    <t>MARTINEZ CARDENAS SEBASTIAN RAMIRO</t>
  </si>
  <si>
    <t>MAR***** CAR***** SEB****** RAM***</t>
  </si>
  <si>
    <t>12581494</t>
  </si>
  <si>
    <t>RANGEL MARTINEZ ARTURO</t>
  </si>
  <si>
    <t>RAN*** MAR***** ART***</t>
  </si>
  <si>
    <t>12581769</t>
  </si>
  <si>
    <t>ORELLANOS RODRIGUEZ CARLOS EDUARDO</t>
  </si>
  <si>
    <t>ORE****** ROD****** CAR*** EDU****</t>
  </si>
  <si>
    <t>12581832</t>
  </si>
  <si>
    <t>RANGEL VILLAFAÑE WILLIAM</t>
  </si>
  <si>
    <t>RAN*** VIL****** WIL****</t>
  </si>
  <si>
    <t>12582013</t>
  </si>
  <si>
    <t>VILARDY RAMIREZ JAIME</t>
  </si>
  <si>
    <t>VIL**** RAM**** JAI**</t>
  </si>
  <si>
    <t>12582081</t>
  </si>
  <si>
    <t>HOYOS SOLIS ALBERTO DENIS</t>
  </si>
  <si>
    <t>HOY** SOL** ALB**** DEN**</t>
  </si>
  <si>
    <t>12582145</t>
  </si>
  <si>
    <t>OSPINO FLOREZ LUIS ORLANDO</t>
  </si>
  <si>
    <t>OSP*** FLO*** LUI* ORL****</t>
  </si>
  <si>
    <t>12582425</t>
  </si>
  <si>
    <t>RAMOS ALMENDRALES FELIX ENRIQUE</t>
  </si>
  <si>
    <t>RAM** ALM******** FEL** ENR****</t>
  </si>
  <si>
    <t>12582442</t>
  </si>
  <si>
    <t>OLIVEROS SANCHEZ JOSE DE LA CRUZ</t>
  </si>
  <si>
    <t>OLI***** SAN**** JOS* DE LA CRU*</t>
  </si>
  <si>
    <t>12583019</t>
  </si>
  <si>
    <t>LOPEZ DE LEON ALFONSO</t>
  </si>
  <si>
    <t>LOP** DE LEO* ALF****</t>
  </si>
  <si>
    <t>12583027</t>
  </si>
  <si>
    <t>VARELA VILLARRUEL GUILLERMO</t>
  </si>
  <si>
    <t>VAR*** VIL******* GUI******</t>
  </si>
  <si>
    <t>12583119</t>
  </si>
  <si>
    <t>RANGEL GARCIA ADEL ROBERTO</t>
  </si>
  <si>
    <t>RAN*** GAR*** ADE* ROB****</t>
  </si>
  <si>
    <t>12583231</t>
  </si>
  <si>
    <t>SANCHEZ SANCHEZ DAVID</t>
  </si>
  <si>
    <t>SAN**** SAN**** DAV**</t>
  </si>
  <si>
    <t>12583403</t>
  </si>
  <si>
    <t>RINCON VASQUEZ WILLIAM</t>
  </si>
  <si>
    <t>RIN*** VAS**** WIL****</t>
  </si>
  <si>
    <t>12583438</t>
  </si>
  <si>
    <t>NUÑEZ LEYVA OSCAR ELIMER</t>
  </si>
  <si>
    <t>NUÑ** LEY** OSC** ELI***</t>
  </si>
  <si>
    <t>12583508</t>
  </si>
  <si>
    <t>SABALLETH MARTINEZ ALVARO</t>
  </si>
  <si>
    <t>SAB****** MAR***** ALV***</t>
  </si>
  <si>
    <t>12583551</t>
  </si>
  <si>
    <t>PALOMINO CORTEZ CELSO JULIO</t>
  </si>
  <si>
    <t>PAL***** COR*** CEL** JUL**</t>
  </si>
  <si>
    <t>12583753</t>
  </si>
  <si>
    <t>TOLOZA ALVARADO ADIEL ALBERTO</t>
  </si>
  <si>
    <t>TOL*** ALV***** ADI** ALB****</t>
  </si>
  <si>
    <t>12583835</t>
  </si>
  <si>
    <t>BELEÑO MARTINEZ ALFONSO JAVIER</t>
  </si>
  <si>
    <t>BEL*** MAR***** ALF**** JAV***</t>
  </si>
  <si>
    <t>12583902</t>
  </si>
  <si>
    <t>RIVERA VILORIA MANUEL DE JESUS</t>
  </si>
  <si>
    <t>RIV*** VIL**** MAN*** DE JES**</t>
  </si>
  <si>
    <t>12584141</t>
  </si>
  <si>
    <t>FLOREZ ARIZA RICARDO</t>
  </si>
  <si>
    <t>FLO*** ARI** RIC****</t>
  </si>
  <si>
    <t>12584421</t>
  </si>
  <si>
    <t>ROCHA MERIÑO MARCIAL MARINO</t>
  </si>
  <si>
    <t>ROC** MER*** MAR**** MAR***</t>
  </si>
  <si>
    <t>12589504</t>
  </si>
  <si>
    <t>VILLA VASQUEZ ARMANDO</t>
  </si>
  <si>
    <t>VIL** VAS**** ARM****</t>
  </si>
  <si>
    <t>12589743</t>
  </si>
  <si>
    <t>ACOSTA NAVARRO JAIME EDUARDO</t>
  </si>
  <si>
    <t>ACO*** NAV**** JAI** EDU****</t>
  </si>
  <si>
    <t>12590070</t>
  </si>
  <si>
    <t>BOLAÑO CABALLERO ALEJANDRO FIDEL</t>
  </si>
  <si>
    <t>BOL*** CAB****** ALE****** FID**</t>
  </si>
  <si>
    <t>12590138</t>
  </si>
  <si>
    <t>MARTINEZ VIDES ANGEL EDUARDO</t>
  </si>
  <si>
    <t>MAR***** VID** ANG** EDU****</t>
  </si>
  <si>
    <t>12590159</t>
  </si>
  <si>
    <t>ESPAÑA RAMIREZ SAMUEL ENRIQUE</t>
  </si>
  <si>
    <t>ESP*** RAM**** SAM*** ENR****</t>
  </si>
  <si>
    <t>12590232</t>
  </si>
  <si>
    <t>MARTINEZ VERGARA TEOFILO SAMUEL</t>
  </si>
  <si>
    <t>MAR***** VER**** TEO**** SAM***</t>
  </si>
  <si>
    <t>12590274</t>
  </si>
  <si>
    <t>DIAZ MOJICA JULIO HUMBERTO</t>
  </si>
  <si>
    <t>DIA* MOJ*** JUL** HUM*****</t>
  </si>
  <si>
    <t>12590437</t>
  </si>
  <si>
    <t>BUELVAS GARCIA PIOSCAR RAFAEL</t>
  </si>
  <si>
    <t>BUE**** GAR*** PIO**** RAF***</t>
  </si>
  <si>
    <t>12590622</t>
  </si>
  <si>
    <t>TIRADO TORRES ROGER JOSE DE JESUS</t>
  </si>
  <si>
    <t>TIR*** TOR*** ROG** JOS* DE JES**</t>
  </si>
  <si>
    <t>12590656</t>
  </si>
  <si>
    <t>PORRAS SIERRA RICARDO ALBERTO</t>
  </si>
  <si>
    <t>POR*** SIE*** RIC**** ALB****</t>
  </si>
  <si>
    <t>12591270</t>
  </si>
  <si>
    <t>AGUILAR TERAN LUIS ALBERTO</t>
  </si>
  <si>
    <t>AGU**** TER** LUI* ALB****</t>
  </si>
  <si>
    <t>12591473</t>
  </si>
  <si>
    <t>TIRADO TORRES REMBERTO CARLOS DE JESUS</t>
  </si>
  <si>
    <t>TIR*** TOR*** REM***** CAR*** DE JES**</t>
  </si>
  <si>
    <t>12591582</t>
  </si>
  <si>
    <t>THERAN VELASQUEZ JOSE GREGORIO</t>
  </si>
  <si>
    <t>THE*** VEL****** JOS* GRE*****</t>
  </si>
  <si>
    <t>12591707</t>
  </si>
  <si>
    <t>OBREDOR TOVAR DAVID ARCADIO</t>
  </si>
  <si>
    <t>OBR**** TOV** DAV** ARC****</t>
  </si>
  <si>
    <t>12591886</t>
  </si>
  <si>
    <t>OSPINO CAMPO JAIME NORBERTO</t>
  </si>
  <si>
    <t>OSP*** CAM** JAI** NOR*****</t>
  </si>
  <si>
    <t>12591901</t>
  </si>
  <si>
    <t>GONZALEZ BALLESTAS FARID DE JESUS</t>
  </si>
  <si>
    <t>GON***** BAL****** FAR** DE JES**</t>
  </si>
  <si>
    <t>12591984</t>
  </si>
  <si>
    <t>CUETO TORRES JULIO MANUEL</t>
  </si>
  <si>
    <t>CUE** TOR*** JUL** MAN***</t>
  </si>
  <si>
    <t>12592283</t>
  </si>
  <si>
    <t>RAMOS BERDUGO PEDRO MANUEL</t>
  </si>
  <si>
    <t>RAM** BER**** PED** MAN***</t>
  </si>
  <si>
    <t>12592387</t>
  </si>
  <si>
    <t>VALLE CABRERA MANUEL ANTONIO</t>
  </si>
  <si>
    <t>VAL** CAB**** MAN*** ANT****</t>
  </si>
  <si>
    <t>12592409</t>
  </si>
  <si>
    <t>SAUMETH POMARICO JAIME GUILLERMO</t>
  </si>
  <si>
    <t>SAU**** POM***** JAI** GUI******</t>
  </si>
  <si>
    <t>12592415</t>
  </si>
  <si>
    <t>MIRANDA VARGAS JULIO RAMON</t>
  </si>
  <si>
    <t>MIR**** VAR*** JUL** RAM**</t>
  </si>
  <si>
    <t>12592460</t>
  </si>
  <si>
    <t>PUELLO MOLINA ALBERTO DE JESUS</t>
  </si>
  <si>
    <t>PUE*** MOL*** ALB**** DE JES**</t>
  </si>
  <si>
    <t>12592652</t>
  </si>
  <si>
    <t>ROMERO PADILLA WILLIAM ENRIQUE</t>
  </si>
  <si>
    <t>ROM*** PAD**** WIL**** ENR****</t>
  </si>
  <si>
    <t>12592690</t>
  </si>
  <si>
    <t>HURTADO QUINTERO ALBERTO DE JESUS</t>
  </si>
  <si>
    <t>HUR**** QUI***** ALB**** DE JES**</t>
  </si>
  <si>
    <t>12592824</t>
  </si>
  <si>
    <t>JARABA OSPINO DIONICIO ANTONIO</t>
  </si>
  <si>
    <t>JAR*** OSP*** DIO***** ANT****</t>
  </si>
  <si>
    <t>12592930</t>
  </si>
  <si>
    <t>OLIVO MOLINA LUIS ALFONSO</t>
  </si>
  <si>
    <t>OLI** MOL*** LUI* ALF****</t>
  </si>
  <si>
    <t>12593112</t>
  </si>
  <si>
    <t>CERVANTES ACUÑA LUIS ALFREDO</t>
  </si>
  <si>
    <t>CER****** ACU** LUI* ALF****</t>
  </si>
  <si>
    <t>12593327</t>
  </si>
  <si>
    <t>CANTILLO DE LEON PEDRO JEREMIAS</t>
  </si>
  <si>
    <t>CAN***** DE LEO* PED** JER*****</t>
  </si>
  <si>
    <t>12593417</t>
  </si>
  <si>
    <t>OSPINO MOLINA LUIS ENRIQUE</t>
  </si>
  <si>
    <t>OSP*** MOL*** LUI* ENR****</t>
  </si>
  <si>
    <t>12593471</t>
  </si>
  <si>
    <t>MARENCO ALARCON EDGAR DE JESUS</t>
  </si>
  <si>
    <t>MAR**** ALA**** EDG** DE JES**</t>
  </si>
  <si>
    <t>12593510</t>
  </si>
  <si>
    <t>BARRETO TREJOS FRANKLIN RAFAEL</t>
  </si>
  <si>
    <t>BAR**** TRE*** FRA***** RAF***</t>
  </si>
  <si>
    <t>12593600</t>
  </si>
  <si>
    <t>GARCIA MARRIAGA LUCAS GUILLERMO</t>
  </si>
  <si>
    <t>GAR*** MAR***** LUC** GUI******</t>
  </si>
  <si>
    <t>12593693</t>
  </si>
  <si>
    <t>SALAZAR PALMERA HUGO RAMON</t>
  </si>
  <si>
    <t>SAL**** PAL**** HUG* RAM**</t>
  </si>
  <si>
    <t>12593747</t>
  </si>
  <si>
    <t>LENGUA JIMENEZ LUIS MARIANO</t>
  </si>
  <si>
    <t>LEN*** JIM**** LUI* MAR****</t>
  </si>
  <si>
    <t>12593852</t>
  </si>
  <si>
    <t>GONZALEZ GUTIERREZ MIGUEL ANTONIO</t>
  </si>
  <si>
    <t>GON***** GUT****** MIG*** ANT****</t>
  </si>
  <si>
    <t>12593893</t>
  </si>
  <si>
    <t>MONTALVO LLERENA LUIS CARLOS</t>
  </si>
  <si>
    <t>MON***** LLE**** LUI* CAR***</t>
  </si>
  <si>
    <t>12593915</t>
  </si>
  <si>
    <t>TAPIA CUELLO RODOLFO NELSON</t>
  </si>
  <si>
    <t>TAP** CUE*** ROD**** NEL***</t>
  </si>
  <si>
    <t>12593987</t>
  </si>
  <si>
    <t>SABALZA ESTRADA EVER</t>
  </si>
  <si>
    <t>SAB**** EST**** EVE*</t>
  </si>
  <si>
    <t>12594061</t>
  </si>
  <si>
    <t>PEREZ ANAYA EFRAIN ANTONIO</t>
  </si>
  <si>
    <t>PER** ANA** EFR*** ANT****</t>
  </si>
  <si>
    <t>12594075</t>
  </si>
  <si>
    <t>DE LA HOZ LORA JUAN CARLOS</t>
  </si>
  <si>
    <t>DE LA HOZ LOR* JUA* CAR***</t>
  </si>
  <si>
    <t>12594278</t>
  </si>
  <si>
    <t>DIAZ MOJICA NELSON NICOLAS</t>
  </si>
  <si>
    <t>DIA* MOJ*** NEL*** NIC****</t>
  </si>
  <si>
    <t>12594422</t>
  </si>
  <si>
    <t>DIAZ CASTRILLO CARLOS ARTURO</t>
  </si>
  <si>
    <t>DIA* CAS****** CAR*** ART***</t>
  </si>
  <si>
    <t>12594463</t>
  </si>
  <si>
    <t>GOMEZ CARO RAMIRO ENRIQUE</t>
  </si>
  <si>
    <t>GOM** CAR* RAM*** ENR****</t>
  </si>
  <si>
    <t>12594542</t>
  </si>
  <si>
    <t>DE ORO GOMEZ ALVARO ENRIQUE</t>
  </si>
  <si>
    <t>DE ORO GOM** ALV*** ENR****</t>
  </si>
  <si>
    <t>12594772</t>
  </si>
  <si>
    <t>CAMARGO PEREZ VICTOR HUGO</t>
  </si>
  <si>
    <t>CAM**** PER** VIC*** HUG*</t>
  </si>
  <si>
    <t>12594863</t>
  </si>
  <si>
    <t>ALFARO ORTIZ XIOMAR ARMANDO</t>
  </si>
  <si>
    <t>ALF*** ORT** XIO*** ARM****</t>
  </si>
  <si>
    <t>12594894</t>
  </si>
  <si>
    <t>YEPEZ MACIAS YURIS ENRIQUE</t>
  </si>
  <si>
    <t>YEP** MAC*** YUR** ENR****</t>
  </si>
  <si>
    <t>12594984</t>
  </si>
  <si>
    <t>NOVOA RONCALLO HAROLD WILSON</t>
  </si>
  <si>
    <t>NOV** RON***** HAR*** WIL***</t>
  </si>
  <si>
    <t>12595000</t>
  </si>
  <si>
    <t>MONTERROSA MENDOZA MARTIN MARCOS</t>
  </si>
  <si>
    <t>MON******* MEN**** MAR*** MAR***</t>
  </si>
  <si>
    <t>12595069</t>
  </si>
  <si>
    <t>MEJIA PORTO HABIB DE JESUS</t>
  </si>
  <si>
    <t>MEJ** POR** HAB** DE JES**</t>
  </si>
  <si>
    <t>12595122</t>
  </si>
  <si>
    <t>RANGEL GUERRERO ORIEL DE JESUS</t>
  </si>
  <si>
    <t>RAN*** GUE***** ORI** DE JES**</t>
  </si>
  <si>
    <t>12595175</t>
  </si>
  <si>
    <t>DIAZ PEÑA HERNAN ALONSO</t>
  </si>
  <si>
    <t>DIA* PEÑ* HER*** ALO***</t>
  </si>
  <si>
    <t>12595182</t>
  </si>
  <si>
    <t>MOVILLA ARRIETA JORGE ANTONIO</t>
  </si>
  <si>
    <t>MOV**** ARR**** JOR** ANT****</t>
  </si>
  <si>
    <t>12595337</t>
  </si>
  <si>
    <t>MENDOZA ATENCIO MANUEL MARIA</t>
  </si>
  <si>
    <t>MEN**** ATE**** MAN*** MAR**</t>
  </si>
  <si>
    <t>12595393</t>
  </si>
  <si>
    <t>MOJICA YEPES ALVARO LAUREANO</t>
  </si>
  <si>
    <t>MOJ*** YEP** ALV*** LAU*****</t>
  </si>
  <si>
    <t>12595429</t>
  </si>
  <si>
    <t>MONTES CAMPO MANUEL GUILLERMO</t>
  </si>
  <si>
    <t>MON*** CAM** MAN*** GUI******</t>
  </si>
  <si>
    <t>12595453</t>
  </si>
  <si>
    <t>TOVAR CASTRO MATEO GREGORIO</t>
  </si>
  <si>
    <t>TOV** CAS*** MAT** GRE*****</t>
  </si>
  <si>
    <t>12595459</t>
  </si>
  <si>
    <t>OSPINO ACOSTA OSCAR GABRIEL</t>
  </si>
  <si>
    <t>OSP*** ACO*** OSC** GAB****</t>
  </si>
  <si>
    <t>12595478</t>
  </si>
  <si>
    <t>ORTIZ BATISTA WILBERTO ADOLFO</t>
  </si>
  <si>
    <t>ORT** BAT**** WIL***** ADO***</t>
  </si>
  <si>
    <t>12595526</t>
  </si>
  <si>
    <t>SANTOFIMIO CORTINA MARLON DE JESUS</t>
  </si>
  <si>
    <t>SAN******* COR**** MAR*** DE JES**</t>
  </si>
  <si>
    <t>12595534</t>
  </si>
  <si>
    <t>PALENCIA BLANCO JAIRO DE JESUS</t>
  </si>
  <si>
    <t>PAL***** BLA*** JAI** DE JES**</t>
  </si>
  <si>
    <t>12595639</t>
  </si>
  <si>
    <t>FERNANDEZ DE CASTRO MELGAREJO ALFREDO JOSE</t>
  </si>
  <si>
    <t>FER****** DE CAS*** MEL****** ALF**** JOS*</t>
  </si>
  <si>
    <t>12595655</t>
  </si>
  <si>
    <t>SEQUEA GARRIDO NEGUID DE JESUS</t>
  </si>
  <si>
    <t>SEQ*** GAR**** NEG*** DE JES**</t>
  </si>
  <si>
    <t>12595722</t>
  </si>
  <si>
    <t>BERRIO NIÑO ELIECER RAFAEL</t>
  </si>
  <si>
    <t>BER*** NIÑ* ELI**** RAF***</t>
  </si>
  <si>
    <t>12595802</t>
  </si>
  <si>
    <t>MARTINEZ BURGOS FERNANDO RAFAEL</t>
  </si>
  <si>
    <t>MAR***** BUR*** FER***** RAF***</t>
  </si>
  <si>
    <t>12595819</t>
  </si>
  <si>
    <t>HERRERA CASTRO EDWARD ENRIQUE</t>
  </si>
  <si>
    <t>HER**** CAS*** EDW*** ENR****</t>
  </si>
  <si>
    <t>12595925</t>
  </si>
  <si>
    <t>GOMEZ OBREDOR CARLOS ANIBAL</t>
  </si>
  <si>
    <t>GOM** OBR**** CAR*** ANI***</t>
  </si>
  <si>
    <t>12595976</t>
  </si>
  <si>
    <t>RADA PUELLO LIBARDO ANTONIO</t>
  </si>
  <si>
    <t>RAD* PUE*** LIB**** ANT****</t>
  </si>
  <si>
    <t>12596178</t>
  </si>
  <si>
    <t>HERNANDEZ ACUÑA HABIB DEL CARMEN</t>
  </si>
  <si>
    <t>HER****** ACU** HAB** DEL CAR***</t>
  </si>
  <si>
    <t>12596211</t>
  </si>
  <si>
    <t>JIMENEZ GONZALEZ VICTOR MANUEL</t>
  </si>
  <si>
    <t>JIM**** GON***** VIC*** MAN***</t>
  </si>
  <si>
    <t>12596241</t>
  </si>
  <si>
    <t>PUELLO MOLINA GABRIEL ALFONSO</t>
  </si>
  <si>
    <t>PUE*** MOL*** GAB**** ALF****</t>
  </si>
  <si>
    <t>12596318</t>
  </si>
  <si>
    <t>TOVAR CASTRO CARLOS MANUEL</t>
  </si>
  <si>
    <t>TOV** CAS*** CAR*** MAN***</t>
  </si>
  <si>
    <t>12596336</t>
  </si>
  <si>
    <t>PUERTA GOMEZ JULIO GUILLERMO</t>
  </si>
  <si>
    <t>PUE*** GOM** JUL** GUI******</t>
  </si>
  <si>
    <t>12596395</t>
  </si>
  <si>
    <t>MUÑOZ PULGAR ALFREDO ANTONIO</t>
  </si>
  <si>
    <t>MUÑ** PUL*** ALF**** ANT****</t>
  </si>
  <si>
    <t>12596507</t>
  </si>
  <si>
    <t>DEL TORO LARA OSCAR ENRIQUE</t>
  </si>
  <si>
    <t>DEL TOR* LAR* OSC** ENR****</t>
  </si>
  <si>
    <t>12596518</t>
  </si>
  <si>
    <t>TORRES MEJIA GILDARDO ENRIQUE</t>
  </si>
  <si>
    <t>TOR*** MEJ** GIL***** ENR****</t>
  </si>
  <si>
    <t>12596519</t>
  </si>
  <si>
    <t>DE LA HOZ OSPINO RICARDO ENRIQUE</t>
  </si>
  <si>
    <t>DE LA HOZ OSP*** RIC**** ENR****</t>
  </si>
  <si>
    <t>12596577</t>
  </si>
  <si>
    <t>SALCEDO ORTIZ ARIEL ALFONSO</t>
  </si>
  <si>
    <t>SAL**** ORT** ARI** ALF****</t>
  </si>
  <si>
    <t>12596581</t>
  </si>
  <si>
    <t>AMADOR FERNANDEZ LUIS ALBERTO</t>
  </si>
  <si>
    <t>AMA*** FER****** LUI* ALB****</t>
  </si>
  <si>
    <t>12596590</t>
  </si>
  <si>
    <t>RADA TOVAR LUIS CARLOS</t>
  </si>
  <si>
    <t>RAD* TOV** LUI* CAR***</t>
  </si>
  <si>
    <t>12596637</t>
  </si>
  <si>
    <t>RODRIGUEZ VERGARA HERBERT GUILLERMO</t>
  </si>
  <si>
    <t>ROD****** VER**** HER**** GUI******</t>
  </si>
  <si>
    <t>12596764</t>
  </si>
  <si>
    <t>TOVAR CARVAJAL RAFAEL CALIXTO</t>
  </si>
  <si>
    <t>TOV** CAR***** RAF*** CAL****</t>
  </si>
  <si>
    <t>12596798</t>
  </si>
  <si>
    <t>IBAÑEZ LUNA JONY DE JESUS</t>
  </si>
  <si>
    <t>IBA*** LUN* JON* DE JES**</t>
  </si>
  <si>
    <t>12596806</t>
  </si>
  <si>
    <t>ARAGON CASTRILLO ORLANDO NICOLAS</t>
  </si>
  <si>
    <t>ARA*** CAS****** ORL**** NIC****</t>
  </si>
  <si>
    <t>12596817</t>
  </si>
  <si>
    <t>PORTO HERNANDEZ JUAN CARLOS</t>
  </si>
  <si>
    <t>POR** HER****** JUA* CAR***</t>
  </si>
  <si>
    <t>12596899</t>
  </si>
  <si>
    <t>SAUMETH PACHECO MANUEL ANTONIO</t>
  </si>
  <si>
    <t>SAU**** PAC**** MAN*** ANT****</t>
  </si>
  <si>
    <t>12596906</t>
  </si>
  <si>
    <t>DE ANGEL CERDA ABEL DE JESUS</t>
  </si>
  <si>
    <t>DE ANG** CER** ABE* DE JES**</t>
  </si>
  <si>
    <t>12596941</t>
  </si>
  <si>
    <t>RODRIGUEZ CARDENAS MANUEL JOSE</t>
  </si>
  <si>
    <t>ROD****** CAR***** MAN*** JOS*</t>
  </si>
  <si>
    <t>12597056</t>
  </si>
  <si>
    <t>BALLESTEROS GOMEZ ARIEL GREGORIO</t>
  </si>
  <si>
    <t>BAL******** GOM** ARI** GRE*****</t>
  </si>
  <si>
    <t>12597088</t>
  </si>
  <si>
    <t>OROZCO MOLINA ROBERTO JOSE</t>
  </si>
  <si>
    <t>ORO*** MOL*** ROB**** JOS*</t>
  </si>
  <si>
    <t>12597098</t>
  </si>
  <si>
    <t>VILLEGAS ORTIZ EDUARDO GREGORIO</t>
  </si>
  <si>
    <t>VIL***** ORT** EDU**** GRE*****</t>
  </si>
  <si>
    <t>12597222</t>
  </si>
  <si>
    <t>ORTIZ TORRES NAYITH DE JESUS</t>
  </si>
  <si>
    <t>ORT** TOR*** NAY*** DE JES**</t>
  </si>
  <si>
    <t>12597226</t>
  </si>
  <si>
    <t>PADILLA OSPINO BENTURA RAFAEL</t>
  </si>
  <si>
    <t>PAD**** OSP*** BEN**** RAF***</t>
  </si>
  <si>
    <t>12597334</t>
  </si>
  <si>
    <t>CAMARGO MUNIVE FERNANDO DE JESUS</t>
  </si>
  <si>
    <t>CAM**** MUN*** FER***** DE JES**</t>
  </si>
  <si>
    <t>12597374</t>
  </si>
  <si>
    <t>FUENTES MEJIA DEIBER ENRIQUE</t>
  </si>
  <si>
    <t>FUE**** MEJ** DEI*** ENR****</t>
  </si>
  <si>
    <t>12597425</t>
  </si>
  <si>
    <t>ARIZA PADILLA PAUL FERNANDO</t>
  </si>
  <si>
    <t>ARI** PAD**** PAU* FER*****</t>
  </si>
  <si>
    <t>12597549</t>
  </si>
  <si>
    <t>MORENO MAESTRE HERNANDO ANTONIO</t>
  </si>
  <si>
    <t>MOR*** MAE**** HER***** ANT****</t>
  </si>
  <si>
    <t>12597616</t>
  </si>
  <si>
    <t>URBINA FONSECA REINALDO ANTONIO</t>
  </si>
  <si>
    <t>URB*** FON**** REI***** ANT****</t>
  </si>
  <si>
    <t>12597714</t>
  </si>
  <si>
    <t>PEÑALOZA QUIROZ JUAN BAUTISTA</t>
  </si>
  <si>
    <t>PEÑ***** QUI*** JUA* BAU*****</t>
  </si>
  <si>
    <t>12597772</t>
  </si>
  <si>
    <t>GUTIERREZ RADA LEANDRO TAJID</t>
  </si>
  <si>
    <t>GUT****** RAD* LEA**** TAJ**</t>
  </si>
  <si>
    <t>12597948</t>
  </si>
  <si>
    <t>MIRANDA VARGAS WILMAR ALFREDO</t>
  </si>
  <si>
    <t>MIR**** VAR*** WIL*** ALF****</t>
  </si>
  <si>
    <t>12597955</t>
  </si>
  <si>
    <t>DE LEON MOLINA JUAN ELIECER</t>
  </si>
  <si>
    <t>DE LEO* MOL*** JUA* ELI****</t>
  </si>
  <si>
    <t>12598208</t>
  </si>
  <si>
    <t>PARDO VENERA VICTOR EDUARDO</t>
  </si>
  <si>
    <t>PAR** VEN*** VIC*** EDU****</t>
  </si>
  <si>
    <t>12598384</t>
  </si>
  <si>
    <t>CACERES HOYOS NILSON RAFAEL</t>
  </si>
  <si>
    <t>CAC**** HOY** NIL*** RAF***</t>
  </si>
  <si>
    <t>12598385</t>
  </si>
  <si>
    <t>OSPINO ORTIZ ANIBAL POMPEYO</t>
  </si>
  <si>
    <t>OSP*** ORT** ANI*** POM****</t>
  </si>
  <si>
    <t>12598529</t>
  </si>
  <si>
    <t>CAMARGO TOVAR IVAN ALBERTO</t>
  </si>
  <si>
    <t>CAM**** TOV** IVA* ALB****</t>
  </si>
  <si>
    <t>12598645</t>
  </si>
  <si>
    <t>SEÑAS AMARIS JULIO ENRIQUE</t>
  </si>
  <si>
    <t>SEÑ** AMA*** JUL** ENR****</t>
  </si>
  <si>
    <t>12598748</t>
  </si>
  <si>
    <t>CASTAÑEDA CARRILLO VICTOR MANUEL</t>
  </si>
  <si>
    <t>CAS****** CAR***** VIC*** MAN***</t>
  </si>
  <si>
    <t>12598854</t>
  </si>
  <si>
    <t>DEL TORO LARA JAVIER ENRIQUE</t>
  </si>
  <si>
    <t>DEL TOR* LAR* JAV*** ENR****</t>
  </si>
  <si>
    <t>12598949</t>
  </si>
  <si>
    <t>CASTRO ARJONA WILSON ENRIQUE</t>
  </si>
  <si>
    <t>CAS*** ARJ*** WIL*** ENR****</t>
  </si>
  <si>
    <t>12599036</t>
  </si>
  <si>
    <t>PUELLO MOLINA ALVARO DAVID</t>
  </si>
  <si>
    <t>PUE*** MOL*** ALV*** DAV**</t>
  </si>
  <si>
    <t>12599077</t>
  </si>
  <si>
    <t>CASTRO PARRA DAVID JAVIER</t>
  </si>
  <si>
    <t>CAS*** PAR** DAV** JAV***</t>
  </si>
  <si>
    <t>12599162</t>
  </si>
  <si>
    <t>ANDRADE MOLINA FRANCISCO JOSE</t>
  </si>
  <si>
    <t>AND**** MOL*** FRA****** JOS*</t>
  </si>
  <si>
    <t>12599166</t>
  </si>
  <si>
    <t>GONZALEZ ESCOBAR JESUS ALDO</t>
  </si>
  <si>
    <t>GON***** ESC**** JES** ALD*</t>
  </si>
  <si>
    <t>12599318</t>
  </si>
  <si>
    <t>AVILA BLANCO ORLANDO RAFAEL</t>
  </si>
  <si>
    <t>AVI** BLA*** ORL**** RAF***</t>
  </si>
  <si>
    <t>12599322</t>
  </si>
  <si>
    <t>SAUMETH LAMBOGLIA HANDRED DAVE</t>
  </si>
  <si>
    <t>SAU**** LAM****** HAN**** DAV*</t>
  </si>
  <si>
    <t>12599344</t>
  </si>
  <si>
    <t>ACUÑA VIDES ANIBAL RAFAEL</t>
  </si>
  <si>
    <t>ACU** VID** ANI*** RAF***</t>
  </si>
  <si>
    <t>12599350</t>
  </si>
  <si>
    <t>OROZCO VEGA HUMBERTO ENRIQUE</t>
  </si>
  <si>
    <t>ORO*** VEG* HUM***** ENR****</t>
  </si>
  <si>
    <t>12599437</t>
  </si>
  <si>
    <t>PADILLA CAMARGO LEUDIN</t>
  </si>
  <si>
    <t>PAD**** CAM**** LEU***</t>
  </si>
  <si>
    <t>12599449</t>
  </si>
  <si>
    <t>WILCHES CORTINA JAVIER ALBERTO</t>
  </si>
  <si>
    <t>WIL**** COR**** JAV*** ALB****</t>
  </si>
  <si>
    <t>12599552</t>
  </si>
  <si>
    <t>CABARCAS CASTILLO CARMELO ALBERTO</t>
  </si>
  <si>
    <t>CAB***** CAS***** CAR**** ALB****</t>
  </si>
  <si>
    <t>12599558</t>
  </si>
  <si>
    <t>JIMENEZ MUNIVE PABLO JOSE</t>
  </si>
  <si>
    <t>JIM**** MUN*** PAB** JOS*</t>
  </si>
  <si>
    <t>12599581</t>
  </si>
  <si>
    <t>ANAYA MERCADO EDER LORENZO</t>
  </si>
  <si>
    <t>ANA** MER**** EDE* LOR****</t>
  </si>
  <si>
    <t>12599644</t>
  </si>
  <si>
    <t>JARMA HERNANDEZ JHONY RAFAEL</t>
  </si>
  <si>
    <t>JAR** HER****** JHO** RAF***</t>
  </si>
  <si>
    <t>12599673</t>
  </si>
  <si>
    <t>MOLINA BALLESTAS FELIX ANTONIO</t>
  </si>
  <si>
    <t>MOL*** BAL****** FEL** ANT****</t>
  </si>
  <si>
    <t>12599718</t>
  </si>
  <si>
    <t>OSPINO CARDONA GEOVANNI ANTONIO</t>
  </si>
  <si>
    <t>OSP*** CAR**** GEO***** ANT****</t>
  </si>
  <si>
    <t>12599763</t>
  </si>
  <si>
    <t>QUIROZ FERNANDEZ MILTON CESAR</t>
  </si>
  <si>
    <t>QUI*** FER****** MIL*** CES**</t>
  </si>
  <si>
    <t>12599914</t>
  </si>
  <si>
    <t>MERIÑO CANAVAL HUMBERTO DAVID</t>
  </si>
  <si>
    <t>MER*** CAN**** HUM***** DAV**</t>
  </si>
  <si>
    <t>12599921</t>
  </si>
  <si>
    <t>MOLINA RODRIGUEZ OSCAR ALBERTO</t>
  </si>
  <si>
    <t>MOL*** ROD****** OSC** ALB****</t>
  </si>
  <si>
    <t>12599944</t>
  </si>
  <si>
    <t>HERNANDEZ HERNANDEZ DAGER JOSE</t>
  </si>
  <si>
    <t>HER****** HER****** DAG** JOS*</t>
  </si>
  <si>
    <t>12599960</t>
  </si>
  <si>
    <t>CACERES AMADOR NELSON ENRIQUE</t>
  </si>
  <si>
    <t>CAC**** AMA*** NEL*** ENR****</t>
  </si>
  <si>
    <t>12600344</t>
  </si>
  <si>
    <t>MURILLO MONTERO ULFRAN</t>
  </si>
  <si>
    <t>MUR**** MON**** ULF***</t>
  </si>
  <si>
    <t>12600446</t>
  </si>
  <si>
    <t>OSPINO ROJAS DIOMEDES</t>
  </si>
  <si>
    <t>OSP*** ROJ** DIO*****</t>
  </si>
  <si>
    <t>12600562</t>
  </si>
  <si>
    <t>GONZALEZ IBAÑEZ HERNAN MIGUEL</t>
  </si>
  <si>
    <t>GON***** IBA*** HER*** MIG***</t>
  </si>
  <si>
    <t>12600571</t>
  </si>
  <si>
    <t>VILLARREAL ALVEAR HILBER</t>
  </si>
  <si>
    <t>VIL******* ALV*** HIL***</t>
  </si>
  <si>
    <t>12600614</t>
  </si>
  <si>
    <t>GOMEZ SEGOVIA BENIGNO</t>
  </si>
  <si>
    <t>GOM** SEG**** BEN****</t>
  </si>
  <si>
    <t>12600720</t>
  </si>
  <si>
    <t>GUTIERREZ MORALES EDUARDO</t>
  </si>
  <si>
    <t>GUT****** MOR**** EDU****</t>
  </si>
  <si>
    <t>12600772</t>
  </si>
  <si>
    <t>HOSTIA GUTIERREZ OSMER</t>
  </si>
  <si>
    <t>HOS*** GUT****** OSM**</t>
  </si>
  <si>
    <t>12600890</t>
  </si>
  <si>
    <t>GUTIERREZ DE LA CRUZ HUBER</t>
  </si>
  <si>
    <t>GUT****** DE LA CRU* HUB**</t>
  </si>
  <si>
    <t>12600983</t>
  </si>
  <si>
    <t>ACOSTA RANGEL EDIE</t>
  </si>
  <si>
    <t>ACO*** RAN*** EDI*</t>
  </si>
  <si>
    <t>12600987</t>
  </si>
  <si>
    <t>ROJAS RODRIGUEZ ROGELIO</t>
  </si>
  <si>
    <t>ROJ** ROD****** ROG****</t>
  </si>
  <si>
    <t>12601010</t>
  </si>
  <si>
    <t>ATENCIA MONTERO WILMAN</t>
  </si>
  <si>
    <t>ATE**** MON**** WIL***</t>
  </si>
  <si>
    <t>12601050</t>
  </si>
  <si>
    <t>CARO FONSECA ALVARO ENRIQUE</t>
  </si>
  <si>
    <t>CAR* FON**** ALV*** ENR****</t>
  </si>
  <si>
    <t>12601198</t>
  </si>
  <si>
    <t>PINEDA RANGEL JUAN</t>
  </si>
  <si>
    <t>PIN*** RAN*** JUA*</t>
  </si>
  <si>
    <t>12601232</t>
  </si>
  <si>
    <t>RICAURTE BLADIMIRO</t>
  </si>
  <si>
    <t>RIC***** BLA******</t>
  </si>
  <si>
    <t>12601321</t>
  </si>
  <si>
    <t>PEDROZO AMADOR BERTO JULIO</t>
  </si>
  <si>
    <t>PED**** AMA*** BER** JUL**</t>
  </si>
  <si>
    <t>12601429</t>
  </si>
  <si>
    <t>DIAZ JIMENEZ JOSE ALFONSO</t>
  </si>
  <si>
    <t>DIA* JIM**** JOS* ALF****</t>
  </si>
  <si>
    <t>12601549</t>
  </si>
  <si>
    <t>ITURRIAGO FLOREZ ORLANDO</t>
  </si>
  <si>
    <t>ITU****** FLO*** ORL****</t>
  </si>
  <si>
    <t>12601560</t>
  </si>
  <si>
    <t>AREVALO VILLAREAL ISMAEL</t>
  </si>
  <si>
    <t>ARE**** VIL****** ISM***</t>
  </si>
  <si>
    <t>12601571</t>
  </si>
  <si>
    <t>PEREZ GUILLEN ORLANDO</t>
  </si>
  <si>
    <t>PER** GUI**** ORL****</t>
  </si>
  <si>
    <t>12601574</t>
  </si>
  <si>
    <t>GONZALEZ ITURRIAGO NESTOR ANDRES</t>
  </si>
  <si>
    <t>GON***** ITU****** NES*** AND***</t>
  </si>
  <si>
    <t>12601616</t>
  </si>
  <si>
    <t>HERNANDEZ GARCIA JORGE</t>
  </si>
  <si>
    <t>HER****** GAR*** JOR**</t>
  </si>
  <si>
    <t>12601645</t>
  </si>
  <si>
    <t>ROJAS BELEÑO ROBERTO CARLOS</t>
  </si>
  <si>
    <t>ROJ** BEL*** ROB**** CAR***</t>
  </si>
  <si>
    <t>12601685</t>
  </si>
  <si>
    <t>FERREIRA TINOCO ARNALDO</t>
  </si>
  <si>
    <t>FER***** TIN*** ARN****</t>
  </si>
  <si>
    <t>12601702</t>
  </si>
  <si>
    <t>ROCHA LOPEZ EVANGELISTA</t>
  </si>
  <si>
    <t>ROC** LOP** EVA********</t>
  </si>
  <si>
    <t>12601764</t>
  </si>
  <si>
    <t>HERNANDEZ GUTIERREZ URIEL</t>
  </si>
  <si>
    <t>HER****** GUT****** URI**</t>
  </si>
  <si>
    <t>12601786</t>
  </si>
  <si>
    <t>CANTILLO GARRIDO RICARDO</t>
  </si>
  <si>
    <t>CAN***** GAR**** RIC****</t>
  </si>
  <si>
    <t>12601823</t>
  </si>
  <si>
    <t>PAYAN GUILLEN ELVIS</t>
  </si>
  <si>
    <t>PAY** GUI**** ELV**</t>
  </si>
  <si>
    <t>12601838</t>
  </si>
  <si>
    <t>SAUCEDO RODRIGUEZ JOSE IGNACIO</t>
  </si>
  <si>
    <t>SAU**** ROD****** JOS* IGN****</t>
  </si>
  <si>
    <t>12601859</t>
  </si>
  <si>
    <t>MARTINEZ NAVARRO JOSE MARIA</t>
  </si>
  <si>
    <t>MAR***** NAV**** JOS* MAR**</t>
  </si>
  <si>
    <t>12601879</t>
  </si>
  <si>
    <t>OSPINO LAMAR MANUEL DE JESUS</t>
  </si>
  <si>
    <t>OSP*** LAM** MAN*** DE JES**</t>
  </si>
  <si>
    <t>12601916</t>
  </si>
  <si>
    <t>MARTINEZ NAVARRO WILMER</t>
  </si>
  <si>
    <t>MAR***** NAV**** WIL***</t>
  </si>
  <si>
    <t>12601919</t>
  </si>
  <si>
    <t>NAVARRO FONSECA ADALBERTO</t>
  </si>
  <si>
    <t>NAV**** FON**** ADA******</t>
  </si>
  <si>
    <t>12602144</t>
  </si>
  <si>
    <t>DE LA PEÑA BARRAZA JAIDER</t>
  </si>
  <si>
    <t>DE LA PEÑ* BAR**** JAI***</t>
  </si>
  <si>
    <t>12602297</t>
  </si>
  <si>
    <t>MEJIA ROJAS LUIS EDUARDO</t>
  </si>
  <si>
    <t>MEJ** ROJ** LUI* EDU****</t>
  </si>
  <si>
    <t>12602309</t>
  </si>
  <si>
    <t>CORTES COMAS RICARDO</t>
  </si>
  <si>
    <t>COR*** COM** RIC****</t>
  </si>
  <si>
    <t>12602394</t>
  </si>
  <si>
    <t>MARTINEZ LOPEZ STEVIN</t>
  </si>
  <si>
    <t>MAR***** LOP** STE***</t>
  </si>
  <si>
    <t>12602407</t>
  </si>
  <si>
    <t>CAMPO RANGEL HUGO HUMBERTO</t>
  </si>
  <si>
    <t>CAM** RAN*** HUG* HUM*****</t>
  </si>
  <si>
    <t>12602411</t>
  </si>
  <si>
    <t>ACUÑA GARCIA YARLEY</t>
  </si>
  <si>
    <t>ACU** GAR*** YAR***</t>
  </si>
  <si>
    <t>12602964</t>
  </si>
  <si>
    <t>ROJAS BELEÑO ALEXIS</t>
  </si>
  <si>
    <t>ROJ** BEL*** ALE***</t>
  </si>
  <si>
    <t>12613190</t>
  </si>
  <si>
    <t>MUÑOZ CORTINA AROLDO MANUEL</t>
  </si>
  <si>
    <t>MUÑ** COR**** ARO*** MAN***</t>
  </si>
  <si>
    <t>12613391</t>
  </si>
  <si>
    <t>HERRERA AYA JESUS MARIA</t>
  </si>
  <si>
    <t>HER**** AYA JES** MAR**</t>
  </si>
  <si>
    <t>12614319</t>
  </si>
  <si>
    <t>SALTAREN ACOSTA LUIS ALBERTO</t>
  </si>
  <si>
    <t>SAL***** ACO*** LUI* ALB****</t>
  </si>
  <si>
    <t>12615262</t>
  </si>
  <si>
    <t>CANDANOZA POLO ALVARO LUIS</t>
  </si>
  <si>
    <t>CAN****** POL* ALV*** LUI*</t>
  </si>
  <si>
    <t>12615385</t>
  </si>
  <si>
    <t>PABON VILLA GUILLERMO</t>
  </si>
  <si>
    <t>PAB** VIL** GUI******</t>
  </si>
  <si>
    <t>12615729</t>
  </si>
  <si>
    <t>TETTE GALINDO JORGE AURELIO</t>
  </si>
  <si>
    <t>TET** GAL**** JOR** AUR****</t>
  </si>
  <si>
    <t>12615798</t>
  </si>
  <si>
    <t>ORTEGA CAMACHO ILDEFONSO</t>
  </si>
  <si>
    <t>ORT*** CAM**** ILD******</t>
  </si>
  <si>
    <t>12615960</t>
  </si>
  <si>
    <t>LEAL VELASQUEZ JAIME DE JESUS</t>
  </si>
  <si>
    <t>LEA* VEL****** JAI** DE JES**</t>
  </si>
  <si>
    <t>12616860</t>
  </si>
  <si>
    <t>RUDAS GALAN JORGE ELIECER</t>
  </si>
  <si>
    <t>RUD** GAL** JOR** ELI****</t>
  </si>
  <si>
    <t>12616984</t>
  </si>
  <si>
    <t>CARRILLO CANTILLO EDULFO DE JESUS</t>
  </si>
  <si>
    <t>CAR***** CAN***** EDU*** DE JES**</t>
  </si>
  <si>
    <t>12617095</t>
  </si>
  <si>
    <t>GONZALEZ LAVALLE ALVARO ENRIQUE</t>
  </si>
  <si>
    <t>GON***** LAV**** ALV*** ENR****</t>
  </si>
  <si>
    <t>12617785</t>
  </si>
  <si>
    <t>ROMERO PAZ RICARDO ANTONIO</t>
  </si>
  <si>
    <t>ROM*** PAZ RIC**** ANT****</t>
  </si>
  <si>
    <t>12617846</t>
  </si>
  <si>
    <t>ALTAMAR FONTALVO JESUS MARIA</t>
  </si>
  <si>
    <t>ALT**** FON***** JES** MAR**</t>
  </si>
  <si>
    <t>12618142</t>
  </si>
  <si>
    <t>BARROS MEDINA ALEJANDRO ALFONSO</t>
  </si>
  <si>
    <t>BAR*** MED*** ALE****** ALF****</t>
  </si>
  <si>
    <t>12618424</t>
  </si>
  <si>
    <t>ORTIZ MATEUS MARCOS TULIO</t>
  </si>
  <si>
    <t>ORT** MAT*** MAR*** TUL**</t>
  </si>
  <si>
    <t>12618535</t>
  </si>
  <si>
    <t>SARMIENTO MONTENEGRO JORGE ENRIQUE</t>
  </si>
  <si>
    <t>SAR****** MON******* JOR** ENR****</t>
  </si>
  <si>
    <t>12619219</t>
  </si>
  <si>
    <t>PRADO ANTEQUERA ARTURO CESAR</t>
  </si>
  <si>
    <t>PRA** ANT****** ART*** CES**</t>
  </si>
  <si>
    <t>12619475</t>
  </si>
  <si>
    <t>CALA OLIVEROS HERNAN</t>
  </si>
  <si>
    <t>CAL* OLI***** HER***</t>
  </si>
  <si>
    <t>12620551</t>
  </si>
  <si>
    <t>MOJICA PAREJO ASDRUBAL ALBERTO</t>
  </si>
  <si>
    <t>MOJ*** PAR*** ASD***** ALB****</t>
  </si>
  <si>
    <t>12620875</t>
  </si>
  <si>
    <t>MARTINEZ SUAREZ OMAR ALFONSO</t>
  </si>
  <si>
    <t>MAR***** SUA*** OMA* ALF****</t>
  </si>
  <si>
    <t>12620999</t>
  </si>
  <si>
    <t>NAVARRO CUELLO JAIR ENRIQUE</t>
  </si>
  <si>
    <t>NAV**** CUE*** JAI* ENR****</t>
  </si>
  <si>
    <t>12621376</t>
  </si>
  <si>
    <t>JAIME CORONEL JOAQUIN EMILIO</t>
  </si>
  <si>
    <t>JAI** COR**** JOA**** EMI***</t>
  </si>
  <si>
    <t>12621385</t>
  </si>
  <si>
    <t>ANCHILA OSORNO JUAN CARLOS</t>
  </si>
  <si>
    <t>ANC**** OSO*** JUA* CAR***</t>
  </si>
  <si>
    <t>12621449</t>
  </si>
  <si>
    <t>MIRANDA GARCIA JOAQUIN ALBERTO</t>
  </si>
  <si>
    <t>MIR**** GAR*** JOA**** ALB****</t>
  </si>
  <si>
    <t>12622407</t>
  </si>
  <si>
    <t>CAMACHO BUSTAMANTE JUAN BAUTISTA</t>
  </si>
  <si>
    <t>CAM**** BUS******* JUA* BAU*****</t>
  </si>
  <si>
    <t>12622416</t>
  </si>
  <si>
    <t>GUZMAN GUERRERO WILSON</t>
  </si>
  <si>
    <t>GUZ*** GUE***** WIL***</t>
  </si>
  <si>
    <t>12622491</t>
  </si>
  <si>
    <t>SILVA GONZALEZ DIDIER ALBERTO</t>
  </si>
  <si>
    <t>SIL** GON***** DID*** ALB****</t>
  </si>
  <si>
    <t>12622492</t>
  </si>
  <si>
    <t>PEÑA BUSTAMANTE ALBERTO AUGUSTO</t>
  </si>
  <si>
    <t>PEÑ* BUS******* ALB**** AUG****</t>
  </si>
  <si>
    <t>12622524</t>
  </si>
  <si>
    <t>MARIN CALDERON RODIN RAFAEL</t>
  </si>
  <si>
    <t>MAR** CAL***** ROD** RAF***</t>
  </si>
  <si>
    <t>12622849</t>
  </si>
  <si>
    <t>CAMARGO ANCHILA DAVID SEGUNDO</t>
  </si>
  <si>
    <t>CAM**** ANC**** DAV** SEG****</t>
  </si>
  <si>
    <t>12623395</t>
  </si>
  <si>
    <t>CELIZ ZAPATA ALVARO</t>
  </si>
  <si>
    <t>CEL** ZAP*** ALV***</t>
  </si>
  <si>
    <t>12623455</t>
  </si>
  <si>
    <t>HERNANDEZ FONTALVO ALFREDO MANUEL</t>
  </si>
  <si>
    <t>HER****** FON***** ALF**** MAN***</t>
  </si>
  <si>
    <t>12623479</t>
  </si>
  <si>
    <t>CASTILLO CANCHANO CAYETANO DE JESUS</t>
  </si>
  <si>
    <t>CAS***** CAN***** CAY***** DE JES**</t>
  </si>
  <si>
    <t>12623556</t>
  </si>
  <si>
    <t>MEZA NUÑEZ JAVIER DE JESUS</t>
  </si>
  <si>
    <t>MEZ* NUÑ** JAV*** DE JES**</t>
  </si>
  <si>
    <t>12623697</t>
  </si>
  <si>
    <t>BOLAÑO NAVARRO ELIECER JAVIER</t>
  </si>
  <si>
    <t>BOL*** NAV**** ELI**** JAV***</t>
  </si>
  <si>
    <t>12623822</t>
  </si>
  <si>
    <t>BUELVAS TORRES ALEXANDER ROBERTO</t>
  </si>
  <si>
    <t>BUE**** TOR*** ALE****** ROB****</t>
  </si>
  <si>
    <t>12623824</t>
  </si>
  <si>
    <t>PERTUZ OROZCO ISMAEL ALFONSO</t>
  </si>
  <si>
    <t>PER*** ORO*** ISM*** ALF****</t>
  </si>
  <si>
    <t>12623869</t>
  </si>
  <si>
    <t>OROZCO THORNEE JESUS ENRIQUE</t>
  </si>
  <si>
    <t>ORO*** THO**** JES** ENR****</t>
  </si>
  <si>
    <t>12623875</t>
  </si>
  <si>
    <t>CAMACHO TOLOZA JAIRO ANTONIO</t>
  </si>
  <si>
    <t>CAM**** TOL*** JAI** ANT****</t>
  </si>
  <si>
    <t>12623936</t>
  </si>
  <si>
    <t>HERNANDEZ DIAZ ADOLFO DE JESUS</t>
  </si>
  <si>
    <t>HER****** DIA* ADO*** DE JES**</t>
  </si>
  <si>
    <t>12624128</t>
  </si>
  <si>
    <t>BARRERA VILLARREAL RODOLFO ENRIQUE</t>
  </si>
  <si>
    <t>BAR**** VIL******* ROD**** ENR****</t>
  </si>
  <si>
    <t>12624448</t>
  </si>
  <si>
    <t>LOPEZ PAZ EDUARDO RAFAEL</t>
  </si>
  <si>
    <t>LOP** PAZ EDU**** RAF***</t>
  </si>
  <si>
    <t>12624877</t>
  </si>
  <si>
    <t>RETAMOZO ORELLANO GUSTAVO</t>
  </si>
  <si>
    <t>RET***** ORE***** GUS****</t>
  </si>
  <si>
    <t>12624890</t>
  </si>
  <si>
    <t>FONSECA CARBONO JOSE DAMIAN</t>
  </si>
  <si>
    <t>FON**** CAR**** JOS* DAM***</t>
  </si>
  <si>
    <t>12624957</t>
  </si>
  <si>
    <t>ESPINOSA CAMARGO EDINSON</t>
  </si>
  <si>
    <t>ESP***** CAM**** EDI****</t>
  </si>
  <si>
    <t>12625084</t>
  </si>
  <si>
    <t>LOPEZ RUIZ EFREM JOSE</t>
  </si>
  <si>
    <t>LOP** RUI* EFR** JOS*</t>
  </si>
  <si>
    <t>12625198</t>
  </si>
  <si>
    <t>BENAVIDES ORELLANO JUAN CARLOS</t>
  </si>
  <si>
    <t>BEN****** ORE***** JUA* CAR***</t>
  </si>
  <si>
    <t>12625379</t>
  </si>
  <si>
    <t>ZULUAGA MENDOZA ALBERTO ANTONIO</t>
  </si>
  <si>
    <t>ZUL**** MEN**** ALB**** ANT****</t>
  </si>
  <si>
    <t>12625414</t>
  </si>
  <si>
    <t>SERRANO MARRIAGA VENANCIO ENRIQUE</t>
  </si>
  <si>
    <t>SER**** MAR***** VEN***** ENR****</t>
  </si>
  <si>
    <t>12625860</t>
  </si>
  <si>
    <t>HERNANDEZ CENTENO CAMPO ELIAS</t>
  </si>
  <si>
    <t>HER****** CEN**** CAM** ELI**</t>
  </si>
  <si>
    <t>12626262</t>
  </si>
  <si>
    <t>URUETA VELEZ LUIS MARIANO</t>
  </si>
  <si>
    <t>3AD</t>
  </si>
  <si>
    <t>URU*** VEL** LUI* MAR****</t>
  </si>
  <si>
    <t>12626275</t>
  </si>
  <si>
    <t>VIVES MARTINEZ LUIS MANUEL</t>
  </si>
  <si>
    <t>VIV** MAR***** LUI* MAN***</t>
  </si>
  <si>
    <t>12626322</t>
  </si>
  <si>
    <t>MAHECHA JIMENEZ CARLOS ALFONSO</t>
  </si>
  <si>
    <t>MAH**** JIM**** CAR*** ALF****</t>
  </si>
  <si>
    <t>12626816</t>
  </si>
  <si>
    <t>CANTILLO ESCORCIA JAVIER ALBERTO</t>
  </si>
  <si>
    <t>CAN***** ESC***** JAV*** ALB****</t>
  </si>
  <si>
    <t>12627226</t>
  </si>
  <si>
    <t>RODRIGUEZ RODRIGUEZ CARLOS EDUARDO</t>
  </si>
  <si>
    <t>ROD****** ROD****** CAR*** EDU****</t>
  </si>
  <si>
    <t>12627233</t>
  </si>
  <si>
    <t>CAMPO MIRANDA ADRIAN ALBERTO</t>
  </si>
  <si>
    <t>CAM** MIR**** ADR*** ALB****</t>
  </si>
  <si>
    <t>12627318</t>
  </si>
  <si>
    <t>ALCOCER POLO ASLEIT ENRIQUE</t>
  </si>
  <si>
    <t>ALC**** POL* ASL*** ENR****</t>
  </si>
  <si>
    <t>12627905</t>
  </si>
  <si>
    <t>PEREZ LOPEZ DORIAN JAIME</t>
  </si>
  <si>
    <t>PER** LOP** DOR*** JAI**</t>
  </si>
  <si>
    <t>12628107</t>
  </si>
  <si>
    <t>PEREIRA CANTILLO APELES SEGUNDO</t>
  </si>
  <si>
    <t>PER**** CAN***** APE*** SEG****</t>
  </si>
  <si>
    <t>12628215</t>
  </si>
  <si>
    <t>SIMANCA GOMEZ ISAIDY DE JESUS</t>
  </si>
  <si>
    <t>SIM**** GOM** ISA*** DE JES**</t>
  </si>
  <si>
    <t>12628447</t>
  </si>
  <si>
    <t>DURAN MARTINEZ ALVARO ALFONSO</t>
  </si>
  <si>
    <t>DUR** MAR***** ALV*** ALF****</t>
  </si>
  <si>
    <t>12628589</t>
  </si>
  <si>
    <t>MENDOZA MANJARRES SAMIR ALFONSO</t>
  </si>
  <si>
    <t>MEN**** MAN****** SAM** ALF****</t>
  </si>
  <si>
    <t>12628767</t>
  </si>
  <si>
    <t>DIAZ SALAMANCA HERMIS ANTONIO</t>
  </si>
  <si>
    <t>DIA* SAL****** HER*** ANT****</t>
  </si>
  <si>
    <t>12628861</t>
  </si>
  <si>
    <t>GARCIA PUCHE CARLOS ALBERTO</t>
  </si>
  <si>
    <t>GAR*** PUC** CAR*** ALB****</t>
  </si>
  <si>
    <t>12628983</t>
  </si>
  <si>
    <t>POMARES SANCHEZ GUILIO ALBERTO</t>
  </si>
  <si>
    <t>POM**** SAN**** GUI*** ALB****</t>
  </si>
  <si>
    <t>12629016</t>
  </si>
  <si>
    <t>GUTIERREZ AUGUSTO CESAR</t>
  </si>
  <si>
    <t>GUT****** AUG**** CES**</t>
  </si>
  <si>
    <t>12629162</t>
  </si>
  <si>
    <t>MARTINEZ MELENDEZ CRISTOBAL RAFAEL</t>
  </si>
  <si>
    <t>MAR***** MEL***** CRI****** RAF***</t>
  </si>
  <si>
    <t>12629335</t>
  </si>
  <si>
    <t>AHUMADA CORRALES FREDY ALFONSO</t>
  </si>
  <si>
    <t>AHU**** COR***** FRE** ALF****</t>
  </si>
  <si>
    <t>12629364</t>
  </si>
  <si>
    <t>HERNANDEZ RAMIREZ HERDER HERSCHEL</t>
  </si>
  <si>
    <t>HER****** RAM**** HER*** HER*****</t>
  </si>
  <si>
    <t>12629831</t>
  </si>
  <si>
    <t>PEREZ ROSALES SERGIO JAVIER</t>
  </si>
  <si>
    <t>PER** ROS**** SER*** JAV***</t>
  </si>
  <si>
    <t>12629864</t>
  </si>
  <si>
    <t>FLOREZ ROMERO OLIVER OMAR</t>
  </si>
  <si>
    <t>FLO*** ROM*** OLI*** OMA*</t>
  </si>
  <si>
    <t>12630361</t>
  </si>
  <si>
    <t>CASTILLO GONZALEZ LEANDRO JOSE</t>
  </si>
  <si>
    <t>CAS***** GON***** LEA**** JOS*</t>
  </si>
  <si>
    <t>12630481</t>
  </si>
  <si>
    <t>CUBILLOS MORRON IGNACIO JAVIER</t>
  </si>
  <si>
    <t>CUB***** MOR*** IGN**** JAV***</t>
  </si>
  <si>
    <t>12630490</t>
  </si>
  <si>
    <t>TORRES BRODMEIER JOSE JOAQUIN</t>
  </si>
  <si>
    <t>TOR*** BRO****** JOS* JOA****</t>
  </si>
  <si>
    <t>12630905</t>
  </si>
  <si>
    <t>ZULETA RUIZ ENRIQUE ALFREDO</t>
  </si>
  <si>
    <t>1</t>
  </si>
  <si>
    <t>ZUL*** RUI* ENR**** ALF****</t>
  </si>
  <si>
    <t>12631313</t>
  </si>
  <si>
    <t>VIÑAS POLO VICTOR RAFAEL</t>
  </si>
  <si>
    <t>VIÑ** POL* VIC*** RAF***</t>
  </si>
  <si>
    <t>12631325</t>
  </si>
  <si>
    <t>PABON PAZ YAMITH IVAN</t>
  </si>
  <si>
    <t>PAB** PAZ YAM*** IVA*</t>
  </si>
  <si>
    <t>12631354</t>
  </si>
  <si>
    <t>ECHEVERRIA DEL VALLE JAVIER EDUARDO</t>
  </si>
  <si>
    <t>ECH******* DEL VAL** JAV*** EDU****</t>
  </si>
  <si>
    <t>12631475</t>
  </si>
  <si>
    <t>CASTRO BARRERA DORIAN OCTAVIO</t>
  </si>
  <si>
    <t>CAS*** BAR**** DOR*** OCT****</t>
  </si>
  <si>
    <t>12631544</t>
  </si>
  <si>
    <t>BERMUDEZ TETTE LEONARDO ALEXANDER</t>
  </si>
  <si>
    <t>BER***** TET** LEO***** ALE******</t>
  </si>
  <si>
    <t>12631565</t>
  </si>
  <si>
    <t>OSPINO PEDROZA ALVARO RAFAEL</t>
  </si>
  <si>
    <t>OSP*** PED**** ALV*** RAF***</t>
  </si>
  <si>
    <t>12631592</t>
  </si>
  <si>
    <t>ECHEVERRIA FRAGOZO TONYS DAVID</t>
  </si>
  <si>
    <t>ECH******* FRA**** TON** DAV**</t>
  </si>
  <si>
    <t>12631781</t>
  </si>
  <si>
    <t>JIMENEZ BOLAÑO REYNER DANIEL</t>
  </si>
  <si>
    <t>JIM**** BOL*** REY*** DAN***</t>
  </si>
  <si>
    <t>12631816</t>
  </si>
  <si>
    <t>LOPEZ DIAZ BLADIMIR</t>
  </si>
  <si>
    <t>LOP** DIA* BLA*****</t>
  </si>
  <si>
    <t>12631873</t>
  </si>
  <si>
    <t>ESQUEA ARIZA OMAR ENRIQUE</t>
  </si>
  <si>
    <t>ESQ*** ARI** OMA* ENR****</t>
  </si>
  <si>
    <t>12631903</t>
  </si>
  <si>
    <t>AHUMADA ROBLES JULIO BAUTISTA</t>
  </si>
  <si>
    <t>AHU**** ROB*** JUL** BAU*****</t>
  </si>
  <si>
    <t>12631979</t>
  </si>
  <si>
    <t>PERTUZ DURAN ORLANDO CARLOS</t>
  </si>
  <si>
    <t>PER*** DUR** ORL**** CAR***</t>
  </si>
  <si>
    <t>12632419</t>
  </si>
  <si>
    <t>OSPINA GONZALEZ JAIME FRANCISCO</t>
  </si>
  <si>
    <t>OSP*** GON***** JAI** FRA******</t>
  </si>
  <si>
    <t>12632462</t>
  </si>
  <si>
    <t>CARBONO HERNANDEZ DARWIN ALFONSO</t>
  </si>
  <si>
    <t>CAR**** HER****** DAR*** ALF****</t>
  </si>
  <si>
    <t>12632665</t>
  </si>
  <si>
    <t>OLIVERA FRANCO HUGO NEL</t>
  </si>
  <si>
    <t>OLI**** FRA*** HUG* NEL</t>
  </si>
  <si>
    <t>12632757</t>
  </si>
  <si>
    <t>GUERRA PEDROZA HUMBERTO DE JESUS</t>
  </si>
  <si>
    <t>GUE*** PED**** HUM***** DE JES**</t>
  </si>
  <si>
    <t>12632791</t>
  </si>
  <si>
    <t>CASTRO ESPINOZA FREY JACINTO</t>
  </si>
  <si>
    <t>CAS*** ESP***** FRE* JAC****</t>
  </si>
  <si>
    <t>12632862</t>
  </si>
  <si>
    <t>JULIO MARTINEZ JORGE DAVID</t>
  </si>
  <si>
    <t>JUL** MAR***** JOR** DAV**</t>
  </si>
  <si>
    <t>12633240</t>
  </si>
  <si>
    <t>MARTINEZ BROCHERO DAVID</t>
  </si>
  <si>
    <t>MAR***** BRO***** DAV**</t>
  </si>
  <si>
    <t>12633733</t>
  </si>
  <si>
    <t>JIMENEZ GARCIA ALVARO SEGUNDO</t>
  </si>
  <si>
    <t>JIM**** GAR*** ALV*** SEG****</t>
  </si>
  <si>
    <t>12634086</t>
  </si>
  <si>
    <t>PALLARES ROSALES BORIS ALFONSO</t>
  </si>
  <si>
    <t>PAL***** ROS**** BOR** ALF****</t>
  </si>
  <si>
    <t>12634155</t>
  </si>
  <si>
    <t>ROBLES SOLANO JOHAN ALBERTO</t>
  </si>
  <si>
    <t>ROB*** SOL*** JOH** ALB****</t>
  </si>
  <si>
    <t>12634158</t>
  </si>
  <si>
    <t>BERMUDEZ MEJIA WALTER ANTONIO</t>
  </si>
  <si>
    <t>BER***** MEJ** WAL*** ANT****</t>
  </si>
  <si>
    <t>12634281</t>
  </si>
  <si>
    <t>GONZALEZ CASTELLANO WILLIAM JOSE</t>
  </si>
  <si>
    <t>GON***** CAS******* WIL**** JOS*</t>
  </si>
  <si>
    <t>12634449</t>
  </si>
  <si>
    <t>ARIAS BOLAÑO ALEJANDRO MANUEL</t>
  </si>
  <si>
    <t>ARI** BOL*** ALE****** MAN***</t>
  </si>
  <si>
    <t>12634482</t>
  </si>
  <si>
    <t>ESPINOSA MOLINA JHON JAIRO</t>
  </si>
  <si>
    <t>ESP***** MOL*** JHO* JAI**</t>
  </si>
  <si>
    <t>12634572</t>
  </si>
  <si>
    <t>ARIAS JIMENEZ JORGE ELIECER</t>
  </si>
  <si>
    <t>ARI** JIM**** JOR** ELI****</t>
  </si>
  <si>
    <t>12634762</t>
  </si>
  <si>
    <t>RIOS FONTALVO CRISTIAN GERARDO</t>
  </si>
  <si>
    <t>RIO* FON***** CRI***** GER****</t>
  </si>
  <si>
    <t>12634865</t>
  </si>
  <si>
    <t>CAMPO PARODIS JULIAN ALFONSO</t>
  </si>
  <si>
    <t>CAM** PAR**** JUL*** ALF****</t>
  </si>
  <si>
    <t>12635286</t>
  </si>
  <si>
    <t>VASQUEZ BUSTAMANTE RAFAEL SEGUNDO</t>
  </si>
  <si>
    <t>VAS**** BUS******* RAF*** SEG****</t>
  </si>
  <si>
    <t>12635401</t>
  </si>
  <si>
    <t>PACHECO FRAGOZO OSVALDO DE JESUS</t>
  </si>
  <si>
    <t>PAC**** FRA**** OSV**** DE JES**</t>
  </si>
  <si>
    <t>12635540</t>
  </si>
  <si>
    <t>MARTINEZ CASTRO NEFFERSON ALFONSO</t>
  </si>
  <si>
    <t>MAR***** CAS*** NEF****** ALF****</t>
  </si>
  <si>
    <t>12635835</t>
  </si>
  <si>
    <t>HENRIQUEZ ROJAS HERNAN SEGUNDO</t>
  </si>
  <si>
    <t>3BD</t>
  </si>
  <si>
    <t>HEN****** ROJ** HER*** SEG****</t>
  </si>
  <si>
    <t>12635894</t>
  </si>
  <si>
    <t>DE LA HOZ ESCORCIA CARLOS ALFONSO</t>
  </si>
  <si>
    <t>DE LA HOZ ESC***** CAR*** ALF****</t>
  </si>
  <si>
    <t>12635941</t>
  </si>
  <si>
    <t>HIDALGO VILLA JUAN CARLOS</t>
  </si>
  <si>
    <t>HID**** VIL** JUA* CAR***</t>
  </si>
  <si>
    <t>12635966</t>
  </si>
  <si>
    <t>BRAVO ROMERO JORGE MIGUEL</t>
  </si>
  <si>
    <t>BRA** ROM*** JOR** MIG***</t>
  </si>
  <si>
    <t>12636331</t>
  </si>
  <si>
    <t>AREVALO RESLEN NIELSEN NICOLAS</t>
  </si>
  <si>
    <t>ARE**** RES*** NIE**** NIC****</t>
  </si>
  <si>
    <t>12636833</t>
  </si>
  <si>
    <t>FLOREZ ROMERO RABIB DEL CARMELO</t>
  </si>
  <si>
    <t>FLO*** ROM*** RAB** DEL CAR****</t>
  </si>
  <si>
    <t>12637005</t>
  </si>
  <si>
    <t>ARIZA MALDONADO LUIS CARLOS</t>
  </si>
  <si>
    <t>ARI** MAL****** LUI* CAR***</t>
  </si>
  <si>
    <t>12637659</t>
  </si>
  <si>
    <t>SERRANO MURCIA NELSON ARMANDO</t>
  </si>
  <si>
    <t>SER**** MUR*** NEL*** ARM****</t>
  </si>
  <si>
    <t>12641189</t>
  </si>
  <si>
    <t>AYALA CONTRERAS JOSE DEL CARMEN</t>
  </si>
  <si>
    <t>AYA** CON****** JOS* DEL CAR***</t>
  </si>
  <si>
    <t>12645512</t>
  </si>
  <si>
    <t>MORENO MEJIA YHORIRZINIO ALBERTO</t>
  </si>
  <si>
    <t>MOR*** MEJ** YHO******** ALB****</t>
  </si>
  <si>
    <t>12645637</t>
  </si>
  <si>
    <t>TORRES CONRADO EMERSON</t>
  </si>
  <si>
    <t>3A1</t>
  </si>
  <si>
    <t>TOR*** CON**** EME****</t>
  </si>
  <si>
    <t>12645860</t>
  </si>
  <si>
    <t>ANGARITA JAIMES EDWIN</t>
  </si>
  <si>
    <t>ANG***** JAI*** EDW**</t>
  </si>
  <si>
    <t>12646241</t>
  </si>
  <si>
    <t>HERNANDEZ MEZA JAIDER LORENZO</t>
  </si>
  <si>
    <t>HER****** MEZ* JAI*** LOR****</t>
  </si>
  <si>
    <t>12685177</t>
  </si>
  <si>
    <t>HERRERA PARRA RODOLFO RAFAEL</t>
  </si>
  <si>
    <t>HER**** PAR** ROD**** RAF***</t>
  </si>
  <si>
    <t>12685630</t>
  </si>
  <si>
    <t>MERCADO ANDRADE DAGOBERTO</t>
  </si>
  <si>
    <t>MER**** AND**** DAG******</t>
  </si>
  <si>
    <t>12686153</t>
  </si>
  <si>
    <t>SIERRA OSPINO ANIBAL POMPEYO</t>
  </si>
  <si>
    <t>SIE*** OSP*** ANI*** POM****</t>
  </si>
  <si>
    <t>12687130</t>
  </si>
  <si>
    <t>ZABALETA CHARRIS ALBEIRO ENRIQUE</t>
  </si>
  <si>
    <t>ZAB***** CHA**** ALB**** ENR****</t>
  </si>
  <si>
    <t>12687160</t>
  </si>
  <si>
    <t>VENERA GARCIA WILFRIDO RAFAEL</t>
  </si>
  <si>
    <t>4C2</t>
  </si>
  <si>
    <t>VEN*** GAR*** WIL***** RAF***</t>
  </si>
  <si>
    <t>12693233</t>
  </si>
  <si>
    <t>TOVAR CASTRO PEDRO DAVID</t>
  </si>
  <si>
    <t>TOV** CAS*** PED** DAV**</t>
  </si>
  <si>
    <t>12693274</t>
  </si>
  <si>
    <t>MOLINA BOHORQUEZ ROBERTO CARLOS</t>
  </si>
  <si>
    <t>MOL*** BOH****** ROB**** CAR***</t>
  </si>
  <si>
    <t>12693428</t>
  </si>
  <si>
    <t>SAUMETH TORRES LUIS ALBERTO</t>
  </si>
  <si>
    <t>SAU**** TOR*** LUI* ALB****</t>
  </si>
  <si>
    <t>12693543</t>
  </si>
  <si>
    <t>SUAREZ RIVERO GIL ENRIQUE</t>
  </si>
  <si>
    <t>SUA*** RIV*** GIL ENR****</t>
  </si>
  <si>
    <t>12693593</t>
  </si>
  <si>
    <t>SAUMETH MANTILLA ALCIDES ALONSO</t>
  </si>
  <si>
    <t>SAU**** MAN***** ALC**** ALO***</t>
  </si>
  <si>
    <t>12693961</t>
  </si>
  <si>
    <t>CUDRIZ LARIOS BREINER ENRIQUE</t>
  </si>
  <si>
    <t>CUD*** LAR*** BRE**** ENR****</t>
  </si>
  <si>
    <t>12694344</t>
  </si>
  <si>
    <t>GUTIERREZ WILCHES LUIS DONALDO</t>
  </si>
  <si>
    <t>GUT****** WIL**** LUI* DON****</t>
  </si>
  <si>
    <t>12694468</t>
  </si>
  <si>
    <t>VILARDY SE¿AS JHONATAN DE JESUS</t>
  </si>
  <si>
    <t>VIL**** SE¿** JHO***** DE JES**</t>
  </si>
  <si>
    <t>12694988</t>
  </si>
  <si>
    <t>QUINTERO LOPEZ ANDRES DAVID</t>
  </si>
  <si>
    <t>QUI***** LOP** AND*** DAV**</t>
  </si>
  <si>
    <t>12695693</t>
  </si>
  <si>
    <t>SIERRA LOZANO JORGE TADEO</t>
  </si>
  <si>
    <t>SIE*** LOZ*** JOR** TAD**</t>
  </si>
  <si>
    <t>12695734</t>
  </si>
  <si>
    <t>SIERRA CARDENAS LUIS EDUARDO</t>
  </si>
  <si>
    <t>SIE*** CAR***** LUI* EDU****</t>
  </si>
  <si>
    <t>12695828</t>
  </si>
  <si>
    <t>GRAU DE AVILA JOAO ANTONIO</t>
  </si>
  <si>
    <t>GRA* DE AVI** JOA* ANT****</t>
  </si>
  <si>
    <t>12695864</t>
  </si>
  <si>
    <t>ACOSTA BUELVAS EDUARD JOSE</t>
  </si>
  <si>
    <t>ACO*** BUE**** EDU*** JOS*</t>
  </si>
  <si>
    <t>12696013</t>
  </si>
  <si>
    <t>GONZALEZ JIMENEZ RAFAEL ENRIQUE</t>
  </si>
  <si>
    <t>GON***** JIM**** RAF*** ENR****</t>
  </si>
  <si>
    <t>13512803</t>
  </si>
  <si>
    <t>AGUDELO BADILLO EDWUIN ZAMIR</t>
  </si>
  <si>
    <t>AGU**** BAD**** EDW*** ZAM**</t>
  </si>
  <si>
    <t>13567043</t>
  </si>
  <si>
    <t>CORENA DUARTE CARLOS JAVIER</t>
  </si>
  <si>
    <t>COR*** DUA*** CAR*** JAV***</t>
  </si>
  <si>
    <t>13715222</t>
  </si>
  <si>
    <t>MURILLO ACEVEDO MAO TSETUNG</t>
  </si>
  <si>
    <t>MUR**** ACE**** MAO TSE****</t>
  </si>
  <si>
    <t>14249244</t>
  </si>
  <si>
    <t>RAMOS BERNAL PABLO JOSE</t>
  </si>
  <si>
    <t>RAM** BER*** PAB** JOS*</t>
  </si>
  <si>
    <t>15031718</t>
  </si>
  <si>
    <t>BRAVO ROMERO RAFAEL ALFONSO</t>
  </si>
  <si>
    <t>BRA** ROM*** RAF*** ALF****</t>
  </si>
  <si>
    <t>15034693</t>
  </si>
  <si>
    <t>DORIA ARTEAGA MANUEL DOMINGO</t>
  </si>
  <si>
    <t>DOR** ART**** MAN*** DOM****</t>
  </si>
  <si>
    <t>15171821</t>
  </si>
  <si>
    <t>IZQUIERDO CHAPARRO BIENVENIDO</t>
  </si>
  <si>
    <t>ET1</t>
  </si>
  <si>
    <t>IZQ****** CHA***** BIE*******</t>
  </si>
  <si>
    <t>15173540</t>
  </si>
  <si>
    <t>VARILLA CASTAÑEDA RIGOBERTO ANTONIO</t>
  </si>
  <si>
    <t>VAR**** CAS****** RIG****** ANT****</t>
  </si>
  <si>
    <t>15174714</t>
  </si>
  <si>
    <t>PABON NIGRINIS JORGE LUIS</t>
  </si>
  <si>
    <t>PAB** NIG***** JOR** LUI*</t>
  </si>
  <si>
    <t>15247342</t>
  </si>
  <si>
    <t>GARCIA BARRIOS RAUL GUILLERMO</t>
  </si>
  <si>
    <t>GAR*** BAR**** RAU* GUI******</t>
  </si>
  <si>
    <t>15247452</t>
  </si>
  <si>
    <t>TORRES DIAZ CESAR AUGUSTO</t>
  </si>
  <si>
    <t>TOR*** DIA* CES** AUG****</t>
  </si>
  <si>
    <t>15247461</t>
  </si>
  <si>
    <t>VALEGA MARIN NOVILES CARMELO</t>
  </si>
  <si>
    <t>VAL*** MAR** NOV**** CAR****</t>
  </si>
  <si>
    <t>15247496</t>
  </si>
  <si>
    <t>PEÑA LOPEZ LUIS JOAQUIN</t>
  </si>
  <si>
    <t>PEÑ* LOP** LUI* JOA****</t>
  </si>
  <si>
    <t>15247693</t>
  </si>
  <si>
    <t>ARZUAGA RIVERA CARLOS FIDEL</t>
  </si>
  <si>
    <t>ARZ**** RIV*** CAR*** FID**</t>
  </si>
  <si>
    <t>15247839</t>
  </si>
  <si>
    <t>ROJAS FONSECA JESUS HUMBERTO</t>
  </si>
  <si>
    <t>ROJ** FON**** JES** HUM*****</t>
  </si>
  <si>
    <t>15247892</t>
  </si>
  <si>
    <t>MALDONADO SIERRA OSCAR EMILIO</t>
  </si>
  <si>
    <t>MAL****** SIE*** OSC** EMI***</t>
  </si>
  <si>
    <t>15247941</t>
  </si>
  <si>
    <t>HERNANDEZ FIGUEROA EUSEBIO MARIA</t>
  </si>
  <si>
    <t>HER****** FIG***** EUS**** MAR**</t>
  </si>
  <si>
    <t>15248048</t>
  </si>
  <si>
    <t>ESCORCIA GAMEZ EVELIO GERMAN</t>
  </si>
  <si>
    <t>ESC***** GAM** EVE*** GER***</t>
  </si>
  <si>
    <t>15248077</t>
  </si>
  <si>
    <t>CAUSADO NIETO TOMAS MANUEL</t>
  </si>
  <si>
    <t>CAU**** NIE** TOM** MAN***</t>
  </si>
  <si>
    <t>15248109</t>
  </si>
  <si>
    <t>SANCHEZ DE AVILA CARLOS GUILLERMO</t>
  </si>
  <si>
    <t>SAN**** DE AVI** CAR*** GUI******</t>
  </si>
  <si>
    <t>15248142</t>
  </si>
  <si>
    <t>VILLALBA BARRIOS LUIS ARMANDO</t>
  </si>
  <si>
    <t>VIL***** BAR**** LUI* ARM****</t>
  </si>
  <si>
    <t>15248283</t>
  </si>
  <si>
    <t>CARO GAMEZ FABIO RAFAEL</t>
  </si>
  <si>
    <t>CAR* GAM** FAB** RAF***</t>
  </si>
  <si>
    <t>15248364</t>
  </si>
  <si>
    <t>GARCIA BARRIOS HUGO RAFAEL</t>
  </si>
  <si>
    <t>GAR*** BAR**** HUG* RAF***</t>
  </si>
  <si>
    <t>15248444</t>
  </si>
  <si>
    <t>RODRIGUEZ VILORIA RAMIRO RAFAEL</t>
  </si>
  <si>
    <t>ROD****** VIL**** RAM*** RAF***</t>
  </si>
  <si>
    <t>15248561</t>
  </si>
  <si>
    <t>CHAMORRO GUETTE ARLEY VICENTE</t>
  </si>
  <si>
    <t>CHA***** GUE*** ARL** VIC****</t>
  </si>
  <si>
    <t>15249143</t>
  </si>
  <si>
    <t>RUIZ GAMEZ JUAN FRANCISCO</t>
  </si>
  <si>
    <t>RUI* GAM** JUA* FRA******</t>
  </si>
  <si>
    <t>15249148</t>
  </si>
  <si>
    <t>CUJIA FONTALVO ANGEL RAFAEL</t>
  </si>
  <si>
    <t>CUJ** FON***** ANG** RAF***</t>
  </si>
  <si>
    <t>15249161</t>
  </si>
  <si>
    <t>FUENTES TORRES MARIO RAFAEL</t>
  </si>
  <si>
    <t>FUE**** TOR*** MAR** RAF***</t>
  </si>
  <si>
    <t>15249214</t>
  </si>
  <si>
    <t>CAMPO CASTILLO JUAN BAUTISTA</t>
  </si>
  <si>
    <t>CAM** CAS***** JUA* BAU*****</t>
  </si>
  <si>
    <t>15249268</t>
  </si>
  <si>
    <t>ESCOBAR GARCIA DOMINGO ALEJANDRO</t>
  </si>
  <si>
    <t>ESC**** GAR*** DOM**** ALE******</t>
  </si>
  <si>
    <t>15249301</t>
  </si>
  <si>
    <t>CAUSADO NIETO ALONSO RAFAEL</t>
  </si>
  <si>
    <t>CAU**** NIE** ALO*** RAF***</t>
  </si>
  <si>
    <t>15249342</t>
  </si>
  <si>
    <t>HERNANDEZ CARO JUAN BAUTISTA</t>
  </si>
  <si>
    <t>HER****** CAR* JUA* BAU*****</t>
  </si>
  <si>
    <t>15249390</t>
  </si>
  <si>
    <t>PEÑA DIAZ RAUL ENRIQUE</t>
  </si>
  <si>
    <t>PEÑ* DIA* RAU* ENR****</t>
  </si>
  <si>
    <t>15249472</t>
  </si>
  <si>
    <t>MUÑOZ OSPINO RIGOBERTO</t>
  </si>
  <si>
    <t>MUÑ** OSP*** RIG******</t>
  </si>
  <si>
    <t>15249525</t>
  </si>
  <si>
    <t>CUJIA FONTALVO FREDY HERNANDO</t>
  </si>
  <si>
    <t>CUJ** FON***** FRE** HER*****</t>
  </si>
  <si>
    <t>15249526</t>
  </si>
  <si>
    <t>IBAÑEZ TORRES ROBERT JOSE</t>
  </si>
  <si>
    <t>IBA*** TOR*** ROB*** JOS*</t>
  </si>
  <si>
    <t>15249607</t>
  </si>
  <si>
    <t>MUGNO BAENA EDER LUIS</t>
  </si>
  <si>
    <t>MUG** BAE** EDE* LUI*</t>
  </si>
  <si>
    <t>15249670</t>
  </si>
  <si>
    <t>OSPINO QUINTANA FRANCISCO SILVESTRE</t>
  </si>
  <si>
    <t>OSP*** QUI***** FRA****** SIL******</t>
  </si>
  <si>
    <t>15249720</t>
  </si>
  <si>
    <t>JIMENEZ OSPINO JORGE LUIS</t>
  </si>
  <si>
    <t>JIM**** OSP*** JOR** LUI*</t>
  </si>
  <si>
    <t>15307478</t>
  </si>
  <si>
    <t>LARA LOPEZ HERY JOSE</t>
  </si>
  <si>
    <t>LAR* LOP** HER* JOS*</t>
  </si>
  <si>
    <t>15702958</t>
  </si>
  <si>
    <t>CACERES HOYOS EDGAR ENRIQUE</t>
  </si>
  <si>
    <t>CAC**** HOY** EDG** ENR****</t>
  </si>
  <si>
    <t>15704579</t>
  </si>
  <si>
    <t>QUINTO PEREZ ALFREDO SAID</t>
  </si>
  <si>
    <t>QUI*** PER** ALF**** SAI*</t>
  </si>
  <si>
    <t>17956785</t>
  </si>
  <si>
    <t>SOCARRAS FONTALVO CELIO JOSE</t>
  </si>
  <si>
    <t>SOC***** FON***** CEL** JOS*</t>
  </si>
  <si>
    <t>17973543</t>
  </si>
  <si>
    <t>FUENTES REINES JUAN MANUEL</t>
  </si>
  <si>
    <t>FUE**** REI*** JUA* MAN***</t>
  </si>
  <si>
    <t>17975607</t>
  </si>
  <si>
    <t>ACOSTA GUERRA NEIVER</t>
  </si>
  <si>
    <t>ACO*** GUE*** NEI***</t>
  </si>
  <si>
    <t>18876374</t>
  </si>
  <si>
    <t>NOVOA SANCHEZ ROIMAN DE JESUS</t>
  </si>
  <si>
    <t>NOV** SAN**** ROI*** DE JES**</t>
  </si>
  <si>
    <t>18928495</t>
  </si>
  <si>
    <t>MIRA BRAVO JOSE BERNARDO</t>
  </si>
  <si>
    <t>MIR* BRA** JOS* BER*****</t>
  </si>
  <si>
    <t>18938492</t>
  </si>
  <si>
    <t>GODOY RAMIREZ EMILIO ENRIQUE</t>
  </si>
  <si>
    <t>GOD** RAM**** EMI*** ENR****</t>
  </si>
  <si>
    <t>18939495</t>
  </si>
  <si>
    <t>NAVARRO OLIVEROS ALBERTO</t>
  </si>
  <si>
    <t>NAV**** OLI***** ALB****</t>
  </si>
  <si>
    <t>19491491</t>
  </si>
  <si>
    <t>MARTINEZ UZETA JUAN EVANGELISTA</t>
  </si>
  <si>
    <t>MAR***** UZE** JUA* EVA********</t>
  </si>
  <si>
    <t>19501787</t>
  </si>
  <si>
    <t>OJITO CASTRO REINALDO DE LA CRUZ</t>
  </si>
  <si>
    <t>OJI** CAS*** REI***** DE LA CRU*</t>
  </si>
  <si>
    <t>19505301</t>
  </si>
  <si>
    <t>SANCHEZ VILORIA LIBARDO ANTONIO</t>
  </si>
  <si>
    <t>SAN**** VIL**** LIB**** ANT****</t>
  </si>
  <si>
    <t>19510177</t>
  </si>
  <si>
    <t>MENDOZA SOCARRAS DIOGENES ENRIQUE</t>
  </si>
  <si>
    <t>MEN**** SOC***** DIO***** ENR****</t>
  </si>
  <si>
    <t>19510462</t>
  </si>
  <si>
    <t>CUELLO SAUMETH NARCIZO ALFONSO</t>
  </si>
  <si>
    <t>CUE*** SAU**** NAR**** ALF****</t>
  </si>
  <si>
    <t>19510465</t>
  </si>
  <si>
    <t>CARMONA GRANADOS RAFAEL ANTONIO</t>
  </si>
  <si>
    <t>CAR**** GRA***** RAF*** ANT****</t>
  </si>
  <si>
    <t>19510505</t>
  </si>
  <si>
    <t>CONTRERAS MOSCOTE ORLANDO RAFAEL</t>
  </si>
  <si>
    <t>CON****** MOS**** ORL**** RAF***</t>
  </si>
  <si>
    <t>19510609</t>
  </si>
  <si>
    <t>CARMONA MARTINEZ JHONI JAVIER</t>
  </si>
  <si>
    <t>3C2</t>
  </si>
  <si>
    <t>CAR**** MAR***** JHO** JAV***</t>
  </si>
  <si>
    <t>19515515</t>
  </si>
  <si>
    <t>ALEMAN BARRERA MARCO TULIO</t>
  </si>
  <si>
    <t>ALE*** BAR**** MAR** TUL**</t>
  </si>
  <si>
    <t>19515613</t>
  </si>
  <si>
    <t>JARABA BERMUDEZ ULISES</t>
  </si>
  <si>
    <t>JAR*** BER***** ULI***</t>
  </si>
  <si>
    <t>19515932</t>
  </si>
  <si>
    <t>ALMANZA PEREZ CARLOS JULIO</t>
  </si>
  <si>
    <t>ALM**** PER** CAR*** JUL**</t>
  </si>
  <si>
    <t>19515933</t>
  </si>
  <si>
    <t>MEJIA SIERRA JOSE MARIA</t>
  </si>
  <si>
    <t>MEJ** SIE*** JOS* MAR**</t>
  </si>
  <si>
    <t>19515966</t>
  </si>
  <si>
    <t>OROZCO ZABALETA JORGE LUIS</t>
  </si>
  <si>
    <t>ORO*** ZAB***** JOR** LUI*</t>
  </si>
  <si>
    <t>19515997</t>
  </si>
  <si>
    <t>RADA VENERA CARLOS ENRIQUE</t>
  </si>
  <si>
    <t>RAD* VEN*** CAR*** ENR****</t>
  </si>
  <si>
    <t>19516011</t>
  </si>
  <si>
    <t>GUERRA JARABA DANIEL FRANCISCO</t>
  </si>
  <si>
    <t>GUE*** JAR*** DAN*** FRA******</t>
  </si>
  <si>
    <t>19516093</t>
  </si>
  <si>
    <t>BARRIOS BARRIOS FRANCISCO ANTONIO</t>
  </si>
  <si>
    <t>BAR**** BAR**** FRA****** ANT****</t>
  </si>
  <si>
    <t>19516099</t>
  </si>
  <si>
    <t>GUTIERREZ ARENAS HUGO RAFAEL</t>
  </si>
  <si>
    <t>GUT****** ARE*** HUG* RAF***</t>
  </si>
  <si>
    <t>19516185</t>
  </si>
  <si>
    <t>ALEMAN BARRERA ELIEDER DE JESUS</t>
  </si>
  <si>
    <t>ALE*** BAR**** ELI**** DE JES**</t>
  </si>
  <si>
    <t>19516274</t>
  </si>
  <si>
    <t>SIERRA ANAYA YONIS ENRIQUE</t>
  </si>
  <si>
    <t>SIE*** ANA** YON** ENR****</t>
  </si>
  <si>
    <t>19516297</t>
  </si>
  <si>
    <t>PIMIENTA CONTRERAS DAIRO SEGUNDO</t>
  </si>
  <si>
    <t>PIM***** CON****** DAI** SEG****</t>
  </si>
  <si>
    <t>19516353</t>
  </si>
  <si>
    <t>MEJIA BOLAÑO DAVID ANTONIO</t>
  </si>
  <si>
    <t>MEJ** BOL*** DAV** ANT****</t>
  </si>
  <si>
    <t>19516421</t>
  </si>
  <si>
    <t>MEJIA VARELA WILFRIDO ENRIQUE</t>
  </si>
  <si>
    <t>MEJ** VAR*** WIL***** ENR****</t>
  </si>
  <si>
    <t>19516583</t>
  </si>
  <si>
    <t>ULLOA NORIEGA JORGE MELCHOR</t>
  </si>
  <si>
    <t>ULL** NOR**** JOR** MEL****</t>
  </si>
  <si>
    <t>19516626</t>
  </si>
  <si>
    <t>RAMOS MEZA ROBERT RICHARD</t>
  </si>
  <si>
    <t>RAM** MEZ* ROB*** RIC****</t>
  </si>
  <si>
    <t>19516707</t>
  </si>
  <si>
    <t>SIERRA CERA JOHN JAIRO</t>
  </si>
  <si>
    <t>SIE*** CER* JOH* JAI**</t>
  </si>
  <si>
    <t>19516803</t>
  </si>
  <si>
    <t>MONTERO BARRIOS RICHARD DARIO</t>
  </si>
  <si>
    <t>MON**** BAR**** RIC**** DAR**</t>
  </si>
  <si>
    <t>19516812</t>
  </si>
  <si>
    <t>MUÑOZ BUSTILLO EDWIN ALFONSO</t>
  </si>
  <si>
    <t>MUÑ** BUS***** EDW** ALF****</t>
  </si>
  <si>
    <t>19516844</t>
  </si>
  <si>
    <t>ANDRADE ANDRADE DOMINGO JOSE</t>
  </si>
  <si>
    <t>AND**** AND**** DOM**** JOS*</t>
  </si>
  <si>
    <t>19516899</t>
  </si>
  <si>
    <t>MONTERO RODRIGUEZ ALEX ARTURO</t>
  </si>
  <si>
    <t>MON**** ROD****** ALE* ART***</t>
  </si>
  <si>
    <t>19517023</t>
  </si>
  <si>
    <t>VARELA DOMINGUEZ MEYER FRANCISCO</t>
  </si>
  <si>
    <t>VAR*** DOM****** MEY** FRA******</t>
  </si>
  <si>
    <t>19517094</t>
  </si>
  <si>
    <t>DE LOS REYES DE LA HOZ ANDRES AVELINO</t>
  </si>
  <si>
    <t>DE LOS REY** DE LA HOZ AND*** AVE****</t>
  </si>
  <si>
    <t>19517180</t>
  </si>
  <si>
    <t>SILVA ANDRADE OSCAR ALBERTO</t>
  </si>
  <si>
    <t>SIL** AND**** OSC** ALB****</t>
  </si>
  <si>
    <t>19517201</t>
  </si>
  <si>
    <t>ALARCON SIMANCA SABAS ANTONIO</t>
  </si>
  <si>
    <t>ALA**** SIM**** SAB** ANT****</t>
  </si>
  <si>
    <t>19517221</t>
  </si>
  <si>
    <t>TORRES VERGARA FRANCISCO RAFAEL</t>
  </si>
  <si>
    <t>TOR*** VER**** FRA****** RAF***</t>
  </si>
  <si>
    <t>19517233</t>
  </si>
  <si>
    <t>PEREZ PADILLA NEIL</t>
  </si>
  <si>
    <t>PER** PAD**** NEI*</t>
  </si>
  <si>
    <t>19517355</t>
  </si>
  <si>
    <t>GOMEZ CASTILLO NILSON AUGUSTO</t>
  </si>
  <si>
    <t>GOM** CAS***** NIL*** AUG****</t>
  </si>
  <si>
    <t>19517572</t>
  </si>
  <si>
    <t>ARRIETA CARO ALEJANDRO SAMUEL</t>
  </si>
  <si>
    <t>ARR**** CAR* ALE****** SAM***</t>
  </si>
  <si>
    <t>19517637</t>
  </si>
  <si>
    <t>ALEMAN BARRERA JAIMAR MARTIN</t>
  </si>
  <si>
    <t>ALE*** BAR**** JAI*** MAR***</t>
  </si>
  <si>
    <t>19517644</t>
  </si>
  <si>
    <t>MONTENEGRO HOLGUIN EDWIN ALEXANDER</t>
  </si>
  <si>
    <t>MON******* HOL**** EDW** ALE******</t>
  </si>
  <si>
    <t>19517652</t>
  </si>
  <si>
    <t>GOMEZ CASTILLO OSMAN SAMUEL</t>
  </si>
  <si>
    <t>GOM** CAS***** OSM** SAM***</t>
  </si>
  <si>
    <t>19517665</t>
  </si>
  <si>
    <t>BARBOSA ARRIETA PEDRO PABLO</t>
  </si>
  <si>
    <t>BAR**** ARR**** PED** PAB**</t>
  </si>
  <si>
    <t>19517689</t>
  </si>
  <si>
    <t>ANDRADE ARRIETA VICTOR HUGO</t>
  </si>
  <si>
    <t>AND**** ARR**** VIC*** HUG*</t>
  </si>
  <si>
    <t>19517795</t>
  </si>
  <si>
    <t>CARRANZA GARCIA ANTONIO MARIA</t>
  </si>
  <si>
    <t>CAR***** GAR*** ANT**** MAR**</t>
  </si>
  <si>
    <t>19517986</t>
  </si>
  <si>
    <t>GARCIA BONILLA ALIMIS</t>
  </si>
  <si>
    <t>GAR*** BON**** ALI***</t>
  </si>
  <si>
    <t>19518015</t>
  </si>
  <si>
    <t>ARGOTA MADERO YESID ALBERTO</t>
  </si>
  <si>
    <t>ARG*** MAD*** YES** ALB****</t>
  </si>
  <si>
    <t>19518020</t>
  </si>
  <si>
    <t>MERCADO BELTRAN JADER LUIS</t>
  </si>
  <si>
    <t>MER**** BEL**** JAD** LUI*</t>
  </si>
  <si>
    <t>19518226</t>
  </si>
  <si>
    <t>VILLA MARRIAGA MANUEL DOMINGO</t>
  </si>
  <si>
    <t>VIL** MAR***** MAN*** DOM****</t>
  </si>
  <si>
    <t>19518302</t>
  </si>
  <si>
    <t>MONTENEGRO HOLGUIN EDDER SEGUNDO</t>
  </si>
  <si>
    <t>MON******* HOL**** EDD** SEG****</t>
  </si>
  <si>
    <t>19518308</t>
  </si>
  <si>
    <t>ESCORCIA BOLAÑO EDUARDO JAVIER</t>
  </si>
  <si>
    <t>ESC***** BOL*** EDU**** JAV***</t>
  </si>
  <si>
    <t>19518580</t>
  </si>
  <si>
    <t>MUÑOZ PERTUZ WILDER JOSE</t>
  </si>
  <si>
    <t>MUÑ** PER*** WIL*** JOS*</t>
  </si>
  <si>
    <t>19518721</t>
  </si>
  <si>
    <t>PEREZ PEREZ ALEXANDER RAFAEL</t>
  </si>
  <si>
    <t>PER** PER** ALE****** RAF***</t>
  </si>
  <si>
    <t>19518794</t>
  </si>
  <si>
    <t>PADILLA POLO LENIN ALFONSO</t>
  </si>
  <si>
    <t>PAD**** POL* LEN** ALF****</t>
  </si>
  <si>
    <t>19518859</t>
  </si>
  <si>
    <t>SATIZABAL PATERNOSTRO ENRY ARMANDO</t>
  </si>
  <si>
    <t>SAT****** PAT******** ENR* ARM****</t>
  </si>
  <si>
    <t>19531518</t>
  </si>
  <si>
    <t>PEREZ ALVARADO ELKIN DE JESUS</t>
  </si>
  <si>
    <t>PER** ALV***** ELK** DE JES**</t>
  </si>
  <si>
    <t>19535592</t>
  </si>
  <si>
    <t>CASTRO HERNANDEZ GERARDO ANTONIO</t>
  </si>
  <si>
    <t>CAS*** HER****** GER**** ANT****</t>
  </si>
  <si>
    <t>19535686</t>
  </si>
  <si>
    <t>RODRIGUEZ ROBLES JAIRO</t>
  </si>
  <si>
    <t>ROD****** ROB*** JAI**</t>
  </si>
  <si>
    <t>19535700</t>
  </si>
  <si>
    <t>ARIZA MALDONADO ERICK DAMIAN</t>
  </si>
  <si>
    <t>ARI** MAL****** ERI** DAM***</t>
  </si>
  <si>
    <t>19535942</t>
  </si>
  <si>
    <t>GRANADOS LANCHES EDIS</t>
  </si>
  <si>
    <t>GRA***** LAN**** EDI*</t>
  </si>
  <si>
    <t>19560321</t>
  </si>
  <si>
    <t>LOPEZ HERRERA YIMIS MANUEL</t>
  </si>
  <si>
    <t>LOP** HER**** YIM** MAN***</t>
  </si>
  <si>
    <t>19560839</t>
  </si>
  <si>
    <t>PERTUZ VARGAS MANUEL SALVADOR</t>
  </si>
  <si>
    <t>PER*** VAR*** MAN*** SAL*****</t>
  </si>
  <si>
    <t>19560869</t>
  </si>
  <si>
    <t>GOMEZ GUERRERO JOSE RAMON</t>
  </si>
  <si>
    <t>GOM** GUE***** JOS* RAM**</t>
  </si>
  <si>
    <t>19561114</t>
  </si>
  <si>
    <t>PEREZ VANEGAS LUIS EDUARDO</t>
  </si>
  <si>
    <t>PER** VAN**** LUI* EDU****</t>
  </si>
  <si>
    <t>19561143</t>
  </si>
  <si>
    <t>VILLAMIL FERRER JULIO CESAR</t>
  </si>
  <si>
    <t>VIL***** FER*** JUL** CES**</t>
  </si>
  <si>
    <t>19561289</t>
  </si>
  <si>
    <t>ALTAHONA DE LA HOZ EDUARDO ANTONIO</t>
  </si>
  <si>
    <t>ALT***** DE LA HOZ EDU**** ANT****</t>
  </si>
  <si>
    <t>19561329</t>
  </si>
  <si>
    <t>ESCORCIA MARTINEZ JAIME SEGUNDO</t>
  </si>
  <si>
    <t>ESC***** MAR***** JAI** SEG****</t>
  </si>
  <si>
    <t>19561535</t>
  </si>
  <si>
    <t>VILLARREAL PINZON EFRAIN ANTONIO</t>
  </si>
  <si>
    <t>VIL******* PIN*** EFR*** ANT****</t>
  </si>
  <si>
    <t>19561554</t>
  </si>
  <si>
    <t>ALTAHONA DE LA HOZ JOSE MARIA</t>
  </si>
  <si>
    <t>ALT***** DE LA HOZ JOS* MAR**</t>
  </si>
  <si>
    <t>19561671</t>
  </si>
  <si>
    <t>PERTUZ MORA PEDRO ANTONIO</t>
  </si>
  <si>
    <t>PER*** MOR* PED** ANT****</t>
  </si>
  <si>
    <t>19561676</t>
  </si>
  <si>
    <t>BARRETO MARTINEZ HERNAN</t>
  </si>
  <si>
    <t>BAR**** MAR***** HER***</t>
  </si>
  <si>
    <t>19561692</t>
  </si>
  <si>
    <t>JIMENEZ GUETTE EDILBERTO MIGUEL</t>
  </si>
  <si>
    <t>JIM**** GUE*** EDI****** MIG***</t>
  </si>
  <si>
    <t>19561749</t>
  </si>
  <si>
    <t>VILLAFAÑA ESTRADA EDWIS ENRIQUE</t>
  </si>
  <si>
    <t>VIL****** EST**** EDW** ENR****</t>
  </si>
  <si>
    <t>19561834</t>
  </si>
  <si>
    <t>NAVARRO APARICIO GASPAR ALFONSO</t>
  </si>
  <si>
    <t>NAV**** APA***** GAS*** ALF****</t>
  </si>
  <si>
    <t>19561877</t>
  </si>
  <si>
    <t>DE ORTA ACOSTA OSWALDO ENRIQUE</t>
  </si>
  <si>
    <t>DE ORT* ACO*** OSW**** ENR****</t>
  </si>
  <si>
    <t>19561900</t>
  </si>
  <si>
    <t>ROMO FIGUEROA ARNALDO ENRIQUE</t>
  </si>
  <si>
    <t>ROM* FIG***** ARN**** ENR****</t>
  </si>
  <si>
    <t>19561903</t>
  </si>
  <si>
    <t>CHARRIS CHARRIS BERCELINO ELOY</t>
  </si>
  <si>
    <t>CHA**** CHA**** BER****** ELO*</t>
  </si>
  <si>
    <t>19561998</t>
  </si>
  <si>
    <t>BARRIOS HERNANDEZ AUSTRO GREGORIO</t>
  </si>
  <si>
    <t>BAR**** HER****** AUS*** GRE*****</t>
  </si>
  <si>
    <t>19562005</t>
  </si>
  <si>
    <t>ARAGON VILLAMIL HUMBERTO EFRAIN</t>
  </si>
  <si>
    <t>ARA*** VIL***** HUM***** EFR***</t>
  </si>
  <si>
    <t>19562059</t>
  </si>
  <si>
    <t>HERRERA CASTILLO PEDRO CELESTINO</t>
  </si>
  <si>
    <t>HER**** CAS***** PED** CEL******</t>
  </si>
  <si>
    <t>19562066</t>
  </si>
  <si>
    <t>BARRIOS HERNANDEZ FIDEDID</t>
  </si>
  <si>
    <t>BAR**** HER****** FID****</t>
  </si>
  <si>
    <t>19562150</t>
  </si>
  <si>
    <t>GARCIA VILORIA ALVARO ENRIQUE</t>
  </si>
  <si>
    <t>GAR*** VIL**** ALV*** ENR****</t>
  </si>
  <si>
    <t>19562431</t>
  </si>
  <si>
    <t>RODRIGUEZ MORENO FRAN JOSE</t>
  </si>
  <si>
    <t>ROD****** MOR*** FRA* JOS*</t>
  </si>
  <si>
    <t>19562638</t>
  </si>
  <si>
    <t>VASQUEZ ROJANO WILMER ALFONSO</t>
  </si>
  <si>
    <t>VAS**** ROJ*** WIL*** ALF****</t>
  </si>
  <si>
    <t>19563034</t>
  </si>
  <si>
    <t>PEREZ BALLEN CARLOS JULIO</t>
  </si>
  <si>
    <t>PER** BAL*** CAR*** JUL**</t>
  </si>
  <si>
    <t>19563053</t>
  </si>
  <si>
    <t>ALBOR ARRIETA ELIAS JOSE</t>
  </si>
  <si>
    <t>ALB** ARR**** ELI** JOS*</t>
  </si>
  <si>
    <t>19563256</t>
  </si>
  <si>
    <t>PERTUZ ARRIETA JOSE LUIS</t>
  </si>
  <si>
    <t>PER*** ARR**** JOS* LUI*</t>
  </si>
  <si>
    <t>19563466</t>
  </si>
  <si>
    <t>BORREGO IBAÑEZ JORGE LUIS</t>
  </si>
  <si>
    <t>BOR**** IBA*** JOR** LUI*</t>
  </si>
  <si>
    <t>19565454</t>
  </si>
  <si>
    <t>SALGADO GOMEZ DARLIN RAFAEL</t>
  </si>
  <si>
    <t>SAL**** GOM** DAR*** RAF***</t>
  </si>
  <si>
    <t>19565488</t>
  </si>
  <si>
    <t>SALGADO JIMENEZ CRISTIAN RAFAEL</t>
  </si>
  <si>
    <t>SAL**** JIM**** CRI***** RAF***</t>
  </si>
  <si>
    <t>19581329</t>
  </si>
  <si>
    <t>SAKER CAÑAS ALI</t>
  </si>
  <si>
    <t>SAK** CAÑ** ALI</t>
  </si>
  <si>
    <t>19581467</t>
  </si>
  <si>
    <t>OSPINO JIMENEZ JAIRO</t>
  </si>
  <si>
    <t>OSP*** JIM**** JAI**</t>
  </si>
  <si>
    <t>19581753</t>
  </si>
  <si>
    <t>CAMPO CAMPO MARTIN</t>
  </si>
  <si>
    <t>CAM** CAM** MAR***</t>
  </si>
  <si>
    <t>19582151</t>
  </si>
  <si>
    <t>MARTINEZ ALVARADO BENJAMIN</t>
  </si>
  <si>
    <t>MAR***** ALV***** BEN*****</t>
  </si>
  <si>
    <t>19582400</t>
  </si>
  <si>
    <t>PERTUZ PEREZ FABIO RAFAEL</t>
  </si>
  <si>
    <t>PER*** PER** FAB** RAF***</t>
  </si>
  <si>
    <t>19582882</t>
  </si>
  <si>
    <t>MONTES ESPINOSA LENIN ALFONSO</t>
  </si>
  <si>
    <t>MON*** ESP***** LEN** ALF****</t>
  </si>
  <si>
    <t>19583044</t>
  </si>
  <si>
    <t>RUIZ MONTERROSA WILLIAM MARTIN</t>
  </si>
  <si>
    <t>RUI* MON******* WIL**** MAR***</t>
  </si>
  <si>
    <t>19583111</t>
  </si>
  <si>
    <t>LARIOS BARRIOS GUILLERMO</t>
  </si>
  <si>
    <t>LAR*** BAR**** GUI******</t>
  </si>
  <si>
    <t>19583115</t>
  </si>
  <si>
    <t>SANCHEZ DE LA HOZ ROBERTO SEGUNDO</t>
  </si>
  <si>
    <t>SAN**** DE LA HOZ ROB**** SEG****</t>
  </si>
  <si>
    <t>19583504</t>
  </si>
  <si>
    <t>VIZCAINO RODRIGUEZ ADALBERTO AQUILEO</t>
  </si>
  <si>
    <t>VIZ***** ROD****** ADA****** AQU****</t>
  </si>
  <si>
    <t>19583825</t>
  </si>
  <si>
    <t>DUARTE CABALLERO CARLOS ARTURO</t>
  </si>
  <si>
    <t>DUA*** CAB****** CAR*** ART***</t>
  </si>
  <si>
    <t>19583851</t>
  </si>
  <si>
    <t>PERTUZ CABALLERO EDINSON RAFAEL</t>
  </si>
  <si>
    <t>PER*** CAB****** EDI**** RAF***</t>
  </si>
  <si>
    <t>19583875</t>
  </si>
  <si>
    <t>BARBOSA AREYANES ALFREDO ELIAS</t>
  </si>
  <si>
    <t>BAR**** ARE***** ALF**** ELI**</t>
  </si>
  <si>
    <t>19584018</t>
  </si>
  <si>
    <t>DE LA HOZ CERA WILLIAM HARRY</t>
  </si>
  <si>
    <t>DE LA HOZ CER* WIL**** HAR**</t>
  </si>
  <si>
    <t>19584156</t>
  </si>
  <si>
    <t>VALENCIA ORTEGA DANIEL ENRIQUE</t>
  </si>
  <si>
    <t>VAL***** ORT*** DAN*** ENR****</t>
  </si>
  <si>
    <t>19584170</t>
  </si>
  <si>
    <t>CAMACHO VIZCAINO DAVID JOSE</t>
  </si>
  <si>
    <t>CAM**** VIZ***** DAV** JOS*</t>
  </si>
  <si>
    <t>19584420</t>
  </si>
  <si>
    <t>LOBO GALAN TUFIC ALFREDO</t>
  </si>
  <si>
    <t>LOB* GAL** TUF** ALF****</t>
  </si>
  <si>
    <t>19584503</t>
  </si>
  <si>
    <t>JINETTE RASS MARCIAL SEGUNDO</t>
  </si>
  <si>
    <t>JIN**** RAS* MAR**** SEG****</t>
  </si>
  <si>
    <t>19584585</t>
  </si>
  <si>
    <t>CERA MARTINEZ RIGOBERTO</t>
  </si>
  <si>
    <t>CER* MAR***** RIG******</t>
  </si>
  <si>
    <t>19584624</t>
  </si>
  <si>
    <t>MEZA RAMOS NORALDO ENRIQUE</t>
  </si>
  <si>
    <t>MEZ* RAM** NOR**** ENR****</t>
  </si>
  <si>
    <t>19584684</t>
  </si>
  <si>
    <t>BERRIO ATENCIO RICARDO DE JESUS</t>
  </si>
  <si>
    <t>BER*** ATE**** RIC**** DE JES**</t>
  </si>
  <si>
    <t>19584818</t>
  </si>
  <si>
    <t>CABALLERO VARELA CRISTOBAL ANTONIO</t>
  </si>
  <si>
    <t>CAB****** VAR*** CRI****** ANT****</t>
  </si>
  <si>
    <t>19584832</t>
  </si>
  <si>
    <t>MORENO CONRADO CARLOS ALBERTO</t>
  </si>
  <si>
    <t>MOR*** CON**** CAR*** ALB****</t>
  </si>
  <si>
    <t>19584893</t>
  </si>
  <si>
    <t>PATIÑO SALCEDO VIRGILIO MANUEL</t>
  </si>
  <si>
    <t>PAT*** SAL**** VIR***** MAN***</t>
  </si>
  <si>
    <t>19585193</t>
  </si>
  <si>
    <t>BADILLO MACIAS EDINSON DEL CARMEN</t>
  </si>
  <si>
    <t>BAD**** MAC*** EDI**** DEL CAR***</t>
  </si>
  <si>
    <t>19585217</t>
  </si>
  <si>
    <t>HERNANDEZ ARIZA ARQUIMEDEZ RAFAEL</t>
  </si>
  <si>
    <t>HER****** ARI** ARQ******* RAF***</t>
  </si>
  <si>
    <t>19585452</t>
  </si>
  <si>
    <t>SARMIENTO TAPIAS MANUEL ALFONSO</t>
  </si>
  <si>
    <t>SAR****** TAP*** MAN*** ALF****</t>
  </si>
  <si>
    <t>19585514</t>
  </si>
  <si>
    <t>GOMEZ ZARATE ARMANDO ENRIQUE</t>
  </si>
  <si>
    <t>GOM** ZAR*** ARM**** ENR****</t>
  </si>
  <si>
    <t>19585783</t>
  </si>
  <si>
    <t>FONTALVO GUETTE DANILO RAMON</t>
  </si>
  <si>
    <t>FON***** GUE*** DAN*** RAM**</t>
  </si>
  <si>
    <t>19585903</t>
  </si>
  <si>
    <t>HENRIQUEZ SIERRA JOSE GREGORIO</t>
  </si>
  <si>
    <t>HEN****** SIE*** JOS* GRE*****</t>
  </si>
  <si>
    <t>19586046</t>
  </si>
  <si>
    <t>TUSSO IBAÑEZ LUIS FELIX</t>
  </si>
  <si>
    <t>TUS** IBA*** LUI* FEL**</t>
  </si>
  <si>
    <t>19586115</t>
  </si>
  <si>
    <t>PACHECO URIELES RAFAEL ENRIQUE</t>
  </si>
  <si>
    <t>PAC**** URI**** RAF*** ENR****</t>
  </si>
  <si>
    <t>19586214</t>
  </si>
  <si>
    <t>RICO CANTILLO SILFREDO ENRIQUE</t>
  </si>
  <si>
    <t>RIC* CAN***** SIL***** ENR****</t>
  </si>
  <si>
    <t>19586230</t>
  </si>
  <si>
    <t>BARRIOS HERNANDEZ JOSE DE LOS SANTOS</t>
  </si>
  <si>
    <t>BAR**** HER****** JOS* DE LOS SAN***</t>
  </si>
  <si>
    <t>19586248</t>
  </si>
  <si>
    <t>CANTILLO MOLINA VICTOR MANUEL</t>
  </si>
  <si>
    <t>CAN***** MOL*** VIC*** MAN***</t>
  </si>
  <si>
    <t>19586558</t>
  </si>
  <si>
    <t>CASTILLO AGUIRRE PEDRO JOSE</t>
  </si>
  <si>
    <t>CAS***** AGU**** PED** JOS*</t>
  </si>
  <si>
    <t>19586649</t>
  </si>
  <si>
    <t>RETAMOZO ORELLANO JUAN DE DIOS</t>
  </si>
  <si>
    <t>RET***** ORE***** JUA* DE DIO*</t>
  </si>
  <si>
    <t>19586712</t>
  </si>
  <si>
    <t>RODRIGUEZ SIERRA JOSE MANUEL</t>
  </si>
  <si>
    <t>ROD****** SIE*** JOS* MAN***</t>
  </si>
  <si>
    <t>19586730</t>
  </si>
  <si>
    <t>VERGARA DIAZ MANUEL HENRRIQUE</t>
  </si>
  <si>
    <t>VER**** DIA* MAN*** HEN******</t>
  </si>
  <si>
    <t>19587178</t>
  </si>
  <si>
    <t>MEJIA CAMACHO ULISES ENRIQUE</t>
  </si>
  <si>
    <t>MEJ** CAM**** ULI*** ENR****</t>
  </si>
  <si>
    <t>19587230</t>
  </si>
  <si>
    <t>CAMARGO ZAMBRANO EDUARDO RAFAEL</t>
  </si>
  <si>
    <t>CAM**** ZAM***** EDU**** RAF***</t>
  </si>
  <si>
    <t>19587521</t>
  </si>
  <si>
    <t>PALMERA RODRIGUEZ JUAN ANTONIO</t>
  </si>
  <si>
    <t>PAL**** ROD****** JUA* ANT****</t>
  </si>
  <si>
    <t>19587544</t>
  </si>
  <si>
    <t>REYES VILLARREAL TOMAS ANTONIO</t>
  </si>
  <si>
    <t>REY** VIL******* TOM** ANT****</t>
  </si>
  <si>
    <t>19587574</t>
  </si>
  <si>
    <t>POLO DOMINGUEZ ABEL ANTONIO</t>
  </si>
  <si>
    <t>POL* DOM****** ABE* ANT****</t>
  </si>
  <si>
    <t>19587580</t>
  </si>
  <si>
    <t>MERCADO SALGADO ELIAS</t>
  </si>
  <si>
    <t>MER**** SAL**** ELI**</t>
  </si>
  <si>
    <t>19587623</t>
  </si>
  <si>
    <t>VILORIA MERCADO CRISTOBAL ANTONIO</t>
  </si>
  <si>
    <t>VIL**** MER**** CRI****** ANT****</t>
  </si>
  <si>
    <t>19587822</t>
  </si>
  <si>
    <t>SOSA ORTIZ JOSE FRANCISCO</t>
  </si>
  <si>
    <t>SOS* ORT** JOS* FRA******</t>
  </si>
  <si>
    <t>19588059</t>
  </si>
  <si>
    <t>MACHADO DE LA CRUZ PLINIO MANUEL</t>
  </si>
  <si>
    <t>MAC**** DE LA CRU* PLI*** MAN***</t>
  </si>
  <si>
    <t>19588072</t>
  </si>
  <si>
    <t>ZAMBRANO MENDOZA EDWIN JESUS</t>
  </si>
  <si>
    <t>ZAM***** MEN**** EDW** JES**</t>
  </si>
  <si>
    <t>19588110</t>
  </si>
  <si>
    <t>GUTIERREZ AVENDAÑO GENARO ALFONSO</t>
  </si>
  <si>
    <t>GUT****** AVE***** GEN*** ALF****</t>
  </si>
  <si>
    <t>19588213</t>
  </si>
  <si>
    <t>LUBO EBRATT FRANKLIN ENRIQUE</t>
  </si>
  <si>
    <t>LUB* EBR*** FRA***** ENR****</t>
  </si>
  <si>
    <t>19588214</t>
  </si>
  <si>
    <t>POLO PABON TULIO ENRIQUE</t>
  </si>
  <si>
    <t>POL* PAB** TUL** ENR****</t>
  </si>
  <si>
    <t>19588339</t>
  </si>
  <si>
    <t>MENDOZA GUTIERREZ GREGORIO ANTONIO</t>
  </si>
  <si>
    <t>MEN**** GUT****** GRE***** ANT****</t>
  </si>
  <si>
    <t>19588343</t>
  </si>
  <si>
    <t>AROCA MADARIAGA DAVID JOAQUIN</t>
  </si>
  <si>
    <t>ARO** MAD****** DAV** JOA****</t>
  </si>
  <si>
    <t>19588399</t>
  </si>
  <si>
    <t>CABANA HERNANDEZ SEBASTIAN</t>
  </si>
  <si>
    <t>CAB*** HER****** SEB******</t>
  </si>
  <si>
    <t>19588479</t>
  </si>
  <si>
    <t>VEGA ALVAREZ GIL ANDRES</t>
  </si>
  <si>
    <t>VEG* ALV**** GIL AND***</t>
  </si>
  <si>
    <t>19588495</t>
  </si>
  <si>
    <t>PALMA SAMPER JORGE DAVID</t>
  </si>
  <si>
    <t>PAL** SAM*** JOR** DAV**</t>
  </si>
  <si>
    <t>19588689</t>
  </si>
  <si>
    <t>SANCHEZ CANTILLO CARLOS ALBERTO</t>
  </si>
  <si>
    <t>SAN**** CAN***** CAR*** ALB****</t>
  </si>
  <si>
    <t>19588754</t>
  </si>
  <si>
    <t>BARROS MACHADO ANTALCIDES</t>
  </si>
  <si>
    <t>BAR*** MAC**** ANT*******</t>
  </si>
  <si>
    <t>19588808</t>
  </si>
  <si>
    <t>OLIVEROS CASTRO WALDIMIRO</t>
  </si>
  <si>
    <t>OLI***** CAS*** WAL******</t>
  </si>
  <si>
    <t>19588853</t>
  </si>
  <si>
    <t>DE LEON MENDOZA WALTER ANTONIO</t>
  </si>
  <si>
    <t>DE LEO* MEN**** WAL*** ANT****</t>
  </si>
  <si>
    <t>19588873</t>
  </si>
  <si>
    <t>PERTUZ VILLA LUIS ALBERTO</t>
  </si>
  <si>
    <t>PER*** VIL** LUI* ALB****</t>
  </si>
  <si>
    <t>19589101</t>
  </si>
  <si>
    <t>GONZALEZ ALVAREZ ELEUTERIO</t>
  </si>
  <si>
    <t>GON***** ALV**** ELE******</t>
  </si>
  <si>
    <t>19589368</t>
  </si>
  <si>
    <t>MONTERROSA ARIZA FRAY LUIS</t>
  </si>
  <si>
    <t>MON******* ARI** FRA* LUI*</t>
  </si>
  <si>
    <t>19589405</t>
  </si>
  <si>
    <t>DE LA CRUZ CASTRO CESAR AUGUSTO</t>
  </si>
  <si>
    <t>DE LA CRU* CAS*** CES** AUG****</t>
  </si>
  <si>
    <t>19589495</t>
  </si>
  <si>
    <t>LUBO EBRATH WILLIAM</t>
  </si>
  <si>
    <t>LUB* EBR*** WIL****</t>
  </si>
  <si>
    <t>19589615</t>
  </si>
  <si>
    <t>AROCA MANCO ALEXANDER JOVANNY</t>
  </si>
  <si>
    <t>ARO** MAN** ALE****** JOV****</t>
  </si>
  <si>
    <t>19589642</t>
  </si>
  <si>
    <t>JIMENEZ ORTEGA ALBERTO RAFAEL</t>
  </si>
  <si>
    <t>JIM**** ORT*** ALB**** RAF***</t>
  </si>
  <si>
    <t>19589677</t>
  </si>
  <si>
    <t>SILVERA REDONDO ARLON ARTURO</t>
  </si>
  <si>
    <t>SIL**** RED**** ARL** ART***</t>
  </si>
  <si>
    <t>19590082</t>
  </si>
  <si>
    <t>GIL MANOTAS SAUL ANTONIO</t>
  </si>
  <si>
    <t>GIL MAN**** SAU* ANT****</t>
  </si>
  <si>
    <t>19590114</t>
  </si>
  <si>
    <t>GONZALEZ ANDRADE ROBINSON GILBERTO</t>
  </si>
  <si>
    <t>GON***** AND**** ROB***** GIL*****</t>
  </si>
  <si>
    <t>19590177</t>
  </si>
  <si>
    <t>CERVANTES CASTRO ARMANDO RAFAEL</t>
  </si>
  <si>
    <t>CER****** CAS*** ARM**** RAF***</t>
  </si>
  <si>
    <t>19590241</t>
  </si>
  <si>
    <t>OCAMPO GOMEZ RAMON ENRIQUE</t>
  </si>
  <si>
    <t>OCA*** GOM** RAM** ENR****</t>
  </si>
  <si>
    <t>19590638</t>
  </si>
  <si>
    <t>PALMERA BARRIOS JOSE GREGORIO</t>
  </si>
  <si>
    <t>PAL**** BAR**** JOS* GRE*****</t>
  </si>
  <si>
    <t>19590845</t>
  </si>
  <si>
    <t>OROZCO TORREGROZA NICOLAS JOSE</t>
  </si>
  <si>
    <t>ORO*** TOR******* NIC**** JOS*</t>
  </si>
  <si>
    <t>19590865</t>
  </si>
  <si>
    <t>TEJEDA NARVAEZ JADER DE JESUS</t>
  </si>
  <si>
    <t>TEJ*** NAR**** JAD** DE JES**</t>
  </si>
  <si>
    <t>19590894</t>
  </si>
  <si>
    <t>GUERRA ZUÑIGA ELKIN DE JESUS</t>
  </si>
  <si>
    <t>GUE*** ZUÑ*** ELK** DE JES**</t>
  </si>
  <si>
    <t>19590954</t>
  </si>
  <si>
    <t>ACOSTA MENDOZA YESID JOSE</t>
  </si>
  <si>
    <t>ACO*** MEN**** YES** JOS*</t>
  </si>
  <si>
    <t>19590977</t>
  </si>
  <si>
    <t>MERCADO SAN JUAN HERNANDO SEGUNDO</t>
  </si>
  <si>
    <t>MER**** SAN JUA* HER***** SEG****</t>
  </si>
  <si>
    <t>19591026</t>
  </si>
  <si>
    <t>BARRAZA OROZCO WALBERTO</t>
  </si>
  <si>
    <t>BAR**** ORO*** WAL*****</t>
  </si>
  <si>
    <t>19591253</t>
  </si>
  <si>
    <t>ZAMBRANO QUINTERO YHONYS RAFAEL</t>
  </si>
  <si>
    <t>ZAM***** QUI***** YHO*** RAF***</t>
  </si>
  <si>
    <t>19591279</t>
  </si>
  <si>
    <t>MACHADO DE LA CRUZ JOSE GREGORIO</t>
  </si>
  <si>
    <t>MAC**** DE LA CRU* JOS* GRE*****</t>
  </si>
  <si>
    <t>19591754</t>
  </si>
  <si>
    <t>GUILLEN VILORIA DAGER WALKER</t>
  </si>
  <si>
    <t>GUI**** VIL**** DAG** WAL***</t>
  </si>
  <si>
    <t>19591793</t>
  </si>
  <si>
    <t>VILLARREAL MARTINEZ EDGARDO JOSE</t>
  </si>
  <si>
    <t>VIL******* MAR***** EDG**** JOS*</t>
  </si>
  <si>
    <t>19591796</t>
  </si>
  <si>
    <t>PIMIENTA SANCHEZ MANUEL JOSE</t>
  </si>
  <si>
    <t>PIM***** SAN**** MAN*** JOS*</t>
  </si>
  <si>
    <t>19591854</t>
  </si>
  <si>
    <t>VERDOOREN GAMEZ JOSE LUIS</t>
  </si>
  <si>
    <t>VER****** GAM** JOS* LUI*</t>
  </si>
  <si>
    <t>19591855</t>
  </si>
  <si>
    <t>IBARGUEN BOLAÑO WILLIAM MOISES</t>
  </si>
  <si>
    <t>IBA***** BOL*** WIL**** MOI***</t>
  </si>
  <si>
    <t>19592141</t>
  </si>
  <si>
    <t>DE LA CRUZ DIAZ WILFRIDO RAFAEL</t>
  </si>
  <si>
    <t>DE LA CRU* DIA* WIL***** RAF***</t>
  </si>
  <si>
    <t>19592152</t>
  </si>
  <si>
    <t>MENDOZA MARTINEZ OSCAR ENRIQUE</t>
  </si>
  <si>
    <t>MEN**** MAR***** OSC** ENR****</t>
  </si>
  <si>
    <t>19592220</t>
  </si>
  <si>
    <t>PABA CASADIEGO JUAN DE DIOS</t>
  </si>
  <si>
    <t>PAB* CAS****** JUA* DE DIO*</t>
  </si>
  <si>
    <t>19592469</t>
  </si>
  <si>
    <t>RODRIGUEZ RAYO CARLOS ALBERTO</t>
  </si>
  <si>
    <t>ROD****** RAY* CAR*** ALB****</t>
  </si>
  <si>
    <t>19592546</t>
  </si>
  <si>
    <t>CAMARGO CHANTRE ALBEIRO</t>
  </si>
  <si>
    <t>CAM**** CHA**** ALB****</t>
  </si>
  <si>
    <t>19592555</t>
  </si>
  <si>
    <t>VILORIA MERCADO WALTER ENRIQUE</t>
  </si>
  <si>
    <t>VIL**** MER**** WAL*** ENR****</t>
  </si>
  <si>
    <t>19592932</t>
  </si>
  <si>
    <t>PEÑA BARRIOS FARID ENRIQUE</t>
  </si>
  <si>
    <t>PEÑ* BAR**** FAR** ENR****</t>
  </si>
  <si>
    <t>19593028</t>
  </si>
  <si>
    <t>BENDECK JORGE HUMBERTO</t>
  </si>
  <si>
    <t>BEN**** JOR** HUM*****</t>
  </si>
  <si>
    <t>19593071</t>
  </si>
  <si>
    <t>SANTODOMINGO PEREIRA MANUEL JOSE</t>
  </si>
  <si>
    <t>SAN********* PER**** MAN*** JOS*</t>
  </si>
  <si>
    <t>19593442</t>
  </si>
  <si>
    <t>DIAZ CARRILLO OSCAR ENRIQUE</t>
  </si>
  <si>
    <t>DIA* CAR***** OSC** ENR****</t>
  </si>
  <si>
    <t>19593495</t>
  </si>
  <si>
    <t>PEREZ MONTERO IVAN DARIO</t>
  </si>
  <si>
    <t>PER** MON**** IVA* DAR**</t>
  </si>
  <si>
    <t>19593602</t>
  </si>
  <si>
    <t>TURIZZO BRAVO RODRIGO JOSE</t>
  </si>
  <si>
    <t>TUR**** BRA** ROD**** JOS*</t>
  </si>
  <si>
    <t>19593747</t>
  </si>
  <si>
    <t>CARRILLO VIZCAINO NELSON ENRIQUE</t>
  </si>
  <si>
    <t>CAR***** VIZ***** NEL*** ENR****</t>
  </si>
  <si>
    <t>19593865</t>
  </si>
  <si>
    <t>BLANCO TERNERA JAVIER JOSE</t>
  </si>
  <si>
    <t>BLA*** TER**** JAV*** JOS*</t>
  </si>
  <si>
    <t>19594117</t>
  </si>
  <si>
    <t>MERCADO SAN JUAN ASMED DARIO</t>
  </si>
  <si>
    <t>MER**** SAN JUA* ASM** DAR**</t>
  </si>
  <si>
    <t>19594123</t>
  </si>
  <si>
    <t>VIZCAINO CALVO ERIBERTO</t>
  </si>
  <si>
    <t>VIZ***** CAL** ERI*****</t>
  </si>
  <si>
    <t>19594542</t>
  </si>
  <si>
    <t>MARQUEZ GUNSEY AKUNGUMU MAKU</t>
  </si>
  <si>
    <t>MAR**** GUN*** AKU***** MAK*</t>
  </si>
  <si>
    <t>19594671</t>
  </si>
  <si>
    <t>HOYOS MANOTAS EDUARDO JESUS</t>
  </si>
  <si>
    <t>HOY** MAN**** EDU**** JES**</t>
  </si>
  <si>
    <t>19594772</t>
  </si>
  <si>
    <t>DURAN GALINDO ALEXANDER OMAR</t>
  </si>
  <si>
    <t>DUR** GAL**** ALE****** OMA*</t>
  </si>
  <si>
    <t>19594789</t>
  </si>
  <si>
    <t>VIZCAINO FONTALVO MARLO ENRIQUE</t>
  </si>
  <si>
    <t>VIZ***** FON***** MAR** ENR****</t>
  </si>
  <si>
    <t>19594884</t>
  </si>
  <si>
    <t>MEZA SANCHEZ LUIS JOSE</t>
  </si>
  <si>
    <t>MEZ* SAN**** LUI* JOS*</t>
  </si>
  <si>
    <t>19595490</t>
  </si>
  <si>
    <t>MOJICA AVENDAÑO OMAR DE JESUS</t>
  </si>
  <si>
    <t>MOJ*** AVE***** OMA* DE JES**</t>
  </si>
  <si>
    <t>19595504</t>
  </si>
  <si>
    <t>REYES VEGA JAIRO LUIS</t>
  </si>
  <si>
    <t>REY** VEG* JAI** LUI*</t>
  </si>
  <si>
    <t>19595620</t>
  </si>
  <si>
    <t>ARGOTE SALGADO MIGUEL GREGORIO</t>
  </si>
  <si>
    <t>ARG*** SAL**** MIG*** GRE*****</t>
  </si>
  <si>
    <t>19595848</t>
  </si>
  <si>
    <t>RIVERA VANEGAS MILTON MANUEL</t>
  </si>
  <si>
    <t>RIV*** VAN**** MIL*** MAN***</t>
  </si>
  <si>
    <t>19596080</t>
  </si>
  <si>
    <t>TAVORDA LARA DAIVER ENRIQUE</t>
  </si>
  <si>
    <t>TAV**** LAR* DAI*** ENR****</t>
  </si>
  <si>
    <t>19596262</t>
  </si>
  <si>
    <t>MOZO BARCASNEGRA EVARISTO ALFONSO</t>
  </si>
  <si>
    <t>MOZ* BAR******** EVA***** ALF****</t>
  </si>
  <si>
    <t>19596487</t>
  </si>
  <si>
    <t>VERDOOREN GAMEZ NICOMEDES JOSE</t>
  </si>
  <si>
    <t>VER****** GAM** NIC****** JOS*</t>
  </si>
  <si>
    <t>19596587</t>
  </si>
  <si>
    <t>CASALIN POLO JORGE MARIO</t>
  </si>
  <si>
    <t>CAS**** POL* JOR** MAR**</t>
  </si>
  <si>
    <t>19596669</t>
  </si>
  <si>
    <t>CHAMORRO MEZA JOSE EUGENIO</t>
  </si>
  <si>
    <t>CHA***** MEZ* JOS* EUG****</t>
  </si>
  <si>
    <t>19597348</t>
  </si>
  <si>
    <t>CERVANTES AREVALO JHONNY FRANK</t>
  </si>
  <si>
    <t>CER****** ARE**** JHO*** FRA**</t>
  </si>
  <si>
    <t>19597644</t>
  </si>
  <si>
    <t>DE AGUAS MERCADO FARID ALONSO</t>
  </si>
  <si>
    <t>DE AGU** MER**** FAR** ALO***</t>
  </si>
  <si>
    <t>19597765</t>
  </si>
  <si>
    <t>OBREDOR BERMUDEZ JOSE ALFREDO</t>
  </si>
  <si>
    <t>OBR**** BER***** JOS* ALF****</t>
  </si>
  <si>
    <t>19598083</t>
  </si>
  <si>
    <t>CARRANZA CARRANZA ANEIDER ENRIQUE</t>
  </si>
  <si>
    <t>CAR***** CAR***** ANE**** ENR****</t>
  </si>
  <si>
    <t>19598377</t>
  </si>
  <si>
    <t>CANTILLO GARCIA JHEILSON JAVIT</t>
  </si>
  <si>
    <t>CAN***** GAR*** JHE***** JAV**</t>
  </si>
  <si>
    <t>19598578</t>
  </si>
  <si>
    <t>BOSSA JARABA YESIR JOSE</t>
  </si>
  <si>
    <t>BOS** JAR*** YES** JOS*</t>
  </si>
  <si>
    <t>19598658</t>
  </si>
  <si>
    <t>DE AVILA RODRIGUEZ WILSON RAFAEL</t>
  </si>
  <si>
    <t>DE AVI** ROD****** WIL*** RAF***</t>
  </si>
  <si>
    <t>19598661</t>
  </si>
  <si>
    <t>DAZA MAESTRE YOLEINER ENRIQUE</t>
  </si>
  <si>
    <t>DAZ* MAE**** YOL***** ENR****</t>
  </si>
  <si>
    <t>19598696</t>
  </si>
  <si>
    <t>VILLARREAL CERA VICTOR JOAQUIN</t>
  </si>
  <si>
    <t>VIL******* CER* VIC*** JOA****</t>
  </si>
  <si>
    <t>19598767</t>
  </si>
  <si>
    <t>RODRIGUEZ BARCINILLA ALBERTO DE JESUS</t>
  </si>
  <si>
    <t>ROD****** BAR******* ALB**** DE JES**</t>
  </si>
  <si>
    <t>19598827</t>
  </si>
  <si>
    <t>CARRANZA MOSQUERA JORGE LUIS</t>
  </si>
  <si>
    <t>CAR***** MOS***** JOR** LUI*</t>
  </si>
  <si>
    <t>19598843</t>
  </si>
  <si>
    <t>PEREA MONSALVO OSCAR IVAN</t>
  </si>
  <si>
    <t>PER** MON***** OSC** IVA*</t>
  </si>
  <si>
    <t>19599151</t>
  </si>
  <si>
    <t>VELEZ GARCIA GISFREDO</t>
  </si>
  <si>
    <t>VEL** GAR*** GIS*****</t>
  </si>
  <si>
    <t>19599334</t>
  </si>
  <si>
    <t>JIMENEZ ARIAS GLEN JHON</t>
  </si>
  <si>
    <t>JIM**** ARI** GLE* JHO*</t>
  </si>
  <si>
    <t>19599684</t>
  </si>
  <si>
    <t>MIRANDA ROSERO FLAVIO JOSE</t>
  </si>
  <si>
    <t>MIR**** ROS*** FLA*** JOS*</t>
  </si>
  <si>
    <t>19600330</t>
  </si>
  <si>
    <t>RIASCOS NARVAEZ HUGO ARMANDO</t>
  </si>
  <si>
    <t>RIA**** NAR**** HUG* ARM****</t>
  </si>
  <si>
    <t>19600671</t>
  </si>
  <si>
    <t>ESCORCIA ROJAS MIGUEL ANGEL</t>
  </si>
  <si>
    <t>ESC***** ROJ** MIG*** ANG**</t>
  </si>
  <si>
    <t>19600758</t>
  </si>
  <si>
    <t>CABALLERO CHACON FABIAN DAVID</t>
  </si>
  <si>
    <t>CAB****** CHA*** FAB*** DAV**</t>
  </si>
  <si>
    <t>19600865</t>
  </si>
  <si>
    <t>PABON NIGRINIS JOSE DAVID</t>
  </si>
  <si>
    <t>PAB** NIG***** JOS* DAV**</t>
  </si>
  <si>
    <t>19601175</t>
  </si>
  <si>
    <t>MANCILLA MARTINEZ MAICO DAYAN</t>
  </si>
  <si>
    <t>MAN***** MAR***** MAI** DAY**</t>
  </si>
  <si>
    <t>19601185</t>
  </si>
  <si>
    <t>YANCE SILVA JUAN CARLOS</t>
  </si>
  <si>
    <t>YAN** SIL** JUA* CAR***</t>
  </si>
  <si>
    <t>19601479</t>
  </si>
  <si>
    <t>PABON FERIA RICHARD ALFONSO</t>
  </si>
  <si>
    <t>PAB** FER** RIC**** ALF****</t>
  </si>
  <si>
    <t>19601491</t>
  </si>
  <si>
    <t>CALLEJAS CAMACHO OSCAR EMILIO</t>
  </si>
  <si>
    <t>CAL***** CAM**** OSC** EMI***</t>
  </si>
  <si>
    <t>19601891</t>
  </si>
  <si>
    <t>VEGA CONDE REINALDO CARLOS</t>
  </si>
  <si>
    <t>VEG* CON** REI***** CAR***</t>
  </si>
  <si>
    <t>19601921</t>
  </si>
  <si>
    <t>ROCHEL AVILA GRIMALDI JOSE</t>
  </si>
  <si>
    <t>ROC*** AVI** GRI***** JOS*</t>
  </si>
  <si>
    <t>19601923</t>
  </si>
  <si>
    <t>VIZCAINO RODRIGUEZ ADALBERTO</t>
  </si>
  <si>
    <t>VIZ***** ROD****** ADA******</t>
  </si>
  <si>
    <t>19602858</t>
  </si>
  <si>
    <t>AREVALO HERNANDEZ LUIS EDUARDO</t>
  </si>
  <si>
    <t>ARE**** HER****** LUI* EDU****</t>
  </si>
  <si>
    <t>19602993</t>
  </si>
  <si>
    <t>ORTEGA OROZCO RAUL ERNESTO</t>
  </si>
  <si>
    <t>ORT*** ORO*** RAU* ERN****</t>
  </si>
  <si>
    <t>19603314</t>
  </si>
  <si>
    <t>NIÑO TORRES GONZALO</t>
  </si>
  <si>
    <t>NIÑ* TOR*** GON****</t>
  </si>
  <si>
    <t>19603538</t>
  </si>
  <si>
    <t>SANJUANELO PEDROZA HERNANDO ADOLFO</t>
  </si>
  <si>
    <t>SAN******* PED**** HER***** ADO***</t>
  </si>
  <si>
    <t>19603895</t>
  </si>
  <si>
    <t>CHURIO GUISA ALBERTO ENRIQUE</t>
  </si>
  <si>
    <t>CHU*** GUI** ALB**** ENR****</t>
  </si>
  <si>
    <t>19604062</t>
  </si>
  <si>
    <t>MEZA SERPA JOSE JOAQUIN</t>
  </si>
  <si>
    <t>MEZ* SER** JOS* JOA****</t>
  </si>
  <si>
    <t>19604744</t>
  </si>
  <si>
    <t>NORIEGA VIZCAINO JESUS DAVID</t>
  </si>
  <si>
    <t>NOR**** VIZ***** JES** DAV**</t>
  </si>
  <si>
    <t>19604802</t>
  </si>
  <si>
    <t>RADA PADILLA JOSE MARTIN</t>
  </si>
  <si>
    <t>RAD* PAD**** JOS* MAR***</t>
  </si>
  <si>
    <t>19604830</t>
  </si>
  <si>
    <t>CHIQUILLO POLO JORGE ENRIQUE</t>
  </si>
  <si>
    <t>CHI****** POL* JOR** ENR****</t>
  </si>
  <si>
    <t>19610654</t>
  </si>
  <si>
    <t>CANTILLO PERTUZ JORGE LUIS</t>
  </si>
  <si>
    <t>CAN***** PER*** JOR** LUI*</t>
  </si>
  <si>
    <t>19610655</t>
  </si>
  <si>
    <t>BOLIVAR CABRERA SIMON JAVIER</t>
  </si>
  <si>
    <t>BOL**** CAB**** SIM** JAV***</t>
  </si>
  <si>
    <t>19611180</t>
  </si>
  <si>
    <t>CERVANTES ACOSTA ALFREDO ANTONIO</t>
  </si>
  <si>
    <t>CER****** ACO*** ALF**** ANT****</t>
  </si>
  <si>
    <t>19611242</t>
  </si>
  <si>
    <t>BUITRAGO CABALLERO RICARDO ALFREDO</t>
  </si>
  <si>
    <t>BUI***** CAB****** RIC**** ALF****</t>
  </si>
  <si>
    <t>19611629</t>
  </si>
  <si>
    <t>DEL VECHIO DOMINGUEZ ORESTE ANTONIO</t>
  </si>
  <si>
    <t>DEL VEC*** DOM****** ORE*** ANT****</t>
  </si>
  <si>
    <t>19611919</t>
  </si>
  <si>
    <t>LLANES CORRALES JOSE GREGORIO</t>
  </si>
  <si>
    <t>LLA*** COR***** JOS* GRE*****</t>
  </si>
  <si>
    <t>19611969</t>
  </si>
  <si>
    <t>PEREA ESCALANTE JORGE LUIS</t>
  </si>
  <si>
    <t>PER** ESC****** JOR** LUI*</t>
  </si>
  <si>
    <t>19612177</t>
  </si>
  <si>
    <t>POLO HERNANDEZ NORBERTO ENRIQUE</t>
  </si>
  <si>
    <t>POL* HER****** NOR***** ENR****</t>
  </si>
  <si>
    <t>19612542</t>
  </si>
  <si>
    <t>ALVAREZ SANTIAGO ABEL ENRIQUE</t>
  </si>
  <si>
    <t>ALV**** SAN***** ABE* ENR****</t>
  </si>
  <si>
    <t>19612814</t>
  </si>
  <si>
    <t>MORA SUAREZ DAIRO ELIAS</t>
  </si>
  <si>
    <t>MOR* SUA*** DAI** ELI**</t>
  </si>
  <si>
    <t>19613303</t>
  </si>
  <si>
    <t>THOMAS GONZALEZ DANIEL DE LOS SANTO</t>
  </si>
  <si>
    <t>THO*** GON***** DAN*** DE LOS SAN**</t>
  </si>
  <si>
    <t>19613341</t>
  </si>
  <si>
    <t>MORENO POLO JULIO AGUSTIN</t>
  </si>
  <si>
    <t>MOR*** POL* JUL** AGU****</t>
  </si>
  <si>
    <t>19613705</t>
  </si>
  <si>
    <t>PERTUZ CABARCAS OBERTO ANTONIO</t>
  </si>
  <si>
    <t>PER*** CAB***** OBE*** ANT****</t>
  </si>
  <si>
    <t>19613857</t>
  </si>
  <si>
    <t>GUZMAN SANTOYA MANUEL DE JESUS</t>
  </si>
  <si>
    <t>GUZ*** SAN**** MAN*** DE JES**</t>
  </si>
  <si>
    <t>19613962</t>
  </si>
  <si>
    <t>BOSSA MARIÑO ORLANDO RODRIGO</t>
  </si>
  <si>
    <t>BOS** MAR*** ORL**** ROD****</t>
  </si>
  <si>
    <t>19614021</t>
  </si>
  <si>
    <t>LARA DE LA ROSA ALBERTO ENRIQUE</t>
  </si>
  <si>
    <t>LAR* DE LA ROS* ALB**** ENR****</t>
  </si>
  <si>
    <t>19614047</t>
  </si>
  <si>
    <t>GOMEZ COLON JUAN VICENTE</t>
  </si>
  <si>
    <t>GOM** COL** JUA* VIC****</t>
  </si>
  <si>
    <t>19614351</t>
  </si>
  <si>
    <t>NAVARRO ROMERO DAIRO ENRIQUE</t>
  </si>
  <si>
    <t>NAV**** ROM*** DAI** ENR****</t>
  </si>
  <si>
    <t>19614386</t>
  </si>
  <si>
    <t>ZURITA COLLANTE LUIS ANGEL</t>
  </si>
  <si>
    <t>ZUR*** COL***** LUI* ANG**</t>
  </si>
  <si>
    <t>19614443</t>
  </si>
  <si>
    <t>CONSUEGRA OVIEDO ASISCLO GREGORIO</t>
  </si>
  <si>
    <t>CON****** OVI*** ASI**** GRE*****</t>
  </si>
  <si>
    <t>19614611</t>
  </si>
  <si>
    <t>MARIÑO ACEVEDO EURIPIDES</t>
  </si>
  <si>
    <t>2A1</t>
  </si>
  <si>
    <t>MAR*** ACE**** EUR******</t>
  </si>
  <si>
    <t>19614639</t>
  </si>
  <si>
    <t>FUENTES JULIO JORGE LUIS</t>
  </si>
  <si>
    <t>FUE**** JUL** JOR** LUI*</t>
  </si>
  <si>
    <t>19615142</t>
  </si>
  <si>
    <t>MARQUEZ NIÑO RAMANCIO</t>
  </si>
  <si>
    <t>MAR**** NIÑ* RAM*****</t>
  </si>
  <si>
    <t>19615146</t>
  </si>
  <si>
    <t>CASTRO TAPIA JULIO FERNANDO</t>
  </si>
  <si>
    <t>CAS*** TAP** JUL** FER*****</t>
  </si>
  <si>
    <t>19615241</t>
  </si>
  <si>
    <t>MARTINEZ JIMENEZ EDILBERTO</t>
  </si>
  <si>
    <t>MAR***** JIM**** EDI******</t>
  </si>
  <si>
    <t>19615379</t>
  </si>
  <si>
    <t>GARCIA MARTINEZ FRAY ALEXANDER</t>
  </si>
  <si>
    <t>GAR*** MAR***** FRA* ALE******</t>
  </si>
  <si>
    <t>19615448</t>
  </si>
  <si>
    <t>FONSECA BROCHERO EVER JOSE</t>
  </si>
  <si>
    <t>FON**** BRO***** EVE* JOS*</t>
  </si>
  <si>
    <t>19615588</t>
  </si>
  <si>
    <t>RAMIREZ YEPEZ ALVARO ENRIQUE</t>
  </si>
  <si>
    <t>RAM**** YEP** ALV*** ENR****</t>
  </si>
  <si>
    <t>19615849</t>
  </si>
  <si>
    <t>YANCE SILVA LUIS FERNANDO</t>
  </si>
  <si>
    <t>YAN** SIL** LUI* FER*****</t>
  </si>
  <si>
    <t>19616227</t>
  </si>
  <si>
    <t>VASQUEZ PERTUZ OLMEDO MIGUEL</t>
  </si>
  <si>
    <t>VAS**** PER*** OLM*** MIG***</t>
  </si>
  <si>
    <t>19616501</t>
  </si>
  <si>
    <t>DE LA ROSA GUERRERO ALVARO</t>
  </si>
  <si>
    <t>DE LA ROS* GUE***** ALV***</t>
  </si>
  <si>
    <t>19616571</t>
  </si>
  <si>
    <t>VILLAMIL GUERRA JUAN CARLOS</t>
  </si>
  <si>
    <t>VIL***** GUE*** JUA* CAR***</t>
  </si>
  <si>
    <t>19616591</t>
  </si>
  <si>
    <t>PEREZ AVILA JAVIER ENRIQUE</t>
  </si>
  <si>
    <t>PER** AVI** JAV*** ENR****</t>
  </si>
  <si>
    <t>19616838</t>
  </si>
  <si>
    <t>ORTEGA LARA FERNANDO ENRIQUE</t>
  </si>
  <si>
    <t>ORT*** LAR* FER***** ENR****</t>
  </si>
  <si>
    <t>19617022</t>
  </si>
  <si>
    <t>LOPEZ CANTILLO CARLOS ALBERTO</t>
  </si>
  <si>
    <t>LOP** CAN***** CAR*** ALB****</t>
  </si>
  <si>
    <t>19617102</t>
  </si>
  <si>
    <t>CASTILLO PALACIO RODRIGO ALBERTO</t>
  </si>
  <si>
    <t>CAS***** PAL**** ROD**** ALB****</t>
  </si>
  <si>
    <t>19617270</t>
  </si>
  <si>
    <t>CANTILLO APARICIO JOSE GREGORIO</t>
  </si>
  <si>
    <t>CAN***** APA***** JOS* GRE*****</t>
  </si>
  <si>
    <t>19617345</t>
  </si>
  <si>
    <t>MOJICA ACOSTA ERNESTO JAVIER</t>
  </si>
  <si>
    <t>MOJ*** ACO*** ERN**** JAV***</t>
  </si>
  <si>
    <t>19617616</t>
  </si>
  <si>
    <t>DE LA HOZ JIMENEZ JHONNY JAVIER</t>
  </si>
  <si>
    <t>DE LA HOZ JIM**** JHO*** JAV***</t>
  </si>
  <si>
    <t>19617763</t>
  </si>
  <si>
    <t>MARIN VISBAL JUAN GUILLERMO</t>
  </si>
  <si>
    <t>MAR** VIS*** JUA* GUI******</t>
  </si>
  <si>
    <t>19617875</t>
  </si>
  <si>
    <t>SOCARRAS POLO GERARDO RAFAEL</t>
  </si>
  <si>
    <t>SOC***** POL* GER**** RAF***</t>
  </si>
  <si>
    <t>19618032</t>
  </si>
  <si>
    <t>AREVALO ACOSTA JUAN JOSE</t>
  </si>
  <si>
    <t>ARE**** ACO*** JUA* JOS*</t>
  </si>
  <si>
    <t>19619152</t>
  </si>
  <si>
    <t>LLANOS RAMOS HUGO ARMANDO</t>
  </si>
  <si>
    <t>LLA*** RAM** HUG* ARM****</t>
  </si>
  <si>
    <t>19619185</t>
  </si>
  <si>
    <t>MEJIA MORENO YEINER JOSE</t>
  </si>
  <si>
    <t>MEJ** MOR*** YEI*** JOS*</t>
  </si>
  <si>
    <t>19619673</t>
  </si>
  <si>
    <t>GUERRERO RODRIGUEZ JAISON ENRIQUE</t>
  </si>
  <si>
    <t>GUE***** ROD****** JAI*** ENR****</t>
  </si>
  <si>
    <t>19619690</t>
  </si>
  <si>
    <t>VALENCIA CABALLERO JAVIER ISAAC</t>
  </si>
  <si>
    <t>VAL***** CAB****** JAV*** ISA**</t>
  </si>
  <si>
    <t>19619917</t>
  </si>
  <si>
    <t>RUEDA CHARRIS WALTER ENRIQUE</t>
  </si>
  <si>
    <t>RUE** CHA**** WAL*** ENR****</t>
  </si>
  <si>
    <t>19620196</t>
  </si>
  <si>
    <t>MARTINEZ APARICIO JAIR ANTONIO</t>
  </si>
  <si>
    <t>MAR***** APA***** JAI* ANT****</t>
  </si>
  <si>
    <t>19620381</t>
  </si>
  <si>
    <t>MORENO VILLAMIL MIGUEL ANTONIO</t>
  </si>
  <si>
    <t>MOR*** VIL***** MIG*** ANT****</t>
  </si>
  <si>
    <t>19640465</t>
  </si>
  <si>
    <t>IBAÑEZ ROMO ROBERTO LUIS</t>
  </si>
  <si>
    <t>IBA*** ROM* ROB**** LUI*</t>
  </si>
  <si>
    <t>19640496</t>
  </si>
  <si>
    <t>ESQUEA VALENCIA NEYS JOSE</t>
  </si>
  <si>
    <t>ESQ*** VAL***** NEY* JOS*</t>
  </si>
  <si>
    <t>19640577</t>
  </si>
  <si>
    <t>CABALLERO VARELA WILMER EDUARDO</t>
  </si>
  <si>
    <t>CAB****** VAR*** WIL*** EDU****</t>
  </si>
  <si>
    <t>19640996</t>
  </si>
  <si>
    <t>GUTIERREZ ROMO EDUARDO JOSE</t>
  </si>
  <si>
    <t>GUT****** ROM* EDU**** JOS*</t>
  </si>
  <si>
    <t>19705111</t>
  </si>
  <si>
    <t>BOLAÑO MENDINUETA LUIS ALFONSO</t>
  </si>
  <si>
    <t>BOL*** MEN******* LUI* ALF****</t>
  </si>
  <si>
    <t>19705617</t>
  </si>
  <si>
    <t>BARRIOS RODRIGUEZ DERWIN JOEL</t>
  </si>
  <si>
    <t>BAR**** ROD****** DER*** JOE*</t>
  </si>
  <si>
    <t>19705965</t>
  </si>
  <si>
    <t>PUELLO CARDONA OSCAR ANTONIO</t>
  </si>
  <si>
    <t>PUE*** CAR**** OSC** ANT****</t>
  </si>
  <si>
    <t>19706386</t>
  </si>
  <si>
    <t>SIERRA LEONES ORLANDO LUIS</t>
  </si>
  <si>
    <t>SIE*** LEO*** ORL**** LUI*</t>
  </si>
  <si>
    <t>19708211</t>
  </si>
  <si>
    <t>VARELA DE LA HOZ CRISTIAN JAVIER</t>
  </si>
  <si>
    <t>VAR*** DE LA HOZ CRI***** JAV***</t>
  </si>
  <si>
    <t>19709221</t>
  </si>
  <si>
    <t>REALES HERNANDEZ JADER YESID</t>
  </si>
  <si>
    <t>REA*** HER****** JAD** YES**</t>
  </si>
  <si>
    <t>19752164</t>
  </si>
  <si>
    <t>PEREZ CARDENAS JOSE IGNACIO</t>
  </si>
  <si>
    <t>PER** CAR***** JOS* IGN****</t>
  </si>
  <si>
    <t>19767220</t>
  </si>
  <si>
    <t>MARTINEZ GARCIA YAMIR</t>
  </si>
  <si>
    <t>MAR***** GAR*** YAM**</t>
  </si>
  <si>
    <t>19767285</t>
  </si>
  <si>
    <t>HERRERA FONSECA FERNANDO</t>
  </si>
  <si>
    <t>HER**** FON**** FER*****</t>
  </si>
  <si>
    <t>19767695</t>
  </si>
  <si>
    <t>MULETH VELILLA JORGE ANTONIO</t>
  </si>
  <si>
    <t>MUL*** VEL**** JOR** ANT****</t>
  </si>
  <si>
    <t>19768098</t>
  </si>
  <si>
    <t>ATENCIA CORRALES VICTOR MANUEL</t>
  </si>
  <si>
    <t>ATE**** COR***** VIC*** MAN***</t>
  </si>
  <si>
    <t>19768291</t>
  </si>
  <si>
    <t>GUZMAN MORALES DANIEL JOSE</t>
  </si>
  <si>
    <t>GUZ*** MOR**** DAN*** JOS*</t>
  </si>
  <si>
    <t>19768316</t>
  </si>
  <si>
    <t>HERRERA OSPINO JUAN PABLO</t>
  </si>
  <si>
    <t>HER**** OSP*** JUA* PAB**</t>
  </si>
  <si>
    <t>19768427</t>
  </si>
  <si>
    <t>OLIVARES MORALES JUAN CARLOS</t>
  </si>
  <si>
    <t>OLI***** MOR**** JUA* CAR***</t>
  </si>
  <si>
    <t>19768670</t>
  </si>
  <si>
    <t>BORDETH MERIÑO CRISTOBAL GABRIEL</t>
  </si>
  <si>
    <t>BOR**** MER*** CRI****** GAB****</t>
  </si>
  <si>
    <t>19769587</t>
  </si>
  <si>
    <t>MARTINEZ HERRERA JEAN CARLOS</t>
  </si>
  <si>
    <t>MAR***** HER**** JEA* CAR***</t>
  </si>
  <si>
    <t>19769719</t>
  </si>
  <si>
    <t>HERNANDEZ MULFORD JORGE LUIS</t>
  </si>
  <si>
    <t>HER****** MUL**** JOR** LUI*</t>
  </si>
  <si>
    <t>19769834</t>
  </si>
  <si>
    <t>BARRIOS OJEDA JOHN SMITH</t>
  </si>
  <si>
    <t>BAR**** OJE** JOH* SMI**</t>
  </si>
  <si>
    <t>19772231</t>
  </si>
  <si>
    <t>ALMANZA GALINDO NESTOR</t>
  </si>
  <si>
    <t>ALM**** GAL**** NES***</t>
  </si>
  <si>
    <t>19772536</t>
  </si>
  <si>
    <t>RAMOS MONROY WALBERTO</t>
  </si>
  <si>
    <t>RAM** MON*** WAL*****</t>
  </si>
  <si>
    <t>19774527</t>
  </si>
  <si>
    <t>RUIZ GARCIA AROLDO</t>
  </si>
  <si>
    <t>RUI* GAR*** ARO***</t>
  </si>
  <si>
    <t>19774808</t>
  </si>
  <si>
    <t>BASTIDAS MEJIA ALEXANDER</t>
  </si>
  <si>
    <t>BAS***** MEJ** ALE******</t>
  </si>
  <si>
    <t>19897694</t>
  </si>
  <si>
    <t>PARRA JULIO FLABIO</t>
  </si>
  <si>
    <t>PAR** JUL** FLA***</t>
  </si>
  <si>
    <t>20759141</t>
  </si>
  <si>
    <t>CUADRADO IGUARAN HILI RUTH</t>
  </si>
  <si>
    <t>CUA***** IGU**** HIL* RUT*</t>
  </si>
  <si>
    <t>20795846</t>
  </si>
  <si>
    <t>ESMERAL FANDIÑO JOSEFA ANTONIA</t>
  </si>
  <si>
    <t>ESM**** FAN**** JOS*** ANT****</t>
  </si>
  <si>
    <t>21500797</t>
  </si>
  <si>
    <t>CORTINA ANAYA SOLANYI</t>
  </si>
  <si>
    <t>COR**** ANA** SOL****</t>
  </si>
  <si>
    <t>21659294</t>
  </si>
  <si>
    <t>LOPEZ CASTAÑO LUZ GARDA</t>
  </si>
  <si>
    <t>LOP** CAS**** LUZ GAR**</t>
  </si>
  <si>
    <t>22432107</t>
  </si>
  <si>
    <t>ALFARO DE GOMEZ ENITH DEL CARMEN</t>
  </si>
  <si>
    <t>ALF*** DE GOM** ENI** DEL CAR***</t>
  </si>
  <si>
    <t>22436952</t>
  </si>
  <si>
    <t>DE LA ROSA MELENDEZ LEVIS MARIA</t>
  </si>
  <si>
    <t>DE LA ROS* MEL***** LEV** MAR**</t>
  </si>
  <si>
    <t>22439866</t>
  </si>
  <si>
    <t>SARMIENTO GRAU CARMEN SOFIA</t>
  </si>
  <si>
    <t>SAR****** GRA* CAR*** SOF**</t>
  </si>
  <si>
    <t>22442710</t>
  </si>
  <si>
    <t>JIMENEZ ESTRADA YUDY MERCEDES</t>
  </si>
  <si>
    <t>JIM**** EST**** YUD* MER*****</t>
  </si>
  <si>
    <t>22443710</t>
  </si>
  <si>
    <t>HERNANDEZ GUTIERREZ MARBEL ELENA</t>
  </si>
  <si>
    <t>HER****** GUT****** MAR*** ELE**</t>
  </si>
  <si>
    <t>22444149</t>
  </si>
  <si>
    <t>HERNANDEZ OROZCO HERNELDA</t>
  </si>
  <si>
    <t>HER****** ORO*** HER*****</t>
  </si>
  <si>
    <t>22444252</t>
  </si>
  <si>
    <t>CAÑAS MARTINEZ FELICIA ANTONIA</t>
  </si>
  <si>
    <t>CAÑ** MAR***** FEL**** ANT****</t>
  </si>
  <si>
    <t>22444447</t>
  </si>
  <si>
    <t>LUNA PEREZ ZOOIDETH TRINIDAD</t>
  </si>
  <si>
    <t>LUN* PER** ZOO***** TRI*****</t>
  </si>
  <si>
    <t>22446359</t>
  </si>
  <si>
    <t>MENDOZA MARTINEZ CARMEN ODALIS</t>
  </si>
  <si>
    <t>MEN**** MAR***** CAR*** ODA***</t>
  </si>
  <si>
    <t>22446645</t>
  </si>
  <si>
    <t>VASQUEZ DE LA CRUZ LOURDES MARGARITA</t>
  </si>
  <si>
    <t>VAS**** DE LA CRU* LOU**** MAR******</t>
  </si>
  <si>
    <t>22446844</t>
  </si>
  <si>
    <t>AHUMADA FONTALVO NANCY JUDITH</t>
  </si>
  <si>
    <t>AHU**** FON***** NAN** JUD***</t>
  </si>
  <si>
    <t>22446977</t>
  </si>
  <si>
    <t>REAL PUENTES LORENA DEL CARMEN</t>
  </si>
  <si>
    <t>REA* PUE**** LOR*** DEL CAR***</t>
  </si>
  <si>
    <t>22447297</t>
  </si>
  <si>
    <t>DE AGUAS BARRIOS ELIZABETH</t>
  </si>
  <si>
    <t>DE AGU** BAR**** ELI******</t>
  </si>
  <si>
    <t>22448331</t>
  </si>
  <si>
    <t>OTALVAREZ VARGAS LEDYS GRACIELA</t>
  </si>
  <si>
    <t>OTA****** VAR*** LED** GRA*****</t>
  </si>
  <si>
    <t>22448344</t>
  </si>
  <si>
    <t>GOMEZ LARIOS MONICA ESTHER</t>
  </si>
  <si>
    <t>GOM** LAR*** MON*** EST***</t>
  </si>
  <si>
    <t>22448646</t>
  </si>
  <si>
    <t>MARTINEZ RODRIGUEZ MARIA RAQUEL</t>
  </si>
  <si>
    <t>MAR***** ROD****** MAR** RAQ***</t>
  </si>
  <si>
    <t>22449648</t>
  </si>
  <si>
    <t>TOLOZA LOZANO LIGIA DEL CARMEN</t>
  </si>
  <si>
    <t>TOL*** LOZ*** LIG** DEL CAR***</t>
  </si>
  <si>
    <t>22457218</t>
  </si>
  <si>
    <t>CASTRO ALMANZA ZORYS AMPARO</t>
  </si>
  <si>
    <t>CAS*** ALM**** ZOR** AMP***</t>
  </si>
  <si>
    <t>22459403</t>
  </si>
  <si>
    <t>RADA BOLIVAR MERCEDES ISABEL</t>
  </si>
  <si>
    <t>RAD* BOL**** MER***** ISA***</t>
  </si>
  <si>
    <t>22463580</t>
  </si>
  <si>
    <t>CASTAÑEDA BLANCO OLGA ELENA</t>
  </si>
  <si>
    <t>CAS****** BLA*** OLG* ELE**</t>
  </si>
  <si>
    <t>22464213</t>
  </si>
  <si>
    <t>CERVANTES CARRILLO MARIA CLAUDIA</t>
  </si>
  <si>
    <t>CER****** CAR***** MAR** CLA****</t>
  </si>
  <si>
    <t>22464313</t>
  </si>
  <si>
    <t>COBA SALCEDO SHIRLEY PATRICIA</t>
  </si>
  <si>
    <t>COB* SAL**** SHI**** PAT*****</t>
  </si>
  <si>
    <t>22465060</t>
  </si>
  <si>
    <t>MARTINEZ DURAN ROSANA</t>
  </si>
  <si>
    <t>MAR***** DUR** ROS***</t>
  </si>
  <si>
    <t>22465863</t>
  </si>
  <si>
    <t>MENDOZA SOCARRAS GLENIA PASTORA</t>
  </si>
  <si>
    <t>MEN**** SOC***** GLE*** PAS****</t>
  </si>
  <si>
    <t>22466288</t>
  </si>
  <si>
    <t>ANGARITA SANTOS ANA MARIA</t>
  </si>
  <si>
    <t>ANG***** SAN*** ANA MAR**</t>
  </si>
  <si>
    <t>22473704</t>
  </si>
  <si>
    <t>IBAÑEZ DE LA HOZ ELIDA ESTHER</t>
  </si>
  <si>
    <t>IBA*** DE LA HOZ ELI** EST***</t>
  </si>
  <si>
    <t>22476732</t>
  </si>
  <si>
    <t>RAMOS FERIA IVON MARCELA</t>
  </si>
  <si>
    <t>RAM** FER** IVO* MAR****</t>
  </si>
  <si>
    <t>22481952</t>
  </si>
  <si>
    <t>GULLOZO TORRES ELVIRA</t>
  </si>
  <si>
    <t>GUL**** TOR*** ELV***</t>
  </si>
  <si>
    <t>22482749</t>
  </si>
  <si>
    <t>PADILLA PADILLA JUANA MARIA</t>
  </si>
  <si>
    <t>PAD**** PAD**** JUA** MAR**</t>
  </si>
  <si>
    <t>22492767</t>
  </si>
  <si>
    <t>OSPINO CASTRO CARMEN BEATRIZ</t>
  </si>
  <si>
    <t>OSP*** CAS*** CAR*** BEA****</t>
  </si>
  <si>
    <t>22493539</t>
  </si>
  <si>
    <t>SALAS DE LA ROSA CARMEN AMPARO</t>
  </si>
  <si>
    <t>SAL** DE LA ROS* CAR*** AMP***</t>
  </si>
  <si>
    <t>22493943</t>
  </si>
  <si>
    <t>PEREZ MARTINEZ YENNY YOHANA</t>
  </si>
  <si>
    <t>PER** MAR***** YEN** YOH***</t>
  </si>
  <si>
    <t>22502584</t>
  </si>
  <si>
    <t>PALOMINO DELGADO ANGELA</t>
  </si>
  <si>
    <t>PAL***** DEL**** ANG***</t>
  </si>
  <si>
    <t>22505470</t>
  </si>
  <si>
    <t>OCHOA OLIVERO IBET DEL CARMEN</t>
  </si>
  <si>
    <t>OCH** OLI**** IBE* DEL CAR***</t>
  </si>
  <si>
    <t>22516048</t>
  </si>
  <si>
    <t>TAPIA REALES LEDYS MERCEDES</t>
  </si>
  <si>
    <t>TAP** REA*** LED** MER*****</t>
  </si>
  <si>
    <t>22518806</t>
  </si>
  <si>
    <t>POLO RAMBAL CELIA ROSA</t>
  </si>
  <si>
    <t>POL* RAM*** CEL** ROS*</t>
  </si>
  <si>
    <t>22519916</t>
  </si>
  <si>
    <t>CALDERON MARIANO SANDRA MILENA</t>
  </si>
  <si>
    <t>CAL***** MAR**** SAN*** MIL***</t>
  </si>
  <si>
    <t>22523434</t>
  </si>
  <si>
    <t>AHUMADA CASAS EMILCE ELENA</t>
  </si>
  <si>
    <t>AHU**** CAS** EMI*** ELE**</t>
  </si>
  <si>
    <t>22523578</t>
  </si>
  <si>
    <t>ROJAS ORDOÑEZ YUSMEYDIS BEATRIZ</t>
  </si>
  <si>
    <t>ROJ** ORD**** YUS****** BEA****</t>
  </si>
  <si>
    <t>22527411</t>
  </si>
  <si>
    <t>SAN JOSE FERNANDEZ ANA MARIA</t>
  </si>
  <si>
    <t>SAN JOS* FER****** ANA MAR**</t>
  </si>
  <si>
    <t>22530029</t>
  </si>
  <si>
    <t>RODRIGUEZ MENDOZA BELQUIS JUDITH</t>
  </si>
  <si>
    <t>ROD****** MEN**** BEL**** JUD***</t>
  </si>
  <si>
    <t>22530042</t>
  </si>
  <si>
    <t>TERNERA ROSELLON JOSEFA MARIA</t>
  </si>
  <si>
    <t>TER**** ROS***** JOS*** MAR**</t>
  </si>
  <si>
    <t>22530166</t>
  </si>
  <si>
    <t>OSORIO ARGOTE RUBY MARIA</t>
  </si>
  <si>
    <t>OSO*** ARG*** RUB* MAR**</t>
  </si>
  <si>
    <t>22530286</t>
  </si>
  <si>
    <t>BARRIOS CERVANTES ANA CARLINA</t>
  </si>
  <si>
    <t>BAR**** CER****** ANA CAR****</t>
  </si>
  <si>
    <t>22530950</t>
  </si>
  <si>
    <t>MIER OSORIO ROSNELLYS CANDELARIA</t>
  </si>
  <si>
    <t>MIE* OSO*** ROS****** CAN*******</t>
  </si>
  <si>
    <t>22537098</t>
  </si>
  <si>
    <t>FONTALVO GARCIA ELIZABETH</t>
  </si>
  <si>
    <t>FON***** GAR*** ELI******</t>
  </si>
  <si>
    <t>22537289</t>
  </si>
  <si>
    <t>RIZO HORTA GLADYS JUDITH</t>
  </si>
  <si>
    <t>RIZ* HOR** GLA*** JUD***</t>
  </si>
  <si>
    <t>22537415</t>
  </si>
  <si>
    <t>ESCOBAR ARIZA MERCEDES REGINA</t>
  </si>
  <si>
    <t>ESC**** ARI** MER***** REG***</t>
  </si>
  <si>
    <t>22537825</t>
  </si>
  <si>
    <t>VERDOOREN CALVO ISABEL CORNELIA</t>
  </si>
  <si>
    <t>VER****** CAL** ISA*** COR*****</t>
  </si>
  <si>
    <t>22538278</t>
  </si>
  <si>
    <t>ECHETO MARQUEZ LUZ ELENA</t>
  </si>
  <si>
    <t>ECH*** MAR**** LUZ ELE**</t>
  </si>
  <si>
    <t>22539048</t>
  </si>
  <si>
    <t>HORTA CERA MARTA JOSEFINA</t>
  </si>
  <si>
    <t>HOR** CER* MAR** JOS*****</t>
  </si>
  <si>
    <t>22539052</t>
  </si>
  <si>
    <t>CANTILLO CERA MARIA INMACULADA</t>
  </si>
  <si>
    <t>CAN***** CER* MAR** INM*******</t>
  </si>
  <si>
    <t>22539189</t>
  </si>
  <si>
    <t>ZARATE OCAMPO ERIKA AMPARO</t>
  </si>
  <si>
    <t>ZAR*** OCA*** ERI** AMP***</t>
  </si>
  <si>
    <t>22539668</t>
  </si>
  <si>
    <t>CERVANTES RIVERA ERIKA ISABEL</t>
  </si>
  <si>
    <t>CER****** RIV*** ERI** ISA***</t>
  </si>
  <si>
    <t>22539952</t>
  </si>
  <si>
    <t>OROZCO OROZCO BELIA ISABEL</t>
  </si>
  <si>
    <t>ORO*** ORO*** BEL** ISA***</t>
  </si>
  <si>
    <t>22540365</t>
  </si>
  <si>
    <t>CANTILLO OCAMPO JOHANA DE JESUS</t>
  </si>
  <si>
    <t>CAN***** OCA*** JOH*** DE JES**</t>
  </si>
  <si>
    <t>22540675</t>
  </si>
  <si>
    <t>MAZA CERA TANIA LUCIA</t>
  </si>
  <si>
    <t>MAZ* CER* TAN** LUC**</t>
  </si>
  <si>
    <t>22545119</t>
  </si>
  <si>
    <t>LOPEZ CANTILLO BENILDA ESTHER</t>
  </si>
  <si>
    <t>LOP** CAN***** BEN**** EST***</t>
  </si>
  <si>
    <t>22548113</t>
  </si>
  <si>
    <t>BORRERO FLOREZ SILVANA MELISSA</t>
  </si>
  <si>
    <t>BOR**** FLO*** SIL**** MEL****</t>
  </si>
  <si>
    <t>22549300</t>
  </si>
  <si>
    <t>FLORES BORJA DIGNA LUZ</t>
  </si>
  <si>
    <t>FLO*** BOR** DIG** LUZ</t>
  </si>
  <si>
    <t>22550691</t>
  </si>
  <si>
    <t>BARRAZA MARTINEZ SHIRLEY</t>
  </si>
  <si>
    <t>BAR**** MAR***** SHI****</t>
  </si>
  <si>
    <t>22550888</t>
  </si>
  <si>
    <t>FUENTES VEGA ROSANGELICA</t>
  </si>
  <si>
    <t>FUE**** VEG* ROS********</t>
  </si>
  <si>
    <t>22580577</t>
  </si>
  <si>
    <t>DE LA ROSA SUAREZ LILIANA BEATRIZ</t>
  </si>
  <si>
    <t>DE LA ROS* SUA*** LIL**** BEA****</t>
  </si>
  <si>
    <t>22588552</t>
  </si>
  <si>
    <t>BATISTA OSPINO AGRIPINA JUDITH</t>
  </si>
  <si>
    <t>BAT**** OSP*** AGR***** JUD***</t>
  </si>
  <si>
    <t>22589247</t>
  </si>
  <si>
    <t>IBARRA MEJIA NAYIBE DE JESUS</t>
  </si>
  <si>
    <t>IBA*** MEJ** NAY*** DE JES**</t>
  </si>
  <si>
    <t>22605784</t>
  </si>
  <si>
    <t>DE LA HOZ CHARRIS LICETH EMILSE</t>
  </si>
  <si>
    <t>DE LA HOZ CHA**** LIC*** EMI***</t>
  </si>
  <si>
    <t>22606118</t>
  </si>
  <si>
    <t>RODRIGUEZ MARTINEZ ROSIRIS ROCIO</t>
  </si>
  <si>
    <t>ROD****** MAR***** ROS**** ROC**</t>
  </si>
  <si>
    <t>22616960</t>
  </si>
  <si>
    <t>MEDINA ACUÑA MERCEDES ELENA</t>
  </si>
  <si>
    <t>MED*** ACU** MER***** ELE**</t>
  </si>
  <si>
    <t>22622180</t>
  </si>
  <si>
    <t>CABRALES DAZA OLGA LUZ</t>
  </si>
  <si>
    <t>CAB***** DAZ* OLG* LUZ</t>
  </si>
  <si>
    <t>22622575</t>
  </si>
  <si>
    <t>VARELA GUTIERREZ CANDELARIA</t>
  </si>
  <si>
    <t>VAR*** GUT****** CAN*******</t>
  </si>
  <si>
    <t>22623139</t>
  </si>
  <si>
    <t>ORTEGA CONRADO YORLEY MARINA</t>
  </si>
  <si>
    <t>ORT*** CON**** YOR*** MAR***</t>
  </si>
  <si>
    <t>22623418</t>
  </si>
  <si>
    <t>LEON PAVAS INGRID MARIA</t>
  </si>
  <si>
    <t>LEO* PAV** ING*** MAR**</t>
  </si>
  <si>
    <t>22623821</t>
  </si>
  <si>
    <t>OSORIO ESCORCIA MILAGRO DE JESUS</t>
  </si>
  <si>
    <t>OSO*** ESC***** MIL**** DE JES**</t>
  </si>
  <si>
    <t>22624412</t>
  </si>
  <si>
    <t>BERMEJO BOLAÃ INMACULADA CONCEPCION</t>
  </si>
  <si>
    <t>BER**** BOL*** INM******* CON*******</t>
  </si>
  <si>
    <t>22632374</t>
  </si>
  <si>
    <t>PEÑA CABALLERO YADIRA MERCEDES</t>
  </si>
  <si>
    <t>PEÑ* CAB****** YAD*** MER*****</t>
  </si>
  <si>
    <t>22633079</t>
  </si>
  <si>
    <t>FONTALVO MENDEZ ROSA TERESA</t>
  </si>
  <si>
    <t>FON***** MEN*** ROS* TER***</t>
  </si>
  <si>
    <t>22633325</t>
  </si>
  <si>
    <t>SALAS SOLANO CIELO MARIA</t>
  </si>
  <si>
    <t>SAL** SOL*** CIE** MAR**</t>
  </si>
  <si>
    <t>22634256</t>
  </si>
  <si>
    <t>LUQUE ARIZA CARMEN TERESA</t>
  </si>
  <si>
    <t>LUQ** ARI** CAR*** TER***</t>
  </si>
  <si>
    <t>22634649</t>
  </si>
  <si>
    <t>CORONADO MUÑOZ MIRYAN ESTHER</t>
  </si>
  <si>
    <t>COR***** MUÑ** MIR*** EST***</t>
  </si>
  <si>
    <t>22635032</t>
  </si>
  <si>
    <t>MUÑOZ PEÑA YADIRA</t>
  </si>
  <si>
    <t>MUÑ** PEÑ* YAD***</t>
  </si>
  <si>
    <t>22636228</t>
  </si>
  <si>
    <t>SANTODOMINGO ORTEGA EMILIA ROSA</t>
  </si>
  <si>
    <t>SAN********* ORT*** EMI*** ROS*</t>
  </si>
  <si>
    <t>22636362</t>
  </si>
  <si>
    <t>CANTILLO ESCORCIA ELSY CECILIA</t>
  </si>
  <si>
    <t>CAN***** ESC***** ELS* CEC****</t>
  </si>
  <si>
    <t>22636886</t>
  </si>
  <si>
    <t>SANCHEZ ANAYA LINA DEL SOCORRO</t>
  </si>
  <si>
    <t>SAN**** ANA** LIN* DEL SOC****</t>
  </si>
  <si>
    <t>22636911</t>
  </si>
  <si>
    <t>AFRICANO CHARRIS NELIDA DE JESUS</t>
  </si>
  <si>
    <t>AFR***** CHA**** NEL*** DE JES**</t>
  </si>
  <si>
    <t>22637091</t>
  </si>
  <si>
    <t>MELENDEZ RUIZ MARTHA RAQUEL</t>
  </si>
  <si>
    <t>MEL***** RUI* MAR*** RAQ***</t>
  </si>
  <si>
    <t>22637208</t>
  </si>
  <si>
    <t>MANOTAS BERMEJO AIDEE CECILIA</t>
  </si>
  <si>
    <t>MAN**** BER**** AID** CEC****</t>
  </si>
  <si>
    <t>22637511</t>
  </si>
  <si>
    <t>LIDUEÑA BLANQUICETT ARELY ESTHER</t>
  </si>
  <si>
    <t>LID**** BLA******** ARE** EST***</t>
  </si>
  <si>
    <t>22637547</t>
  </si>
  <si>
    <t>OSORIO ROJANO ROCIO DEL CARMEN</t>
  </si>
  <si>
    <t>OSO*** ROJ*** ROC** DEL CAR***</t>
  </si>
  <si>
    <t>22637548</t>
  </si>
  <si>
    <t>MEZA MERIÑO MARIA MELCHORA</t>
  </si>
  <si>
    <t>MEZ* MER*** MAR** MEL*****</t>
  </si>
  <si>
    <t>22637678</t>
  </si>
  <si>
    <t>BARRANCO OROZCO MARIA EDELMIRA</t>
  </si>
  <si>
    <t>BAR***** ORO*** MAR** EDE*****</t>
  </si>
  <si>
    <t>22637683</t>
  </si>
  <si>
    <t>BARRIOS SALAS MARITZA ANTONIA</t>
  </si>
  <si>
    <t>BAR**** SAL** MAR**** ANT****</t>
  </si>
  <si>
    <t>22637701</t>
  </si>
  <si>
    <t>DE LA CRUZ CASTAÑEDA PRISCILA DEL CARMEN</t>
  </si>
  <si>
    <t>DE LA CRU* CAS****** PRI***** DEL CAR***</t>
  </si>
  <si>
    <t>22637710</t>
  </si>
  <si>
    <t>CANTILLO VILLALOBO MARIBEL MARIA</t>
  </si>
  <si>
    <t>CAN***** VIL****** MAR**** MAR**</t>
  </si>
  <si>
    <t>22637723</t>
  </si>
  <si>
    <t>SUAREZ ALFARO GILMA BEATRIZ</t>
  </si>
  <si>
    <t>SUA*** ALF*** GIL** BEA****</t>
  </si>
  <si>
    <t>22637897</t>
  </si>
  <si>
    <t>DE LEON ORTIZ DENIS MARIA</t>
  </si>
  <si>
    <t>DE LEO* ORT** DEN** MAR**</t>
  </si>
  <si>
    <t>22638114</t>
  </si>
  <si>
    <t>ACOSTA SANTODOMINGO CRISTINA ISABEL</t>
  </si>
  <si>
    <t>ACO*** SAN********* CRI***** ISA***</t>
  </si>
  <si>
    <t>22638118</t>
  </si>
  <si>
    <t>OROZCO PABON SILVANA DEL PILAR</t>
  </si>
  <si>
    <t>ORO*** PAB** SIL**** DEL PIL**</t>
  </si>
  <si>
    <t>22638166</t>
  </si>
  <si>
    <t>MEZA RAMOS MABY LUZ</t>
  </si>
  <si>
    <t>MEZ* RAM** MAB* LUZ</t>
  </si>
  <si>
    <t>22638706</t>
  </si>
  <si>
    <t>ARIZA OSPINO AMPARO JULIA</t>
  </si>
  <si>
    <t>ARI** OSP*** AMP*** JUL**</t>
  </si>
  <si>
    <t>22638816</t>
  </si>
  <si>
    <t>CANTILLO HERNANDEZ ELSY BEATRIZ</t>
  </si>
  <si>
    <t>CAN***** HER****** ELS* BEA****</t>
  </si>
  <si>
    <t>22638872</t>
  </si>
  <si>
    <t>MELENDEZ CARRILLO EDITH CECILIA</t>
  </si>
  <si>
    <t>MEL***** CAR***** EDI** CEC****</t>
  </si>
  <si>
    <t>22638899</t>
  </si>
  <si>
    <t>DE LA HOZ BOLAÑO ANA ROSA</t>
  </si>
  <si>
    <t>DE LA HOZ BOL*** ANA ROS*</t>
  </si>
  <si>
    <t>22639198</t>
  </si>
  <si>
    <t>CAMACHO TAMARA ALMA LUZ</t>
  </si>
  <si>
    <t>CAM**** TAM*** ALM* LUZ</t>
  </si>
  <si>
    <t>22639202</t>
  </si>
  <si>
    <t>RANGEL MUÑOZ ROSMY ROCIO</t>
  </si>
  <si>
    <t>RAN*** MUÑ** ROS** ROC**</t>
  </si>
  <si>
    <t>22639207</t>
  </si>
  <si>
    <t>ALTAHONA RODRIGUEZ ADRIANA LUZ</t>
  </si>
  <si>
    <t>ALT***** ROD****** ADR**** LUZ</t>
  </si>
  <si>
    <t>22639222</t>
  </si>
  <si>
    <t>VERDOOREN ORTIZ LEDA LUZ</t>
  </si>
  <si>
    <t>VER****** ORT** LED* LUZ</t>
  </si>
  <si>
    <t>22639510</t>
  </si>
  <si>
    <t>GONZALEZ OSPINO DUVIS NURIS</t>
  </si>
  <si>
    <t>GON***** OSP*** DUV** NUR**</t>
  </si>
  <si>
    <t>22639893</t>
  </si>
  <si>
    <t>PACHECO CHARRIS MARIA DEL ROSARIO</t>
  </si>
  <si>
    <t>PAC**** CHA**** MAR** DEL ROS****</t>
  </si>
  <si>
    <t>22639961</t>
  </si>
  <si>
    <t>ISAZA ARIZA JUANA MARIA</t>
  </si>
  <si>
    <t>ISA** ARI** JUA** MAR**</t>
  </si>
  <si>
    <t>22641650</t>
  </si>
  <si>
    <t>BOLIVAR CONRADO MARTA LEONOR</t>
  </si>
  <si>
    <t>BOL**** CON**** MAR** LEO***</t>
  </si>
  <si>
    <t>22642244</t>
  </si>
  <si>
    <t>MERCADO ORTEGA LUZ NEIRA</t>
  </si>
  <si>
    <t>MER**** ORT*** LUZ NEI**</t>
  </si>
  <si>
    <t>22645614</t>
  </si>
  <si>
    <t>BARRAZA BARRAZA ROCIO LISETH</t>
  </si>
  <si>
    <t>BAR**** BAR**** ROC** LIS***</t>
  </si>
  <si>
    <t>22646547</t>
  </si>
  <si>
    <t>RAMOS OJEDA ELIS JOHANA</t>
  </si>
  <si>
    <t>RAM** OJE** ELI* JOH***</t>
  </si>
  <si>
    <t>22651367</t>
  </si>
  <si>
    <t>DURANT IBARRA SHEILA PATRICIA</t>
  </si>
  <si>
    <t>DUR*** IBA*** SHE*** PAT*****</t>
  </si>
  <si>
    <t>22656269</t>
  </si>
  <si>
    <t>ZAPA PEÑA KEILA</t>
  </si>
  <si>
    <t>ZAP* PEÑ* KEI**</t>
  </si>
  <si>
    <t>22656615</t>
  </si>
  <si>
    <t>ESCOBAR BARRIOS JOHANNA MARIA</t>
  </si>
  <si>
    <t>ESC**** BAR**** JOH**** MAR**</t>
  </si>
  <si>
    <t>22656766</t>
  </si>
  <si>
    <t>CASTRO GUTIERREZ IVETH IRINA</t>
  </si>
  <si>
    <t>CAS*** GUT****** IVE** IRI**</t>
  </si>
  <si>
    <t>22658788</t>
  </si>
  <si>
    <t>CABEZA DE LA HOZ ROSALBA ISABEL</t>
  </si>
  <si>
    <t>CAB*** DE LA HOZ ROS**** ISA***</t>
  </si>
  <si>
    <t>22662240</t>
  </si>
  <si>
    <t>ORTEGA OLIVEROS LUCIA INES</t>
  </si>
  <si>
    <t>ORT*** OLI***** LUC** INE*</t>
  </si>
  <si>
    <t>22662480</t>
  </si>
  <si>
    <t>OROZCO OBREDOR MARIA BERTILDA</t>
  </si>
  <si>
    <t>ORO*** OBR**** MAR** BER*****</t>
  </si>
  <si>
    <t>22662921</t>
  </si>
  <si>
    <t>OROZCO ZABALETA LUISA YANET</t>
  </si>
  <si>
    <t>ORO*** ZAB***** LUI** YAN**</t>
  </si>
  <si>
    <t>22663107</t>
  </si>
  <si>
    <t>OROZCO OBREDOR PAULINA MARIA</t>
  </si>
  <si>
    <t>ORO*** OBR**** PAU**** MAR**</t>
  </si>
  <si>
    <t>22663646</t>
  </si>
  <si>
    <t>ACOSTA BONETT YASMARI YANET</t>
  </si>
  <si>
    <t>ACO*** BON*** YAS**** YAN**</t>
  </si>
  <si>
    <t>22664959</t>
  </si>
  <si>
    <t>RODRIGUEZ CAMACHO NEREIDA DEL CARMEN</t>
  </si>
  <si>
    <t>ROD****** CAM**** NER**** DEL CAR***</t>
  </si>
  <si>
    <t>22667319</t>
  </si>
  <si>
    <t>DE LA HOZ ANDRADE CLEMENTINA MARGARITA</t>
  </si>
  <si>
    <t>DE LA HOZ AND**** CLE******* MAR******</t>
  </si>
  <si>
    <t>22674460</t>
  </si>
  <si>
    <t>GUTIERREZ GOMEZ RITA FABIOLA</t>
  </si>
  <si>
    <t>GUT****** GOM** RIT* FAB****</t>
  </si>
  <si>
    <t>22675283</t>
  </si>
  <si>
    <t>DE LA HOZ CORONADO ROSIRIS DE JESUS</t>
  </si>
  <si>
    <t>DE LA HOZ COR***** ROS**** DE JES**</t>
  </si>
  <si>
    <t>22675969</t>
  </si>
  <si>
    <t>ESCOBAR RIZZO SANDRA LUCIA</t>
  </si>
  <si>
    <t>ESC**** RIZ** SAN*** LUC**</t>
  </si>
  <si>
    <t>22690127</t>
  </si>
  <si>
    <t>MORENO DE LA CRUZ LEDYS JUDITH</t>
  </si>
  <si>
    <t>MOR*** DE LA CRU* LED** JUD***</t>
  </si>
  <si>
    <t>22690617</t>
  </si>
  <si>
    <t>GOMEZ CERVANTES NANCY NURIS</t>
  </si>
  <si>
    <t>GOM** CER****** NAN** NUR**</t>
  </si>
  <si>
    <t>22692688</t>
  </si>
  <si>
    <t>HOYOS CARO LEDYS JUDITH</t>
  </si>
  <si>
    <t>HOY** CAR* LED** JUD***</t>
  </si>
  <si>
    <t>22694131</t>
  </si>
  <si>
    <t>VERDOOREN ORTIZ CIELO MERCEDES</t>
  </si>
  <si>
    <t>VER****** ORT** CIE** MER*****</t>
  </si>
  <si>
    <t>22697384</t>
  </si>
  <si>
    <t>GUTIERREZ TORNE EDNA MARGARITA</t>
  </si>
  <si>
    <t>GUT****** TOR** EDN* MAR******</t>
  </si>
  <si>
    <t>22697584</t>
  </si>
  <si>
    <t>RICO TORREGROZA ANA GRISELDA</t>
  </si>
  <si>
    <t>RIC* TOR******* ANA GRI*****</t>
  </si>
  <si>
    <t>22697757</t>
  </si>
  <si>
    <t>MEZA RAMOS MARIA DEL ROSARIO</t>
  </si>
  <si>
    <t>MEZ* RAM** MAR** DEL ROS****</t>
  </si>
  <si>
    <t>22697781</t>
  </si>
  <si>
    <t>NAVARRO CHAMORRO YOLEIDE DEL CARMEN</t>
  </si>
  <si>
    <t>NAV**** CHA***** YOL**** DEL CAR***</t>
  </si>
  <si>
    <t>22698000</t>
  </si>
  <si>
    <t>DE LA HOZ PACHECO ANA CECILIA</t>
  </si>
  <si>
    <t>DE LA HOZ PAC**** ANA CEC****</t>
  </si>
  <si>
    <t>22698074</t>
  </si>
  <si>
    <t>GARCIA FLOREZ YISEEL MARIA</t>
  </si>
  <si>
    <t>GAR*** FLO*** YIS*** MAR**</t>
  </si>
  <si>
    <t>22729166</t>
  </si>
  <si>
    <t>SANCHEZ ROA DUVINA ESTHER</t>
  </si>
  <si>
    <t>SAN**** ROA DUV*** EST***</t>
  </si>
  <si>
    <t>22733226</t>
  </si>
  <si>
    <t>MENDOZA MOLINA GREYS DEL ROSARIO</t>
  </si>
  <si>
    <t>MEN**** MOL*** GRE** DEL ROS****</t>
  </si>
  <si>
    <t>22733486</t>
  </si>
  <si>
    <t>MANGA MERCADO DIANA PATRICIA</t>
  </si>
  <si>
    <t>MAN** MER**** DIA** PAT*****</t>
  </si>
  <si>
    <t>22735237</t>
  </si>
  <si>
    <t>SOLANO CARRILLO CARMEN RAQUEL</t>
  </si>
  <si>
    <t>SOL*** CAR***** CAR*** RAQ***</t>
  </si>
  <si>
    <t>22739041</t>
  </si>
  <si>
    <t>NAVARRO ANAYA MARIA DEL CARMEN</t>
  </si>
  <si>
    <t>NAV**** ANA** MAR** DEL CAR***</t>
  </si>
  <si>
    <t>22745017</t>
  </si>
  <si>
    <t>CASTRO COLL OLGA ESTHER</t>
  </si>
  <si>
    <t>CAS*** COL* OLG* EST***</t>
  </si>
  <si>
    <t>22800795</t>
  </si>
  <si>
    <t>RAMOS PEREZ LUCEIDYS</t>
  </si>
  <si>
    <t>RAM** PER** LUC*****</t>
  </si>
  <si>
    <t>22803431</t>
  </si>
  <si>
    <t>QUINTANA LOPEZ YADIRA</t>
  </si>
  <si>
    <t>QUI***** LOP** YAD***</t>
  </si>
  <si>
    <t>22807409</t>
  </si>
  <si>
    <t>RANGEL RINALDI ISELA PAOLA</t>
  </si>
  <si>
    <t>RAN*** RIN**** ISE** PAO**</t>
  </si>
  <si>
    <t>22844316</t>
  </si>
  <si>
    <t>OSPINO SALAS CILSA ISABEL</t>
  </si>
  <si>
    <t>OSP*** SAL** CIL** ISA***</t>
  </si>
  <si>
    <t>22854682</t>
  </si>
  <si>
    <t>OCHOA HERRERA GICELA LUCIA</t>
  </si>
  <si>
    <t>OCH** HER**** GIC*** LUC**</t>
  </si>
  <si>
    <t>22955530</t>
  </si>
  <si>
    <t>GUTIERREZ CANTILLO BENILDA</t>
  </si>
  <si>
    <t>GUT****** CAN***** BEN****</t>
  </si>
  <si>
    <t>23011584</t>
  </si>
  <si>
    <t>CASAS LOPEZ NICOLASA BERNARDA</t>
  </si>
  <si>
    <t>CAS** LOP** NIC***** BER*****</t>
  </si>
  <si>
    <t>23074756</t>
  </si>
  <si>
    <t>DAVILA MEJIA SOLFANYS</t>
  </si>
  <si>
    <t>DAV*** MEJ** SOL*****</t>
  </si>
  <si>
    <t>23074802</t>
  </si>
  <si>
    <t>GARCES BELEÑO LEIDA DEL CARMEN</t>
  </si>
  <si>
    <t>GAR*** BEL*** LEI** DEL CAR***</t>
  </si>
  <si>
    <t>23074821</t>
  </si>
  <si>
    <t>MORALES TINOCO LENY MARIA</t>
  </si>
  <si>
    <t>MOR**** TIN*** LEN* MAR**</t>
  </si>
  <si>
    <t>23074898</t>
  </si>
  <si>
    <t>MARTINEZ PASTRAN IBETH</t>
  </si>
  <si>
    <t>MAR***** PAS**** IBE**</t>
  </si>
  <si>
    <t>23074965</t>
  </si>
  <si>
    <t>JIMENEZ RODRIGUEZ SEVERIANA</t>
  </si>
  <si>
    <t>JIM**** ROD****** SEV******</t>
  </si>
  <si>
    <t>23074966</t>
  </si>
  <si>
    <t>GARCES RANGEL SANDRA BEATRIZ</t>
  </si>
  <si>
    <t>GAR*** RAN*** SAN*** BEA****</t>
  </si>
  <si>
    <t>23075027</t>
  </si>
  <si>
    <t>MARTINEZ SIERRA INES</t>
  </si>
  <si>
    <t>MAR***** SIE*** INE*</t>
  </si>
  <si>
    <t>23075158</t>
  </si>
  <si>
    <t>CORTES MARTINEZ KETTY</t>
  </si>
  <si>
    <t>COR*** MAR***** KET**</t>
  </si>
  <si>
    <t>23075971</t>
  </si>
  <si>
    <t>PEREZ ROJAS ROSANA</t>
  </si>
  <si>
    <t>PER** ROJ** ROS***</t>
  </si>
  <si>
    <t>23114253</t>
  </si>
  <si>
    <t>GALAN MARTINEZ MILADIS ESTHER</t>
  </si>
  <si>
    <t>GAL** MAR***** MIL**** EST***</t>
  </si>
  <si>
    <t>23137371</t>
  </si>
  <si>
    <t>LICONA ARENAS AMELIA</t>
  </si>
  <si>
    <t>LIC*** ARE*** AME***</t>
  </si>
  <si>
    <t>23215566</t>
  </si>
  <si>
    <t>ATENCIA SIERRA CLAUDIA PATRICIA</t>
  </si>
  <si>
    <t>ATE**** SIE*** CLA**** PAT*****</t>
  </si>
  <si>
    <t>23779415</t>
  </si>
  <si>
    <t>FAJARDO VALENZUELA MARIA DEL PILAR</t>
  </si>
  <si>
    <t>FAJ**** VAL******* MAR** DEL PIL**</t>
  </si>
  <si>
    <t>23823964</t>
  </si>
  <si>
    <t>RODRIGUEZ PUERTO BLANCA MIREYA</t>
  </si>
  <si>
    <t>ROD****** PUE*** BLA*** MIR***</t>
  </si>
  <si>
    <t>23855006</t>
  </si>
  <si>
    <t>HERNANDEZ PAMPLONA ANA CELIA</t>
  </si>
  <si>
    <t>HER****** PAM***** ANA CEL**</t>
  </si>
  <si>
    <t>25852568</t>
  </si>
  <si>
    <t>DEL TORO RUIZ HELENA TERESA</t>
  </si>
  <si>
    <t>DEL TOR* RUI* HEL*** TER***</t>
  </si>
  <si>
    <t>26040284</t>
  </si>
  <si>
    <t>SOTO SOTO MARIA VICTORIA</t>
  </si>
  <si>
    <t>SOT* SOT* MAR** VIC*****</t>
  </si>
  <si>
    <t>26052269</t>
  </si>
  <si>
    <t>SANTOS ARGUMEDO ANA MERCEDES</t>
  </si>
  <si>
    <t>SAN*** ARG***** ANA MER*****</t>
  </si>
  <si>
    <t>26534811</t>
  </si>
  <si>
    <t>GARCIA SOLANO CIELO DEL ROCIO</t>
  </si>
  <si>
    <t>GAR*** SOL*** CIE** DEL ROC**</t>
  </si>
  <si>
    <t>26666478</t>
  </si>
  <si>
    <t>ESCOLAR GUARDO XIOMARA BEATRIZ</t>
  </si>
  <si>
    <t>ESC**** GUA*** XIO**** BEA****</t>
  </si>
  <si>
    <t>26666603</t>
  </si>
  <si>
    <t>MARTINEZ LUNA ROSA ELISA</t>
  </si>
  <si>
    <t>MAR***** LUN* ROS* ELI**</t>
  </si>
  <si>
    <t>26666762</t>
  </si>
  <si>
    <t>HORTA MIRANDA GIOVANNA PATRICIA</t>
  </si>
  <si>
    <t>HOR** MIR**** GIO***** PAT*****</t>
  </si>
  <si>
    <t>26668122</t>
  </si>
  <si>
    <t>BARROS VILORIA YANERIS ROSA</t>
  </si>
  <si>
    <t>BAR*** VIL**** YAN**** ROS*</t>
  </si>
  <si>
    <t>26668365</t>
  </si>
  <si>
    <t>POLO VUELVAS NERMIN LASTENIA</t>
  </si>
  <si>
    <t>POL* VUE**** NER*** LAS*****</t>
  </si>
  <si>
    <t>26668374</t>
  </si>
  <si>
    <t>FELIZZOLA MEDINA LUZ DARYS</t>
  </si>
  <si>
    <t>FEL****** MED*** LUZ DAR**</t>
  </si>
  <si>
    <t>26668468</t>
  </si>
  <si>
    <t>RUEDA ROA JULIA VERONICA</t>
  </si>
  <si>
    <t>RUE** ROA JUL** VER*****</t>
  </si>
  <si>
    <t>26669913</t>
  </si>
  <si>
    <t>SOLANO MINDIOLA IROMALDI</t>
  </si>
  <si>
    <t>SOL*** MIN***** IRO*****</t>
  </si>
  <si>
    <t>26670692</t>
  </si>
  <si>
    <t>ECHEVERRY MORENO ADRIANA CAROLINA</t>
  </si>
  <si>
    <t>ECH****** MOR*** ADR**** CAR*****</t>
  </si>
  <si>
    <t>26670993</t>
  </si>
  <si>
    <t>HERRERA UTRIA KATY LUZ</t>
  </si>
  <si>
    <t>HER**** UTR** KAT* LUZ</t>
  </si>
  <si>
    <t>26671577</t>
  </si>
  <si>
    <t>MORENO RUIDIAZ SANDRA MILENA</t>
  </si>
  <si>
    <t>MOR*** RUI**** SAN*** MIL***</t>
  </si>
  <si>
    <t>26671653</t>
  </si>
  <si>
    <t>DANIEL HINCAPIE INGER JOHANA</t>
  </si>
  <si>
    <t>DAN*** HIN***** ING** JOH***</t>
  </si>
  <si>
    <t>26688393</t>
  </si>
  <si>
    <t>ISEDA OLIVE SARA ELENA</t>
  </si>
  <si>
    <t>ISE** OLI** SAR* ELE**</t>
  </si>
  <si>
    <t>26688438</t>
  </si>
  <si>
    <t>LARA DE LA ROSA MARIA DEL ROSARIO</t>
  </si>
  <si>
    <t>LAR* DE LA ROS* MAR** DEL ROS****</t>
  </si>
  <si>
    <t>26688439</t>
  </si>
  <si>
    <t>LARA DE LA ROSA LEONOR MARINA</t>
  </si>
  <si>
    <t>LAR* DE LA ROS* LEO*** MAR***</t>
  </si>
  <si>
    <t>26688552</t>
  </si>
  <si>
    <t>PEDROZA ACOSTA FABIOLA</t>
  </si>
  <si>
    <t>7</t>
  </si>
  <si>
    <t>PED**** ACO*** FAB****</t>
  </si>
  <si>
    <t>26688673</t>
  </si>
  <si>
    <t>PEREZ PASCUALES BLASINA TRINIDAD</t>
  </si>
  <si>
    <t>PER** PAS****** BLA**** TRI*****</t>
  </si>
  <si>
    <t>26688757</t>
  </si>
  <si>
    <t>GAMEZ BERRIO VICTORIA DE LA CRUZ</t>
  </si>
  <si>
    <t>GAM** BER*** VIC***** DE LA CRU*</t>
  </si>
  <si>
    <t>26688774</t>
  </si>
  <si>
    <t>FLORIDO DE PEREZ MARIA CIELO</t>
  </si>
  <si>
    <t>FLO**** DE PER** MAR** CIE**</t>
  </si>
  <si>
    <t>26688805</t>
  </si>
  <si>
    <t>BARRAZA VARGAS MARTHA DE JESUS</t>
  </si>
  <si>
    <t>BAR**** VAR*** MAR*** DE JES**</t>
  </si>
  <si>
    <t>26688824</t>
  </si>
  <si>
    <t>BARRIOS MARTINEZ ELDA SOFIA</t>
  </si>
  <si>
    <t>BAR**** MAR***** ELD* SOF**</t>
  </si>
  <si>
    <t>26688829</t>
  </si>
  <si>
    <t>PERTUZ CABARCAS LUZ MARINA</t>
  </si>
  <si>
    <t>PER*** CAB***** LUZ MAR***</t>
  </si>
  <si>
    <t>26688837</t>
  </si>
  <si>
    <t>LACERA ESCALANTE MARIA EVELIS</t>
  </si>
  <si>
    <t>LAC*** ESC****** MAR** EVE***</t>
  </si>
  <si>
    <t>26688865</t>
  </si>
  <si>
    <t>GONZALEZ NARVAEZ CELIA MATILDE</t>
  </si>
  <si>
    <t>GON***** NAR**** CEL** MAT****</t>
  </si>
  <si>
    <t>26688883</t>
  </si>
  <si>
    <t>JIMENEZ VERGARA ESTHER JUDITH</t>
  </si>
  <si>
    <t>JIM**** VER**** EST*** JUD***</t>
  </si>
  <si>
    <t>26688903</t>
  </si>
  <si>
    <t>HERRERA GONZALEZ NERIS MERCEDES</t>
  </si>
  <si>
    <t>HER**** GON***** NER** MER*****</t>
  </si>
  <si>
    <t>26688923</t>
  </si>
  <si>
    <t>POLO CAMARGO MARTHA LUZ</t>
  </si>
  <si>
    <t>POL* CAM**** MAR*** LUZ</t>
  </si>
  <si>
    <t>26688953</t>
  </si>
  <si>
    <t>HERNANDEZ HERNANDEZ MARIA DEL CARMEN</t>
  </si>
  <si>
    <t>HER****** HER****** MAR** DEL CAR***</t>
  </si>
  <si>
    <t>26688969</t>
  </si>
  <si>
    <t>ELLIS ESCORCIA CANDELARIA</t>
  </si>
  <si>
    <t>ELL** ESC***** CAN*******</t>
  </si>
  <si>
    <t>26689000</t>
  </si>
  <si>
    <t>GUTIERREZ DIAZ JOSEFA</t>
  </si>
  <si>
    <t>GUT****** DIA* JOS***</t>
  </si>
  <si>
    <t>26689006</t>
  </si>
  <si>
    <t>BAYENA ZAMBRANO GLORIA YANETT</t>
  </si>
  <si>
    <t>BAY*** ZAM***** GLO*** YAN***</t>
  </si>
  <si>
    <t>26689009</t>
  </si>
  <si>
    <t>BARLETTA NOGUERA YOMAIRA ESTHER</t>
  </si>
  <si>
    <t>BAR***** NOG**** YOM**** EST***</t>
  </si>
  <si>
    <t>26689054</t>
  </si>
  <si>
    <t>LIÑAN POLO HIMELDA ISABEL</t>
  </si>
  <si>
    <t>LIÑ** POL* HIM**** ISA***</t>
  </si>
  <si>
    <t>26689072</t>
  </si>
  <si>
    <t>LARA DE LA ROSA SARA MERCEDES</t>
  </si>
  <si>
    <t>LAR* DE LA ROS* SAR* MER*****</t>
  </si>
  <si>
    <t>26689117</t>
  </si>
  <si>
    <t>HATUM DE FLORIDO DEJER DEL SOCORRO</t>
  </si>
  <si>
    <t>HAT** DE FLO**** DEJ** DEL SOC****</t>
  </si>
  <si>
    <t>26689127</t>
  </si>
  <si>
    <t>AYALA GONZALEZ MARTHA ZORAIDA</t>
  </si>
  <si>
    <t>AYA** GON***** MAR*** ZOR****</t>
  </si>
  <si>
    <t>26689128</t>
  </si>
  <si>
    <t>CASTILLO CUEVA GILMA ROSA</t>
  </si>
  <si>
    <t>CAS***** CUE** GIL** ROS*</t>
  </si>
  <si>
    <t>26689133</t>
  </si>
  <si>
    <t>POLO RODRIGUEZ MARIA ELENA</t>
  </si>
  <si>
    <t>POL* ROD****** MAR** ELE**</t>
  </si>
  <si>
    <t>26689201</t>
  </si>
  <si>
    <t>GONZALEZ CABEZA JUDITH YANETH</t>
  </si>
  <si>
    <t>GON***** CAB*** JUD*** YAN***</t>
  </si>
  <si>
    <t>26689204</t>
  </si>
  <si>
    <t>BROCHERO OSPINO ENA MARGARITA</t>
  </si>
  <si>
    <t>BRO***** OSP*** ENA MAR******</t>
  </si>
  <si>
    <t>26689219</t>
  </si>
  <si>
    <t>BAHOQUEZ DAZA OROSIA ISABEL</t>
  </si>
  <si>
    <t>BAH***** DAZ* ORO*** ISA***</t>
  </si>
  <si>
    <t>26689263</t>
  </si>
  <si>
    <t>PALACIO MAESTRE YUDIS MARIA</t>
  </si>
  <si>
    <t>PAL**** MAE**** YUD** MAR**</t>
  </si>
  <si>
    <t>26689266</t>
  </si>
  <si>
    <t>OSORIO CERVANTES GLORIA ISABEL</t>
  </si>
  <si>
    <t>OSO*** CER****** GLO*** ISA***</t>
  </si>
  <si>
    <t>26689280</t>
  </si>
  <si>
    <t>MEJIA BROCHERO MARIA CONCEPCION</t>
  </si>
  <si>
    <t>MEJ** BRO***** MAR** CON*******</t>
  </si>
  <si>
    <t>26689285</t>
  </si>
  <si>
    <t>CHARRIS GRANADOS YOLANDA BEATRIZ</t>
  </si>
  <si>
    <t>CHA**** GRA***** YOL**** BEA****</t>
  </si>
  <si>
    <t>26689308</t>
  </si>
  <si>
    <t>CASTRO POLO YOLIMA DEL CARMEN</t>
  </si>
  <si>
    <t>CAS*** POL* YOL*** DEL CAR***</t>
  </si>
  <si>
    <t>26689341</t>
  </si>
  <si>
    <t>REALES SIMANCA DENIS MARIA</t>
  </si>
  <si>
    <t>REA*** SIM**** DEN** MAR**</t>
  </si>
  <si>
    <t>26689342</t>
  </si>
  <si>
    <t>GUTIERREZ DIAZ ANA BEATRIZ</t>
  </si>
  <si>
    <t>GUT****** DIA* ANA BEA****</t>
  </si>
  <si>
    <t>26689363</t>
  </si>
  <si>
    <t>ARRIETA DUARTE OMAIDA LIDA</t>
  </si>
  <si>
    <t>ARR**** DUA*** OMA*** LID*</t>
  </si>
  <si>
    <t>26689381</t>
  </si>
  <si>
    <t>POLO LINDADO ESPERANZA LUCIA</t>
  </si>
  <si>
    <t>POL* LIN**** ESP****** LUC**</t>
  </si>
  <si>
    <t>26689398</t>
  </si>
  <si>
    <t>JIMENEZ CUEVAS ZULYS AMPARO</t>
  </si>
  <si>
    <t>JIM**** CUE*** ZUL** AMP***</t>
  </si>
  <si>
    <t>26689413</t>
  </si>
  <si>
    <t>MORA DE MARTINEZ ABIGAIL MARIA</t>
  </si>
  <si>
    <t>MOR* DE MAR***** ABI**** MAR**</t>
  </si>
  <si>
    <t>26689418</t>
  </si>
  <si>
    <t>CORREA SANCHEZ HENA MARINA</t>
  </si>
  <si>
    <t>COR*** SAN**** HEN* MAR***</t>
  </si>
  <si>
    <t>26689505</t>
  </si>
  <si>
    <t>JACOB CERVANTES IGNACIA CECILIA</t>
  </si>
  <si>
    <t>JAC** CER****** IGN**** CEC****</t>
  </si>
  <si>
    <t>26689525</t>
  </si>
  <si>
    <t>BUITRAGO CABALLERO EPIMENIA ESTHER</t>
  </si>
  <si>
    <t>BUI***** CAB****** EPI***** EST***</t>
  </si>
  <si>
    <t>26689595</t>
  </si>
  <si>
    <t>ESCORCIA MORGAN CARMEN CECILIA</t>
  </si>
  <si>
    <t>ESC***** MOR*** CAR*** CEC****</t>
  </si>
  <si>
    <t>26689612</t>
  </si>
  <si>
    <t>JARAMILLO ESCALANTE PIEDAD MARINA</t>
  </si>
  <si>
    <t>JAR****** ESC****** PIE*** MAR***</t>
  </si>
  <si>
    <t>26689677</t>
  </si>
  <si>
    <t>MERCADO MORENO TAIS DELIA</t>
  </si>
  <si>
    <t>MER**** MOR*** TAI* DEL**</t>
  </si>
  <si>
    <t>26689684</t>
  </si>
  <si>
    <t>POLO LINDADO HELDA LUZ</t>
  </si>
  <si>
    <t>POL* LIN**** HEL** LUZ</t>
  </si>
  <si>
    <t>26689735</t>
  </si>
  <si>
    <t>GUILLEN VILLAMIL DIONISIA</t>
  </si>
  <si>
    <t>GUI**** VIL***** DIO*****</t>
  </si>
  <si>
    <t>26689766</t>
  </si>
  <si>
    <t>PIZARRO GUILLEN AIBED MARIA</t>
  </si>
  <si>
    <t>PIZ**** GUI**** AIB** MAR**</t>
  </si>
  <si>
    <t>26689767</t>
  </si>
  <si>
    <t>ARIAS CRUZ JAQUELINE DEL SOCORRO</t>
  </si>
  <si>
    <t>ARI** CRU* JAQ****** DEL SOC****</t>
  </si>
  <si>
    <t>26689846</t>
  </si>
  <si>
    <t>OÑATE BRUJES OLFA MARINA</t>
  </si>
  <si>
    <t>OÑA** BRU*** OLF* MAR***</t>
  </si>
  <si>
    <t>26689926</t>
  </si>
  <si>
    <t>FONSECA BROCHERO ARELIS MARIA</t>
  </si>
  <si>
    <t>FON**** BRO***** ARE*** MAR**</t>
  </si>
  <si>
    <t>26689994</t>
  </si>
  <si>
    <t>CUEVA GUTIERREZ ANA LUZ</t>
  </si>
  <si>
    <t>CUE** GUT****** ANA LUZ</t>
  </si>
  <si>
    <t>26690821</t>
  </si>
  <si>
    <t>LONDOÑO BARRAZA SIXTA TULIA</t>
  </si>
  <si>
    <t>LON**** BAR**** SIX** TUL**</t>
  </si>
  <si>
    <t>26690900</t>
  </si>
  <si>
    <t>SUAREZ BONETT EMILSE SORID</t>
  </si>
  <si>
    <t>SUA*** BON*** EMI*** SOR**</t>
  </si>
  <si>
    <t>26690956</t>
  </si>
  <si>
    <t>MARTINEZ MADERO SOFI ROCIO</t>
  </si>
  <si>
    <t>MAR***** MAD*** SOF* ROC**</t>
  </si>
  <si>
    <t>26690960</t>
  </si>
  <si>
    <t>PEREZ GOMEZ NIDIA ESTHER</t>
  </si>
  <si>
    <t>PER** GOM** NID** EST***</t>
  </si>
  <si>
    <t>26692472</t>
  </si>
  <si>
    <t>PEREZ AVILA NANCY MARIA</t>
  </si>
  <si>
    <t>PER** AVI** NAN** MAR**</t>
  </si>
  <si>
    <t>26692486</t>
  </si>
  <si>
    <t>CABANA FERRER AURA PETRA</t>
  </si>
  <si>
    <t>CAB*** FER*** AUR* PET**</t>
  </si>
  <si>
    <t>26693797</t>
  </si>
  <si>
    <t>FLOREZ FLOREZ VIALIS HORTENCIA</t>
  </si>
  <si>
    <t>FLO*** FLO*** VIA*** HOR******</t>
  </si>
  <si>
    <t>26693886</t>
  </si>
  <si>
    <t>ALVAREZ SILVA NAYDA ESTHER</t>
  </si>
  <si>
    <t>ALV**** SIL** NAY** EST***</t>
  </si>
  <si>
    <t>26693992</t>
  </si>
  <si>
    <t>CASTRO CANTILLO ROCIO DEL PILAR</t>
  </si>
  <si>
    <t>CAS*** CAN***** ROC** DEL PIL**</t>
  </si>
  <si>
    <t>26694074</t>
  </si>
  <si>
    <t>HERNANDEZ ORTIZ MERIDES ESTHER</t>
  </si>
  <si>
    <t>HER****** ORT** MER**** EST***</t>
  </si>
  <si>
    <t>26694146</t>
  </si>
  <si>
    <t>RODRIGUEZ CABRERA JEANNETTE CECILIA</t>
  </si>
  <si>
    <t>ROD****** CAB**** JEA****** CEC****</t>
  </si>
  <si>
    <t>26694226</t>
  </si>
  <si>
    <t>RAMOS MEZA ROSMARY</t>
  </si>
  <si>
    <t>RAM** MEZ* ROS****</t>
  </si>
  <si>
    <t>26694306</t>
  </si>
  <si>
    <t>RAMOS JIMENEZ LICETH MARGARITA</t>
  </si>
  <si>
    <t>RAM** JIM**** LIC*** MAR******</t>
  </si>
  <si>
    <t>26694348</t>
  </si>
  <si>
    <t>MOSQUERA CARRILLO YUSMIRY CECILIA</t>
  </si>
  <si>
    <t>MOS***** CAR***** YUS**** CEC****</t>
  </si>
  <si>
    <t>26694378</t>
  </si>
  <si>
    <t>SALGADO CASTRO AMANDA DE LOS MILAGROS</t>
  </si>
  <si>
    <t>SAL**** CAS*** AMA*** DE LOS MIL*****</t>
  </si>
  <si>
    <t>26694393</t>
  </si>
  <si>
    <t>COBA DE AGUAS EPIFANIA MARIA</t>
  </si>
  <si>
    <t>COB* DE AGU** EPI***** MAR**</t>
  </si>
  <si>
    <t>26694397</t>
  </si>
  <si>
    <t>FLOREZ FLOREZ VILMAIDE ESTHER</t>
  </si>
  <si>
    <t>FLO*** FLO*** VIL***** EST***</t>
  </si>
  <si>
    <t>26694405</t>
  </si>
  <si>
    <t>RODRIGUEZ CARRILLO ROCIO DEL PILAR</t>
  </si>
  <si>
    <t>ROD****** CAR***** ROC** DEL PIL**</t>
  </si>
  <si>
    <t>26694407</t>
  </si>
  <si>
    <t>ALVAREZ BARRIOS MARITZA ESTHER</t>
  </si>
  <si>
    <t>ALV**** BAR**** MAR**** EST***</t>
  </si>
  <si>
    <t>26694411</t>
  </si>
  <si>
    <t>RAMOS BERDUGO ALBY ROSA</t>
  </si>
  <si>
    <t>RAM** BER**** ALB* ROS*</t>
  </si>
  <si>
    <t>26694425</t>
  </si>
  <si>
    <t>BORJA MEZA ELEUTERIA MARIA</t>
  </si>
  <si>
    <t>BOR** MEZ* ELE****** MAR**</t>
  </si>
  <si>
    <t>26694464</t>
  </si>
  <si>
    <t>CERVERA FERNANDEZ CARMEN MARIA</t>
  </si>
  <si>
    <t>CER**** FER****** CAR*** MAR**</t>
  </si>
  <si>
    <t>26694479</t>
  </si>
  <si>
    <t>CARRILLO VILLAR ASTRID RAQUEL</t>
  </si>
  <si>
    <t>CAR***** VIL*** AST*** RAQ***</t>
  </si>
  <si>
    <t>26694589</t>
  </si>
  <si>
    <t>DE LA HOZ DE LA HOZ DAMIANA ROSA</t>
  </si>
  <si>
    <t>DE LA HOZ DE LA HOZ DAM**** ROS*</t>
  </si>
  <si>
    <t>26694655</t>
  </si>
  <si>
    <t>RIQUETT RAMBAL MARIA DEL ROSARIO</t>
  </si>
  <si>
    <t>RIQ**** RAM*** MAR** DEL ROS****</t>
  </si>
  <si>
    <t>26694659</t>
  </si>
  <si>
    <t>BARRIOS ALVAREZ DUNNIS DANELIS</t>
  </si>
  <si>
    <t>BAR**** ALV**** DUN*** DAN****</t>
  </si>
  <si>
    <t>26694695</t>
  </si>
  <si>
    <t>DIAZ ISAZA ISOLINA ESTHER</t>
  </si>
  <si>
    <t>DIA* ISA** ISO**** EST***</t>
  </si>
  <si>
    <t>26694701</t>
  </si>
  <si>
    <t>MUÑOZ RODRIGUEZ JADINIS MARGARITA</t>
  </si>
  <si>
    <t>MUÑ** ROD****** JAD**** MAR******</t>
  </si>
  <si>
    <t>26694718</t>
  </si>
  <si>
    <t>FONTALVO ARAGON EDILDA AMPARO</t>
  </si>
  <si>
    <t>FON***** ARA*** EDI*** AMP***</t>
  </si>
  <si>
    <t>26694727</t>
  </si>
  <si>
    <t>RODRIGUEZ CARRILLO PIEDAD MARIA</t>
  </si>
  <si>
    <t>ROD****** CAR***** PIE*** MAR**</t>
  </si>
  <si>
    <t>26694815</t>
  </si>
  <si>
    <t>ALFARO MARTINEZ MARTHA CECILIA</t>
  </si>
  <si>
    <t>ALF*** MAR***** MAR*** CEC****</t>
  </si>
  <si>
    <t>26694936</t>
  </si>
  <si>
    <t>DE LEON DIAZ ANA ISABEL</t>
  </si>
  <si>
    <t>DE LEO* DIA* ANA ISA***</t>
  </si>
  <si>
    <t>26695010</t>
  </si>
  <si>
    <t>CERA POLO AMINTA ISABEL</t>
  </si>
  <si>
    <t>CER* POL* AMI*** ISA***</t>
  </si>
  <si>
    <t>26695114</t>
  </si>
  <si>
    <t>CARRILLO DIAZ NASLY YANETH</t>
  </si>
  <si>
    <t>CAR***** DIA* NAS** YAN***</t>
  </si>
  <si>
    <t>26695139</t>
  </si>
  <si>
    <t>RAMOS DIAZ AMELIA ESTHER</t>
  </si>
  <si>
    <t>RAM** DIA* AME*** EST***</t>
  </si>
  <si>
    <t>26697831</t>
  </si>
  <si>
    <t>FLOREZ DIAZ HANNOVER BELKIS</t>
  </si>
  <si>
    <t>FLO*** DIA* HAN***** BEL***</t>
  </si>
  <si>
    <t>26697835</t>
  </si>
  <si>
    <t>CARRILLO VILLAR YUBIS PATRICIA</t>
  </si>
  <si>
    <t>CAR***** VIL*** YUB** PAT*****</t>
  </si>
  <si>
    <t>26699597</t>
  </si>
  <si>
    <t>VASQUEZ POLO VILMA VICTORIA</t>
  </si>
  <si>
    <t>VAS**** POL* VIL** VIC*****</t>
  </si>
  <si>
    <t>26699618</t>
  </si>
  <si>
    <t>OSPINO BARRIOS CANDELARIA ISABEL</t>
  </si>
  <si>
    <t>OSP*** BAR**** CAN******* ISA***</t>
  </si>
  <si>
    <t>26699650</t>
  </si>
  <si>
    <t>JIMENEZ ORTEGA NURIS MARINA</t>
  </si>
  <si>
    <t>JIM**** ORT*** NUR** MAR***</t>
  </si>
  <si>
    <t>26699695</t>
  </si>
  <si>
    <t>CAMACHO PERALTA CANDELARIA</t>
  </si>
  <si>
    <t>CAM**** PER**** CAN*******</t>
  </si>
  <si>
    <t>26699738</t>
  </si>
  <si>
    <t>TORNE CASTAÑEDA YOLVYS YOLANDA</t>
  </si>
  <si>
    <t>TOR** CAS****** YOL*** YOL****</t>
  </si>
  <si>
    <t>26699826</t>
  </si>
  <si>
    <t>THORNE CASTRO BERTA MARIA</t>
  </si>
  <si>
    <t>THO*** CAS*** BER** MAR**</t>
  </si>
  <si>
    <t>26712914</t>
  </si>
  <si>
    <t>GUERRA MERCADO MARIA CONCEPCION</t>
  </si>
  <si>
    <t>GUE*** MER**** MAR** CON*******</t>
  </si>
  <si>
    <t>26712949</t>
  </si>
  <si>
    <t>AGUILAR LARA ADELAIDA MARIA</t>
  </si>
  <si>
    <t>AGU**** LAR* ADE***** MAR**</t>
  </si>
  <si>
    <t>26713035</t>
  </si>
  <si>
    <t>LIGARDO OCAMPO BRIGIDA ELENA</t>
  </si>
  <si>
    <t>LIG**** OCA*** BRI**** ELE**</t>
  </si>
  <si>
    <t>26713101</t>
  </si>
  <si>
    <t>OÑATE QUINTERO MARTHA MARIA</t>
  </si>
  <si>
    <t>OÑA** QUI***** MAR*** MAR**</t>
  </si>
  <si>
    <t>26713123</t>
  </si>
  <si>
    <t>THOMAS GONZALEZ XIOMARA</t>
  </si>
  <si>
    <t>THO*** GON***** XIO****</t>
  </si>
  <si>
    <t>26713214</t>
  </si>
  <si>
    <t>PINO MARTINEZ ANA JULIA</t>
  </si>
  <si>
    <t>PIN* MAR***** ANA JUL**</t>
  </si>
  <si>
    <t>26713319</t>
  </si>
  <si>
    <t>ESCALANTE ANAYA ZULEIMA BEATRIZ</t>
  </si>
  <si>
    <t>ESC****** ANA** ZUL**** BEA****</t>
  </si>
  <si>
    <t>26713324</t>
  </si>
  <si>
    <t>MADRID TOVAR MARISOL</t>
  </si>
  <si>
    <t>MAD*** TOV** MAR****</t>
  </si>
  <si>
    <t>26713393</t>
  </si>
  <si>
    <t>GUERRA MERCADO DEICY ISABEL</t>
  </si>
  <si>
    <t>GUE*** MER**** DEI** ISA***</t>
  </si>
  <si>
    <t>26713397</t>
  </si>
  <si>
    <t>CACERES DURAN LICETH MARIA</t>
  </si>
  <si>
    <t>CAC**** DUR** LIC*** MAR**</t>
  </si>
  <si>
    <t>26713425</t>
  </si>
  <si>
    <t>ARRIETA CANTILLO OMAIRA SOFIA</t>
  </si>
  <si>
    <t>ARR**** CAN***** OMA*** SOF**</t>
  </si>
  <si>
    <t>26713442</t>
  </si>
  <si>
    <t>OSPINO ANGARITA MYRIAM ESTHER</t>
  </si>
  <si>
    <t>OSP*** ANG***** MYR*** EST***</t>
  </si>
  <si>
    <t>26713445</t>
  </si>
  <si>
    <t>ANAYA LARA MARTHA</t>
  </si>
  <si>
    <t>ANA** LAR* MAR***</t>
  </si>
  <si>
    <t>26717452</t>
  </si>
  <si>
    <t>OROZCO YOMAIRA MARTINA</t>
  </si>
  <si>
    <t>ORO*** YOM**** MAR****</t>
  </si>
  <si>
    <t>26717653</t>
  </si>
  <si>
    <t>BARBOSA MELENDEZ JENNY MARIA</t>
  </si>
  <si>
    <t>BAR**** MEL***** JEN** MAR**</t>
  </si>
  <si>
    <t>26717722</t>
  </si>
  <si>
    <t>MONTAÑO BOLAÑO DUBIS ESTHER</t>
  </si>
  <si>
    <t>MON**** BOL*** DUB** EST***</t>
  </si>
  <si>
    <t>26717772</t>
  </si>
  <si>
    <t>JULIO ALVAREZ ARELIS ESTER</t>
  </si>
  <si>
    <t>JUL** ALV**** ARE*** EST**</t>
  </si>
  <si>
    <t>26717906</t>
  </si>
  <si>
    <t>FERNANDEZ CANTILLO NANCY ESTHER</t>
  </si>
  <si>
    <t>FER****** CAN***** NAN** EST***</t>
  </si>
  <si>
    <t>26719423</t>
  </si>
  <si>
    <t>CABALLERO CALDERON LUZ ESTELA</t>
  </si>
  <si>
    <t>CAB****** CAL***** LUZ EST***</t>
  </si>
  <si>
    <t>26719630</t>
  </si>
  <si>
    <t>JIMENEZ MOLINA CELINDA</t>
  </si>
  <si>
    <t>JIM**** MOL*** CEL****</t>
  </si>
  <si>
    <t>26719702</t>
  </si>
  <si>
    <t>BARRAZA JIMENEZ ALBA PATRICIA</t>
  </si>
  <si>
    <t>BAR**** JIM**** ALB* PAT*****</t>
  </si>
  <si>
    <t>26719822</t>
  </si>
  <si>
    <t>GONZALES PAREJO MARELBIS MILETH</t>
  </si>
  <si>
    <t>GON***** PAR*** MAR***** MIL***</t>
  </si>
  <si>
    <t>26719889</t>
  </si>
  <si>
    <t>FLOREZ MARTINEZ YENIS BEATRIZ</t>
  </si>
  <si>
    <t>FLO*** MAR***** YEN** BEA****</t>
  </si>
  <si>
    <t>26719946</t>
  </si>
  <si>
    <t>PISCIOTTI OROZCO ELIZABETH</t>
  </si>
  <si>
    <t>PIS****** ORO*** ELI******</t>
  </si>
  <si>
    <t>26719989</t>
  </si>
  <si>
    <t>ROJAS TETE LORENA PATRICIA</t>
  </si>
  <si>
    <t>ROJ** TET* LOR*** PAT*****</t>
  </si>
  <si>
    <t>26728872</t>
  </si>
  <si>
    <t>RUIZ OSPINO YISELA VANESSA</t>
  </si>
  <si>
    <t>RUI* OSP*** YIS*** VAN****</t>
  </si>
  <si>
    <t>26747409</t>
  </si>
  <si>
    <t>OSPINO BERRUECOS PURA ISABEL</t>
  </si>
  <si>
    <t>OSP*** BER****** PUR* ISA***</t>
  </si>
  <si>
    <t>26758762</t>
  </si>
  <si>
    <t>DE LA HOZ DE LA HOZ MIREYA LUCIA</t>
  </si>
  <si>
    <t>DE LA HOZ DE LA HOZ MIR*** LUC**</t>
  </si>
  <si>
    <t>26758835</t>
  </si>
  <si>
    <t>GONZALEZ MARGARITA ROSA</t>
  </si>
  <si>
    <t>GON***** MAR****** ROS*</t>
  </si>
  <si>
    <t>26758852</t>
  </si>
  <si>
    <t>MADRID GARCIA DORIS MARIA</t>
  </si>
  <si>
    <t>MAD*** GAR*** DOR** MAR**</t>
  </si>
  <si>
    <t>26759403</t>
  </si>
  <si>
    <t>PERTUZ CANTILLO VICTORIA MERCEDES</t>
  </si>
  <si>
    <t>PER*** CAN***** VIC***** MER*****</t>
  </si>
  <si>
    <t>26759422</t>
  </si>
  <si>
    <t>VIZCAINO RODRIGUEZ LIDIA MARINA</t>
  </si>
  <si>
    <t>VIZ***** ROD****** LID** MAR***</t>
  </si>
  <si>
    <t>26759441</t>
  </si>
  <si>
    <t>MIRANDA QUEVEDO CARMEN ALICIA</t>
  </si>
  <si>
    <t>MIR**** QUE**** CAR*** ALI***</t>
  </si>
  <si>
    <t>26759482</t>
  </si>
  <si>
    <t>ACUÑA CAMACHO ROSINA ESTHER</t>
  </si>
  <si>
    <t>ACU** CAM**** ROS*** EST***</t>
  </si>
  <si>
    <t>26759595</t>
  </si>
  <si>
    <t>OROZCO OSPINO LUZ MARINA</t>
  </si>
  <si>
    <t>ORO*** OSP*** LUZ MAR***</t>
  </si>
  <si>
    <t>26759689</t>
  </si>
  <si>
    <t>GUERRA MORELLI OMAIRA</t>
  </si>
  <si>
    <t>GUE*** MOR**** OMA***</t>
  </si>
  <si>
    <t>26759711</t>
  </si>
  <si>
    <t>MERCADO BOCANEGRA MARIA CATALINA</t>
  </si>
  <si>
    <t>MER**** BOC****** MAR** CAT*****</t>
  </si>
  <si>
    <t>26759806</t>
  </si>
  <si>
    <t>SIERRA DE LA ESPRIELLA RUBY DEL CARMEN</t>
  </si>
  <si>
    <t>SIE*** DE LA ESP****** RUB* DEL CAR***</t>
  </si>
  <si>
    <t>26759860</t>
  </si>
  <si>
    <t>PALLARES OROZCO MARITZA ISABEL</t>
  </si>
  <si>
    <t>PAL***** ORO*** MAR**** ISA***</t>
  </si>
  <si>
    <t>26759900</t>
  </si>
  <si>
    <t>LOBO BATISTA MERCEDES JACINTA</t>
  </si>
  <si>
    <t>LOB* BAT**** MER***** JAC****</t>
  </si>
  <si>
    <t>26759962</t>
  </si>
  <si>
    <t>ROJAS DE LA CURZ AURI STELLA</t>
  </si>
  <si>
    <t>ROJ** DE LA CUR* AUR* STE***</t>
  </si>
  <si>
    <t>26761212</t>
  </si>
  <si>
    <t>HERNANDEZ MARTINEZ DELMIRA MARIA</t>
  </si>
  <si>
    <t>HER****** MAR***** DEL**** MAR**</t>
  </si>
  <si>
    <t>26761332</t>
  </si>
  <si>
    <t>FONTALVO BARRIOS AYDA LUZ</t>
  </si>
  <si>
    <t>FON***** BAR**** AYD* LUZ</t>
  </si>
  <si>
    <t>26761353</t>
  </si>
  <si>
    <t>RADA MENDOZA LISBETH MARIA</t>
  </si>
  <si>
    <t>RAD* MEN**** LIS**** MAR**</t>
  </si>
  <si>
    <t>26761433</t>
  </si>
  <si>
    <t>VELASQUEZ CHARRIS ZENITH</t>
  </si>
  <si>
    <t>VEL****** CHA**** ZEN***</t>
  </si>
  <si>
    <t>26761475</t>
  </si>
  <si>
    <t>SANTANDER CHIQUILLO IVIS MARIA</t>
  </si>
  <si>
    <t>SAN****** CHI****** IVI* MAR**</t>
  </si>
  <si>
    <t>26761542</t>
  </si>
  <si>
    <t>DE LA CRUZ TEHERAN INGRITH JOHONA</t>
  </si>
  <si>
    <t>DE LA CRU* TEH**** ING**** JOH***</t>
  </si>
  <si>
    <t>26761565</t>
  </si>
  <si>
    <t>MARTINEZ ALMEYDA MONICA MARIA</t>
  </si>
  <si>
    <t>MAR***** ALM**** MON*** MAR**</t>
  </si>
  <si>
    <t>26761639</t>
  </si>
  <si>
    <t>RODRIGUEZ LOPEZ KELLY ISABEL</t>
  </si>
  <si>
    <t>ROD****** LOP** KEL** ISA***</t>
  </si>
  <si>
    <t>26761660</t>
  </si>
  <si>
    <t>CARMONA CANTILLO AMADA VICTORIA</t>
  </si>
  <si>
    <t>CAR**** CAN***** AMA** VIC*****</t>
  </si>
  <si>
    <t>26761878</t>
  </si>
  <si>
    <t>EBRAT CARR SHIRLEY</t>
  </si>
  <si>
    <t>EBR** CAR* SHI****</t>
  </si>
  <si>
    <t>26761907</t>
  </si>
  <si>
    <t>CURIEL AMASTHA CAROLINA MILEN</t>
  </si>
  <si>
    <t>CUR*** AMA**** CAR***** MIL**</t>
  </si>
  <si>
    <t>26761927</t>
  </si>
  <si>
    <t>GUETTE OROZCO CARMEN NAYETH</t>
  </si>
  <si>
    <t>GUE*** ORO*** CAR*** NAY***</t>
  </si>
  <si>
    <t>26761952</t>
  </si>
  <si>
    <t>SANTANDER CHIQUILLO ANA MILADIS</t>
  </si>
  <si>
    <t>SAN****** CHI****** ANA MIL****</t>
  </si>
  <si>
    <t>26761956</t>
  </si>
  <si>
    <t>NIGRINIS OROZCO CARMEN ALICIA</t>
  </si>
  <si>
    <t>NIG***** ORO*** CAR*** ALI***</t>
  </si>
  <si>
    <t>26762492</t>
  </si>
  <si>
    <t>SUBIROZ CALABRIA TRANQUILINA BEATRIZ</t>
  </si>
  <si>
    <t>SUB**** CAL***** TRA******** BEA****</t>
  </si>
  <si>
    <t>26762901</t>
  </si>
  <si>
    <t>ANDRADE CASTILLO MILAGRO</t>
  </si>
  <si>
    <t>AND**** CAS***** MIL****</t>
  </si>
  <si>
    <t>26762912</t>
  </si>
  <si>
    <t>CASTILLO RODRIGUEZ MILEIDA YISETH</t>
  </si>
  <si>
    <t>CAS***** ROD****** MIL**** YIS***</t>
  </si>
  <si>
    <t>26765603</t>
  </si>
  <si>
    <t>TORRES SANGUINO MARIA TEOTISTE</t>
  </si>
  <si>
    <t>TOR*** SAN***** MAR** TEO*****</t>
  </si>
  <si>
    <t>26783933</t>
  </si>
  <si>
    <t>PEREZ DE QUINTERO JUANA BAUTISTA</t>
  </si>
  <si>
    <t>PER** DE QUI***** JUA** BAU*****</t>
  </si>
  <si>
    <t>26783952</t>
  </si>
  <si>
    <t>CASTRO DE NAVARRO ANTONIA</t>
  </si>
  <si>
    <t>CAS*** DE NAV**** ANT****</t>
  </si>
  <si>
    <t>26784113</t>
  </si>
  <si>
    <t>FLOREZ SANCHEZ FARINA</t>
  </si>
  <si>
    <t>FLO*** SAN**** FAR***</t>
  </si>
  <si>
    <t>26784288</t>
  </si>
  <si>
    <t>MEJIA ESTRADA MADEL</t>
  </si>
  <si>
    <t>MEJ** EST**** MAD**</t>
  </si>
  <si>
    <t>26784299</t>
  </si>
  <si>
    <t>RIBON ALFARO YADIRA</t>
  </si>
  <si>
    <t>RIB** ALF*** YAD***</t>
  </si>
  <si>
    <t>26784390</t>
  </si>
  <si>
    <t>RINALDI MORENO NELSY</t>
  </si>
  <si>
    <t>RIN**** MOR*** NEL**</t>
  </si>
  <si>
    <t>26784420</t>
  </si>
  <si>
    <t>ALFARO MONTENEGRO ANA EMILIA</t>
  </si>
  <si>
    <t>ALF*** MON******* ANA EMI***</t>
  </si>
  <si>
    <t>26784521</t>
  </si>
  <si>
    <t>BORREGO CASTRO MARY LUZ</t>
  </si>
  <si>
    <t>BOR**** CAS*** MAR* LUZ</t>
  </si>
  <si>
    <t>26784571</t>
  </si>
  <si>
    <t>ALCENDRA SIERRA ESTER JUDITH</t>
  </si>
  <si>
    <t>ALC***** SIE*** EST** JUD***</t>
  </si>
  <si>
    <t>26784582</t>
  </si>
  <si>
    <t>AVILA LOPEZ ENNIE MERCEDES</t>
  </si>
  <si>
    <t>AVI** LOP** ENN** MER*****</t>
  </si>
  <si>
    <t>26784624</t>
  </si>
  <si>
    <t>GOMEZ DE ZAMBRANO MARTHA LUZ</t>
  </si>
  <si>
    <t>GOM** DE ZAM***** MAR*** LUZ</t>
  </si>
  <si>
    <t>26784712</t>
  </si>
  <si>
    <t>AVILA RICAURTE DOLORES</t>
  </si>
  <si>
    <t>AVI** RIC***** DOL****</t>
  </si>
  <si>
    <t>26784766</t>
  </si>
  <si>
    <t>RODRIGUEZ OSPINO ISABEL</t>
  </si>
  <si>
    <t>ROD****** OSP*** ISA***</t>
  </si>
  <si>
    <t>26784823</t>
  </si>
  <si>
    <t>ALFARO DE CUELLO RUBY</t>
  </si>
  <si>
    <t>ALF*** DE CUE*** RUB*</t>
  </si>
  <si>
    <t>26784912</t>
  </si>
  <si>
    <t>PAEZ PEDROZO IDENITH</t>
  </si>
  <si>
    <t>PAE* PED**** IDE****</t>
  </si>
  <si>
    <t>26784925</t>
  </si>
  <si>
    <t>CAPATAZ DE VILLALOBOS ASTRID</t>
  </si>
  <si>
    <t>CAP**** DE VIL******* AST***</t>
  </si>
  <si>
    <t>26784951</t>
  </si>
  <si>
    <t>AVILA RICAURTE MARIA ESTILITA</t>
  </si>
  <si>
    <t>AVI** RIC***** MAR** EST*****</t>
  </si>
  <si>
    <t>26785047</t>
  </si>
  <si>
    <t>FLOREZ QUIROZ MELBA ROSA</t>
  </si>
  <si>
    <t>FLO*** QUI*** MEL** ROS*</t>
  </si>
  <si>
    <t>26785095</t>
  </si>
  <si>
    <t>INFANTE MORENO MERLY DEL CARMEN</t>
  </si>
  <si>
    <t>INF**** MOR*** MER** DEL CAR***</t>
  </si>
  <si>
    <t>26785127</t>
  </si>
  <si>
    <t>VALENCIA DE RINALDY CARMEN ELENA</t>
  </si>
  <si>
    <t>VAL***** DE RIN**** CAR*** ELE**</t>
  </si>
  <si>
    <t>26785172</t>
  </si>
  <si>
    <t>MORA PEINADO ZENEIDA</t>
  </si>
  <si>
    <t>MOR* PEI**** ZEN****</t>
  </si>
  <si>
    <t>26785223</t>
  </si>
  <si>
    <t>PABA PABA CONCEPCION DE JESUS</t>
  </si>
  <si>
    <t>PAB* PAB* CON******* DE JES**</t>
  </si>
  <si>
    <t>26785225</t>
  </si>
  <si>
    <t>PALOMINO SANCHEZ OLADIS</t>
  </si>
  <si>
    <t>PAL***** SAN**** OLA***</t>
  </si>
  <si>
    <t>26785276</t>
  </si>
  <si>
    <t>ALVARADO DE LOPEZ ONERYS</t>
  </si>
  <si>
    <t>ALV***** DE LOP** ONE***</t>
  </si>
  <si>
    <t>26785319</t>
  </si>
  <si>
    <t>CORTES PEDROZO IRIS</t>
  </si>
  <si>
    <t>COR*** PED**** IRI*</t>
  </si>
  <si>
    <t>26785394</t>
  </si>
  <si>
    <t>FLOREZ DE MIRANDA NIDIA</t>
  </si>
  <si>
    <t>FLO*** DE MIR**** NID**</t>
  </si>
  <si>
    <t>26785417</t>
  </si>
  <si>
    <t>TRESPALACIOS DE MOLINA ENA LEONOR</t>
  </si>
  <si>
    <t>TRE********* DE MOL*** ENA LEO***</t>
  </si>
  <si>
    <t>26785423</t>
  </si>
  <si>
    <t>SALCEDO ALVEAR BETTY</t>
  </si>
  <si>
    <t>SAL**** ALV*** BET**</t>
  </si>
  <si>
    <t>26792032</t>
  </si>
  <si>
    <t>LENGUA QUIROGA ONILSE</t>
  </si>
  <si>
    <t>LEN*** QUI**** ONI***</t>
  </si>
  <si>
    <t>26792099</t>
  </si>
  <si>
    <t>AVILA GUTIERREZ ENNIS MARIA</t>
  </si>
  <si>
    <t>AVI** GUT****** ENN** MAR**</t>
  </si>
  <si>
    <t>26801271</t>
  </si>
  <si>
    <t>HERNANDEZ DE LEON YESENIA MARIA</t>
  </si>
  <si>
    <t>HER****** DE LEO* YES**** MAR**</t>
  </si>
  <si>
    <t>26801336</t>
  </si>
  <si>
    <t>CARREÑO BARRIOS ELSAMIRA</t>
  </si>
  <si>
    <t>CAR**** BAR**** ELS*****</t>
  </si>
  <si>
    <t>26801350</t>
  </si>
  <si>
    <t>GONZALEZ JIMENEZ CIRA LUZ</t>
  </si>
  <si>
    <t>GON***** JIM**** CIR* LUZ</t>
  </si>
  <si>
    <t>26801367</t>
  </si>
  <si>
    <t>SANTANDER VALENCIA EVELINA</t>
  </si>
  <si>
    <t>SAN****** VAL***** EVE****</t>
  </si>
  <si>
    <t>26801394</t>
  </si>
  <si>
    <t>TORRES MEDINA SARA ISABEL</t>
  </si>
  <si>
    <t>TOR*** MED*** SAR* ISA***</t>
  </si>
  <si>
    <t>26801396</t>
  </si>
  <si>
    <t>DE LA ROSA RUIZ MARILIN EMMA</t>
  </si>
  <si>
    <t>DE LA ROS* RUI* MAR**** EMM*</t>
  </si>
  <si>
    <t>26801451</t>
  </si>
  <si>
    <t>MELGAREJO JIMENEZ XIOMARA NIMA</t>
  </si>
  <si>
    <t>MEL****** JIM**** XIO**** NIM*</t>
  </si>
  <si>
    <t>26801464</t>
  </si>
  <si>
    <t>HERRERA NAVARRO LUCIA ISABEL</t>
  </si>
  <si>
    <t>HER**** NAV**** LUC** ISA***</t>
  </si>
  <si>
    <t>26801470</t>
  </si>
  <si>
    <t>MELGAREJO MARTINEZ RAQUEL MARIA</t>
  </si>
  <si>
    <t>MEL****** MAR***** RAQ*** MAR**</t>
  </si>
  <si>
    <t>26801477</t>
  </si>
  <si>
    <t>GONZALEZ JIMENEZ ARLYS JUDITH</t>
  </si>
  <si>
    <t>GON***** JIM**** ARL** JUD***</t>
  </si>
  <si>
    <t>26801503</t>
  </si>
  <si>
    <t>VALENCIA GAMEZ MARTHA CECILIA</t>
  </si>
  <si>
    <t>VAL***** GAM** MAR*** CEC****</t>
  </si>
  <si>
    <t>26801525</t>
  </si>
  <si>
    <t>OROZCO MEDINA ELDA ROSA</t>
  </si>
  <si>
    <t>ORO*** MED*** ELD* ROS*</t>
  </si>
  <si>
    <t>26801546</t>
  </si>
  <si>
    <t>MIER ESCORCIA SANDRA LUZ</t>
  </si>
  <si>
    <t>MIE* ESC***** SAN*** LUZ</t>
  </si>
  <si>
    <t>26801561</t>
  </si>
  <si>
    <t>SALGUEDO DE LEON GERLIS MARIA</t>
  </si>
  <si>
    <t>SAL***** DE LEO* GER*** MAR**</t>
  </si>
  <si>
    <t>26801620</t>
  </si>
  <si>
    <t>ALMANZA LOZANO MAVELIS AMPARO</t>
  </si>
  <si>
    <t>ALM**** LOZ*** MAV**** AMP***</t>
  </si>
  <si>
    <t>26801671</t>
  </si>
  <si>
    <t>PALACIN MOYA ESPERANZA DEL CARMEN</t>
  </si>
  <si>
    <t>PAL**** MOY* ESP****** DEL CAR***</t>
  </si>
  <si>
    <t>26801707</t>
  </si>
  <si>
    <t>MUÑOZ OSORIO LIDYS ALEXANDRA</t>
  </si>
  <si>
    <t>MUÑ** OSO*** LID** ALE******</t>
  </si>
  <si>
    <t>26801735</t>
  </si>
  <si>
    <t>CAMARGO GONZALEZ MARGARITA</t>
  </si>
  <si>
    <t>CAM**** GON***** MAR******</t>
  </si>
  <si>
    <t>26801736</t>
  </si>
  <si>
    <t>DE LA CRUZ SAVIGNANO AZEEL JUDITH</t>
  </si>
  <si>
    <t>DE LA CRU* SAV****** AZE** JUD***</t>
  </si>
  <si>
    <t>26801738</t>
  </si>
  <si>
    <t>CURE OSPINO NEGIA FULBIA</t>
  </si>
  <si>
    <t>CUR* OSP*** NEG** FUL***</t>
  </si>
  <si>
    <t>26801776</t>
  </si>
  <si>
    <t>TORRES RODRIGUEZ ILDALID</t>
  </si>
  <si>
    <t>TOR*** ROD****** ILD****</t>
  </si>
  <si>
    <t>26801780</t>
  </si>
  <si>
    <t>GUERRERO OSORIO CIELO DEL CARMEN</t>
  </si>
  <si>
    <t>GUE***** OSO*** CIE** DEL CAR***</t>
  </si>
  <si>
    <t>26801913</t>
  </si>
  <si>
    <t>SIERRA DE LA CRUZ KARINA VANESSA</t>
  </si>
  <si>
    <t>SIE*** DE LA CRU* KAR*** VAN****</t>
  </si>
  <si>
    <t>26801966</t>
  </si>
  <si>
    <t>BECERRA RODRIGUEZ LORLEIVYS</t>
  </si>
  <si>
    <t>BEC**** ROD****** LOR******</t>
  </si>
  <si>
    <t>26801975</t>
  </si>
  <si>
    <t>PADILLA LOZANO GRACIELA MARIA</t>
  </si>
  <si>
    <t>PAD**** LOZ*** GRA***** MAR**</t>
  </si>
  <si>
    <t>26802317</t>
  </si>
  <si>
    <t>BOLAÑO VILLA PETRONA JUDITH</t>
  </si>
  <si>
    <t>BOL*** VIL** PET**** JUD***</t>
  </si>
  <si>
    <t>26802368</t>
  </si>
  <si>
    <t>PALMERA DE LEON YENIS MILENA</t>
  </si>
  <si>
    <t>PAL**** DE LEO* YEN** MIL***</t>
  </si>
  <si>
    <t>26802405</t>
  </si>
  <si>
    <t>PEÑA OBESO FARIELIS LUCIA</t>
  </si>
  <si>
    <t>PEÑ* OBE** FAR***** LUC**</t>
  </si>
  <si>
    <t>26802447</t>
  </si>
  <si>
    <t>POLO VILLA YANIBES JUDITH</t>
  </si>
  <si>
    <t>POL* VIL** YAN**** JUD***</t>
  </si>
  <si>
    <t>26802487</t>
  </si>
  <si>
    <t>MOSQUERA RODRIGUEZ MIURKA MIRYANA</t>
  </si>
  <si>
    <t>MOS***** ROD****** MIU*** MIR****</t>
  </si>
  <si>
    <t>26802872</t>
  </si>
  <si>
    <t>FONTALVO TORRIJO LUDYS MARGOTH</t>
  </si>
  <si>
    <t>FON***** TOR**** LUD** MAR****</t>
  </si>
  <si>
    <t>26802910</t>
  </si>
  <si>
    <t>VEGA PEÑA MARIA ALEJANDRA</t>
  </si>
  <si>
    <t>VEG* PEÑ* MAR** ALE******</t>
  </si>
  <si>
    <t>26804897</t>
  </si>
  <si>
    <t>ALMANZA DE LA CRUZ ASTRID JUDITH</t>
  </si>
  <si>
    <t>ALM**** DE LA CRU* AST*** JUD***</t>
  </si>
  <si>
    <t>26804903</t>
  </si>
  <si>
    <t>CAMACHO ALMANZA XIOMARA MARIA</t>
  </si>
  <si>
    <t>CAM**** ALM**** XIO**** MAR**</t>
  </si>
  <si>
    <t>26804944</t>
  </si>
  <si>
    <t>VEGA OSPINO GALIA ROSA</t>
  </si>
  <si>
    <t>VEG* OSP*** GAL** ROS*</t>
  </si>
  <si>
    <t>26804952</t>
  </si>
  <si>
    <t>VEGA ALMANZA IBETH</t>
  </si>
  <si>
    <t>VEG* ALM**** IBE**</t>
  </si>
  <si>
    <t>26806006</t>
  </si>
  <si>
    <t>TAMARA CAMACHO ROYCY ELENA</t>
  </si>
  <si>
    <t>TAM*** CAM**** ROY** ELE**</t>
  </si>
  <si>
    <t>26806808</t>
  </si>
  <si>
    <t>ARAGON FIGUEROA RITA DEL SOCORRO</t>
  </si>
  <si>
    <t>ARA*** FIG***** RIT* DEL SOC****</t>
  </si>
  <si>
    <t>26808826</t>
  </si>
  <si>
    <t>DE LA CRUZ BORRERO RUBY DEL SOCORRO</t>
  </si>
  <si>
    <t>DE LA CRU* BOR**** RUB* DEL SOC****</t>
  </si>
  <si>
    <t>26808827</t>
  </si>
  <si>
    <t>MUÑOZ OSORIO YENIS YOLANDA</t>
  </si>
  <si>
    <t>MUÑ** OSO*** YEN** YOL****</t>
  </si>
  <si>
    <t>26810426</t>
  </si>
  <si>
    <t>ESCORCIA ESCOBAR SENIA ISABEL</t>
  </si>
  <si>
    <t>ESC***** ESC**** SEN** ISA***</t>
  </si>
  <si>
    <t>26811773</t>
  </si>
  <si>
    <t>SANCHEZ TAMARA CRUZ MARINA</t>
  </si>
  <si>
    <t>SAN**** TAM*** CRU* MAR***</t>
  </si>
  <si>
    <t>26811938</t>
  </si>
  <si>
    <t>CARRANZA MENDEZ NANCY ESTHER</t>
  </si>
  <si>
    <t>CAR***** MEN*** NAN** EST***</t>
  </si>
  <si>
    <t>26811949</t>
  </si>
  <si>
    <t>VARELA CALVO BEATRIZ CAROLINA</t>
  </si>
  <si>
    <t>VAR*** CAL** BEA**** CAR*****</t>
  </si>
  <si>
    <t>26811950</t>
  </si>
  <si>
    <t>VARELA CALVO MERCEDES ELENA</t>
  </si>
  <si>
    <t>VAR*** CAL** MER***** ELE**</t>
  </si>
  <si>
    <t>26812085</t>
  </si>
  <si>
    <t>CARRANZA CACERES NOLIDA BEATRIZ</t>
  </si>
  <si>
    <t>CAR***** CAC**** NOL*** BEA****</t>
  </si>
  <si>
    <t>26812119</t>
  </si>
  <si>
    <t>IBAÑEZ DE LA HOZ MARIA ISABEL</t>
  </si>
  <si>
    <t>IBA*** DE LA HOZ MAR** ISA***</t>
  </si>
  <si>
    <t>26812196</t>
  </si>
  <si>
    <t>RIVERA AYCARDI MARTHA LINDA</t>
  </si>
  <si>
    <t>RIV*** AYC**** MAR*** LIN**</t>
  </si>
  <si>
    <t>26812213</t>
  </si>
  <si>
    <t>PABON PABON VILMA BEATRIZ</t>
  </si>
  <si>
    <t>PAB** PAB** VIL** BEA****</t>
  </si>
  <si>
    <t>26812315</t>
  </si>
  <si>
    <t>DE LA HOZ VARELA JUANA MARIA</t>
  </si>
  <si>
    <t>DE LA HOZ VAR*** JUA** MAR**</t>
  </si>
  <si>
    <t>26812363</t>
  </si>
  <si>
    <t>ESCORCIA CARRANZA ROSMERY ESTHER</t>
  </si>
  <si>
    <t>ESC***** CAR***** ROS**** EST***</t>
  </si>
  <si>
    <t>26812379</t>
  </si>
  <si>
    <t>ZAMBRANO PALLARES MONICA PATRICIA</t>
  </si>
  <si>
    <t>ZAM***** PAL***** MON*** PAT*****</t>
  </si>
  <si>
    <t>26812501</t>
  </si>
  <si>
    <t>GONZALEZ CARRANZA MILADIS ESTHER</t>
  </si>
  <si>
    <t>GON***** CAR***** MIL**** EST***</t>
  </si>
  <si>
    <t>26812505</t>
  </si>
  <si>
    <t>GONZALEZ OSPINO ALEXI JUDITH</t>
  </si>
  <si>
    <t>GON***** OSP*** ALE** JUD***</t>
  </si>
  <si>
    <t>26812636</t>
  </si>
  <si>
    <t>RADA OSPINO ONAYRA CECILIA</t>
  </si>
  <si>
    <t>RAD* OSP*** ONA*** CEC****</t>
  </si>
  <si>
    <t>26812654</t>
  </si>
  <si>
    <t>MEDINA MARQUEZ MELIDA MARIA</t>
  </si>
  <si>
    <t>MED*** MAR**** MEL*** MAR**</t>
  </si>
  <si>
    <t>26812656</t>
  </si>
  <si>
    <t>ALVAREZ ROMO DELCI DEL SOCORRO</t>
  </si>
  <si>
    <t>ALV**** ROM* DEL** DEL SOC****</t>
  </si>
  <si>
    <t>26812712</t>
  </si>
  <si>
    <t>DE LA CRUZ RUDAS LENIS CECILIA</t>
  </si>
  <si>
    <t>DE LA CRU* RUD** LEN** CEC****</t>
  </si>
  <si>
    <t>26812753</t>
  </si>
  <si>
    <t>PALMERA VIZCAINO MARELVIS</t>
  </si>
  <si>
    <t>PAL**** VIZ***** MAR*****</t>
  </si>
  <si>
    <t>26812780</t>
  </si>
  <si>
    <t>ESQUEA MEDINA CILFA LEONOR</t>
  </si>
  <si>
    <t>ESQ*** MED*** CIL** LEO***</t>
  </si>
  <si>
    <t>26812788</t>
  </si>
  <si>
    <t>CABARCAS SANCHEZ CARMEN ANA</t>
  </si>
  <si>
    <t>CAB***** SAN**** CAR*** ANA</t>
  </si>
  <si>
    <t>26812792</t>
  </si>
  <si>
    <t>PALMERA DE LA HOZ MARIA ELENA</t>
  </si>
  <si>
    <t>PAL**** DE LA HOZ MAR** ELE**</t>
  </si>
  <si>
    <t>26812794</t>
  </si>
  <si>
    <t>SALAS ALI SILVANA INES</t>
  </si>
  <si>
    <t>SAL** ALI SIL**** INE*</t>
  </si>
  <si>
    <t>26812855</t>
  </si>
  <si>
    <t>ALVAREZ ROMO NUBIA ESTER</t>
  </si>
  <si>
    <t>ALV**** ROM* NUB** EST**</t>
  </si>
  <si>
    <t>26812903</t>
  </si>
  <si>
    <t>VIZCAINO LARA TAYDE CECILIA</t>
  </si>
  <si>
    <t>VIZ***** LAR* TAY** CEC****</t>
  </si>
  <si>
    <t>26812912</t>
  </si>
  <si>
    <t>RIQUETT GONZALEZ ZOLEIMA DEL CARMEN</t>
  </si>
  <si>
    <t>RIQ**** GON***** ZOL**** DEL CAR***</t>
  </si>
  <si>
    <t>26813031</t>
  </si>
  <si>
    <t>DE AYOS GONZALEZ KARINA LUZ</t>
  </si>
  <si>
    <t>DE AYO* GON***** KAR*** LUZ</t>
  </si>
  <si>
    <t>26813055</t>
  </si>
  <si>
    <t>CARBONELL CARBONELL LILIANA JUDITH</t>
  </si>
  <si>
    <t>CAR****** CAR****** LIL**** JUD***</t>
  </si>
  <si>
    <t>26813258</t>
  </si>
  <si>
    <t>RANGEL MERIÑO ANDREA CARMENZA</t>
  </si>
  <si>
    <t>RAN*** MER*** AND*** CAR*****</t>
  </si>
  <si>
    <t>26813478</t>
  </si>
  <si>
    <t>SARMIENTO GONZALEZ YINETH DEL CARMEN</t>
  </si>
  <si>
    <t>SAR****** GON***** YIN*** DEL CAR***</t>
  </si>
  <si>
    <t>26813602</t>
  </si>
  <si>
    <t>POLO MARQUEZ OMELIS CAROLINA</t>
  </si>
  <si>
    <t>POL* MAR**** OME*** CAR*****</t>
  </si>
  <si>
    <t>26813632</t>
  </si>
  <si>
    <t>DOMINGUEZ PALMERA ALEXIS MARGOTH</t>
  </si>
  <si>
    <t>DOM****** PAL**** ALE*** MAR****</t>
  </si>
  <si>
    <t>26813709</t>
  </si>
  <si>
    <t>GUTIERREZ MILAGRO DEL SOCORRO</t>
  </si>
  <si>
    <t>GUT****** MIL**** DEL SOC****</t>
  </si>
  <si>
    <t>26813766</t>
  </si>
  <si>
    <t>PALLARES PAZ CARMEN EMILIA</t>
  </si>
  <si>
    <t>PAL***** PAZ CAR*** EMI***</t>
  </si>
  <si>
    <t>26814172</t>
  </si>
  <si>
    <t>CANTILLO ROMO BLANCA DELIA</t>
  </si>
  <si>
    <t>CAN***** ROM* BLA*** DEL**</t>
  </si>
  <si>
    <t>26814971</t>
  </si>
  <si>
    <t>BARROS DIAZ SHIRLE DEL AMPARO</t>
  </si>
  <si>
    <t>BAR*** DIA* SHI*** DEL AMP***</t>
  </si>
  <si>
    <t>26815988</t>
  </si>
  <si>
    <t>RANGEL MERIÑO ADRIANA ROCIO</t>
  </si>
  <si>
    <t>RAN*** MER*** ADR**** ROC**</t>
  </si>
  <si>
    <t>26816001</t>
  </si>
  <si>
    <t>MERIÑO VIZCAINO ELOISA MARIA</t>
  </si>
  <si>
    <t>MER*** VIZ***** ELO*** MAR**</t>
  </si>
  <si>
    <t>26816851</t>
  </si>
  <si>
    <t>MORALES BOCANEGRA LUISA EMILIA</t>
  </si>
  <si>
    <t>MOR**** BOC****** LUI** EMI***</t>
  </si>
  <si>
    <t>26818919</t>
  </si>
  <si>
    <t>CANTILLO MERCADO DIOSA MARIA</t>
  </si>
  <si>
    <t>CAN***** MER**** DIO** MAR**</t>
  </si>
  <si>
    <t>26818928</t>
  </si>
  <si>
    <t>DE LA HOZ CANTILLO DUBYS DEL CARMEN</t>
  </si>
  <si>
    <t>DE LA HOZ CAN***** DUB** DEL CAR***</t>
  </si>
  <si>
    <t>26820191</t>
  </si>
  <si>
    <t>SALAS RIVERA VILMA ESTHER</t>
  </si>
  <si>
    <t>SAL** RIV*** VIL** EST***</t>
  </si>
  <si>
    <t>26820192</t>
  </si>
  <si>
    <t>CABALLERO SALAS DILIA MERCEDES</t>
  </si>
  <si>
    <t>CAB****** SAL** DIL** MER*****</t>
  </si>
  <si>
    <t>26820226</t>
  </si>
  <si>
    <t>CABALLERO CABALLERO GREY PATRICIA</t>
  </si>
  <si>
    <t>CAB****** CAB****** GRE* PAT*****</t>
  </si>
  <si>
    <t>26821317</t>
  </si>
  <si>
    <t>VARELA VARELA PETRONA JOSEFA</t>
  </si>
  <si>
    <t>VAR*** VAR*** PET**** JOS***</t>
  </si>
  <si>
    <t>26825659</t>
  </si>
  <si>
    <t>OROZCO PERTUZ NORIS MARIA</t>
  </si>
  <si>
    <t>ORO*** PER*** NOR** MAR**</t>
  </si>
  <si>
    <t>26825660</t>
  </si>
  <si>
    <t>OROZCO PERTUZ ROSA ELINA</t>
  </si>
  <si>
    <t>ORO*** PER*** ROS* ELI**</t>
  </si>
  <si>
    <t>26825691</t>
  </si>
  <si>
    <t>PERTUZ PALACIO ROSA ISABEL</t>
  </si>
  <si>
    <t>PER*** PAL**** ROS* ISA***</t>
  </si>
  <si>
    <t>26825912</t>
  </si>
  <si>
    <t>MARENCO SALAS AUDITH CECILIA</t>
  </si>
  <si>
    <t>MAR**** SAL** AUD*** CEC****</t>
  </si>
  <si>
    <t>26826328</t>
  </si>
  <si>
    <t>CAMARGO PAEZ MARIA ANTONIA</t>
  </si>
  <si>
    <t>CAM**** PAE* MAR** ANT****</t>
  </si>
  <si>
    <t>26830786</t>
  </si>
  <si>
    <t>SUAREZ ACUÑA OFELIA MARIA</t>
  </si>
  <si>
    <t>SUA*** ACU** OFE*** MAR**</t>
  </si>
  <si>
    <t>26841343</t>
  </si>
  <si>
    <t>ACOSTA CASTRO YENNYS SOFIA</t>
  </si>
  <si>
    <t>ACO*** CAS*** YEN*** SOF**</t>
  </si>
  <si>
    <t>26841368</t>
  </si>
  <si>
    <t>CARRANZA SANTANA NOHORA ISABEL</t>
  </si>
  <si>
    <t>CAR***** SAN**** NOH*** ISA***</t>
  </si>
  <si>
    <t>26845650</t>
  </si>
  <si>
    <t>GARCIA LOPEZ CELAIDE ESTHER</t>
  </si>
  <si>
    <t>GAR*** LOP** CEL**** EST***</t>
  </si>
  <si>
    <t>26845708</t>
  </si>
  <si>
    <t>OJEDA MORENO ADIRA</t>
  </si>
  <si>
    <t>OJE** MOR*** ADI**</t>
  </si>
  <si>
    <t>26845736</t>
  </si>
  <si>
    <t>PEZZOTY MORENO CARMEN</t>
  </si>
  <si>
    <t>PEZ**** MOR*** CAR***</t>
  </si>
  <si>
    <t>26845818</t>
  </si>
  <si>
    <t>RIVALDO VILORIA MARLU MARIA</t>
  </si>
  <si>
    <t>RIV**** VIL**** MAR** MAR**</t>
  </si>
  <si>
    <t>26845848</t>
  </si>
  <si>
    <t>PEREA VARELA SOFIA DEL CARMEN</t>
  </si>
  <si>
    <t>PER** VAR*** SOF** DEL CAR***</t>
  </si>
  <si>
    <t>26846000</t>
  </si>
  <si>
    <t>HERNANDEZ NIEBLES ROSIRIS ENES</t>
  </si>
  <si>
    <t>HER****** NIE**** ROS**** ENE*</t>
  </si>
  <si>
    <t>26846010</t>
  </si>
  <si>
    <t>PEREA VARELA MARIA</t>
  </si>
  <si>
    <t>PER** VAR*** MAR**</t>
  </si>
  <si>
    <t>26846025</t>
  </si>
  <si>
    <t>CASSARES LOPEZ LUZ MARINA</t>
  </si>
  <si>
    <t>CAS***** LOP** LUZ MAR***</t>
  </si>
  <si>
    <t>26846041</t>
  </si>
  <si>
    <t>MEJIA MORENO ROCIO DEL CARMEN</t>
  </si>
  <si>
    <t>MEJ** MOR*** ROC** DEL CAR***</t>
  </si>
  <si>
    <t>26846079</t>
  </si>
  <si>
    <t>MARIANO APONTE DEYIS MARIA</t>
  </si>
  <si>
    <t>MAR**** APO*** DEY** MAR**</t>
  </si>
  <si>
    <t>26846090</t>
  </si>
  <si>
    <t>GOMEZ MARQUEZ GLENYS MARIA</t>
  </si>
  <si>
    <t>GOM** MAR**** GLE*** MAR**</t>
  </si>
  <si>
    <t>26846112</t>
  </si>
  <si>
    <t>LOPEZ FIHOLL NEILA DE JESUS</t>
  </si>
  <si>
    <t>LOP** FIH*** NEI** DE JES**</t>
  </si>
  <si>
    <t>26846117</t>
  </si>
  <si>
    <t>LOPEZ BADILLO LEFIS CECILIA</t>
  </si>
  <si>
    <t>LOP** BAD**** LEF** CEC****</t>
  </si>
  <si>
    <t>26846186</t>
  </si>
  <si>
    <t>CEBALLOS HERNANDEZ LEONORA ESTHER</t>
  </si>
  <si>
    <t>CEB***** HER****** LEO**** EST***</t>
  </si>
  <si>
    <t>26846196</t>
  </si>
  <si>
    <t>NIEBLES LOPEZ MARIA DEL CARMEN</t>
  </si>
  <si>
    <t>NIE**** LOP** MAR** DEL CAR***</t>
  </si>
  <si>
    <t>26846229</t>
  </si>
  <si>
    <t>LOPEZ CEBALLOS MARIA DE LAS NIEVES</t>
  </si>
  <si>
    <t>LOP** CEB***** MAR** DE LAS NIE***</t>
  </si>
  <si>
    <t>26846266</t>
  </si>
  <si>
    <t>DELGADILLO MANJARRES ELOISA MATILDE</t>
  </si>
  <si>
    <t>DEL******* MAN****** ELO*** MAT****</t>
  </si>
  <si>
    <t>26846444</t>
  </si>
  <si>
    <t>CEBALLOS MARQUEZ LIDIVETH ESTHER</t>
  </si>
  <si>
    <t>CEB***** MAR**** LID***** EST***</t>
  </si>
  <si>
    <t>26846446</t>
  </si>
  <si>
    <t>LOPEZ GONZALEZ LINA MARIA</t>
  </si>
  <si>
    <t>LOP** GON***** LIN* MAR**</t>
  </si>
  <si>
    <t>26846475</t>
  </si>
  <si>
    <t>RUA CAMPO BETZAIDA YANETH</t>
  </si>
  <si>
    <t>RUA CAM** BET***** YAN***</t>
  </si>
  <si>
    <t>26847614</t>
  </si>
  <si>
    <t>BARROS MONSALVO YANERITH SOFIA</t>
  </si>
  <si>
    <t>BAR*** MON***** YAN***** SOF**</t>
  </si>
  <si>
    <t>26848309</t>
  </si>
  <si>
    <t>APARICIO PEREZ MARIA CONCEPCION</t>
  </si>
  <si>
    <t>APA***** PER** MAR** CON*******</t>
  </si>
  <si>
    <t>26850249</t>
  </si>
  <si>
    <t>ANCHILA MARQUEZ YANETH DEL SOCORRO</t>
  </si>
  <si>
    <t>ANC**** MAR**** YAN*** DEL SOC****</t>
  </si>
  <si>
    <t>26850269</t>
  </si>
  <si>
    <t>RODRIGUEZ ANCHILA EVELSY NOHEMI</t>
  </si>
  <si>
    <t>ROD****** ANC**** EVE*** NOH***</t>
  </si>
  <si>
    <t>26850306</t>
  </si>
  <si>
    <t>HERNANDEZ RODRIGUEZ LEIBIS MARIA</t>
  </si>
  <si>
    <t>HER****** ROD****** LEI*** MAR**</t>
  </si>
  <si>
    <t>26851408</t>
  </si>
  <si>
    <t>LOPEZ GUTIERREZ RAQUEL IRINA</t>
  </si>
  <si>
    <t>LOP** GUT****** RAQ*** IRI**</t>
  </si>
  <si>
    <t>26852816</t>
  </si>
  <si>
    <t>FERREIRA MANCILLA YANETH SOFIA</t>
  </si>
  <si>
    <t>FER***** MAN***** YAN*** SOF**</t>
  </si>
  <si>
    <t>26852882</t>
  </si>
  <si>
    <t>MANJARRES NAVARRO DAYSYS NELLY</t>
  </si>
  <si>
    <t>MAN****** NAV**** DAY*** NEL**</t>
  </si>
  <si>
    <t>26852888</t>
  </si>
  <si>
    <t>PERTUZ CARRILLO ARELIS ISABEL</t>
  </si>
  <si>
    <t>PER*** CAR***** ARE*** ISA***</t>
  </si>
  <si>
    <t>26852901</t>
  </si>
  <si>
    <t>MIRANDA FONTALVO DEYANIRA</t>
  </si>
  <si>
    <t>MIR**** FON***** DEY*****</t>
  </si>
  <si>
    <t>26853017</t>
  </si>
  <si>
    <t>RUIZ HERRERA CARMEN ELENA</t>
  </si>
  <si>
    <t>RUI* HER**** CAR*** ELE**</t>
  </si>
  <si>
    <t>26853127</t>
  </si>
  <si>
    <t>OJEDA GUTIERREZ LIBERATA</t>
  </si>
  <si>
    <t>OJE** GUT****** LIB*****</t>
  </si>
  <si>
    <t>26853137</t>
  </si>
  <si>
    <t>OSPINO RUDAS SONIA LUZ</t>
  </si>
  <si>
    <t>OSP*** RUD** SON** LUZ</t>
  </si>
  <si>
    <t>26853180</t>
  </si>
  <si>
    <t>BORJA LABORDE LILIANA PATRICIA</t>
  </si>
  <si>
    <t>BOR** LAB**** LIL**** PAT*****</t>
  </si>
  <si>
    <t>26853227</t>
  </si>
  <si>
    <t>CAMACHO CARRILLO GLENIA ESTHER</t>
  </si>
  <si>
    <t>CAM**** CAR***** GLE*** EST***</t>
  </si>
  <si>
    <t>26853254</t>
  </si>
  <si>
    <t>ACOSTA CAÑAS MARELVIS ESTHER</t>
  </si>
  <si>
    <t>ACO*** CAÑ** MAR***** EST***</t>
  </si>
  <si>
    <t>26853265</t>
  </si>
  <si>
    <t>BORJA ALTAMAR YANELIS MARIA</t>
  </si>
  <si>
    <t>BOR** ALT**** YAN**** MAR**</t>
  </si>
  <si>
    <t>26853305</t>
  </si>
  <si>
    <t>RODRIGUEZ CHARRIS ANA RAQUEL</t>
  </si>
  <si>
    <t>ROD****** CHA**** ANA RAQ***</t>
  </si>
  <si>
    <t>26853382</t>
  </si>
  <si>
    <t>MORRON AVENDAÃ ARACELYS MARIA</t>
  </si>
  <si>
    <t>MOR*** AVE***** ARA***** MAR**</t>
  </si>
  <si>
    <t>26853462</t>
  </si>
  <si>
    <t>CAÑAS QUIROZ LUZ MARINA</t>
  </si>
  <si>
    <t>CAÑ** QUI*** LUZ MAR***</t>
  </si>
  <si>
    <t>26853502</t>
  </si>
  <si>
    <t>ORTEGA FERREIRA GLORIA DE JESUS</t>
  </si>
  <si>
    <t>11</t>
  </si>
  <si>
    <t>ORT*** FER***** GLO*** DE JES**</t>
  </si>
  <si>
    <t>26853748</t>
  </si>
  <si>
    <t>TORRES MANOTAS SUGEI MILAGRO</t>
  </si>
  <si>
    <t>TOR*** MAN**** SUG** MIL****</t>
  </si>
  <si>
    <t>26853753</t>
  </si>
  <si>
    <t>NAVARRO CHARRIS ROSMERI DEL CARMEN</t>
  </si>
  <si>
    <t>NAV**** CHA**** ROS**** DEL CAR***</t>
  </si>
  <si>
    <t>26853765</t>
  </si>
  <si>
    <t>MORENO MORRON MARIA CRISTINA</t>
  </si>
  <si>
    <t>MOR*** MOR*** MAR** CRI*****</t>
  </si>
  <si>
    <t>26858873</t>
  </si>
  <si>
    <t>ARIZA ACOSTA ROSA MERCEDES</t>
  </si>
  <si>
    <t>ARI** ACO*** ROS* MER*****</t>
  </si>
  <si>
    <t>26863420</t>
  </si>
  <si>
    <t>RINCON SUAREZ YELENA PATRICIA</t>
  </si>
  <si>
    <t>RIN*** SUA*** YEL*** PAT*****</t>
  </si>
  <si>
    <t>26879234</t>
  </si>
  <si>
    <t>NAVARRO DE SEVERINI ISABEL CRISTINA</t>
  </si>
  <si>
    <t>NAV**** DE SEV***** ISA*** CRI*****</t>
  </si>
  <si>
    <t>26879469</t>
  </si>
  <si>
    <t>OROZCO PABON MARIA GREGORIA</t>
  </si>
  <si>
    <t>ORO*** PAB** MAR** GRE*****</t>
  </si>
  <si>
    <t>26879471</t>
  </si>
  <si>
    <t>PABON PERTUZ MARIA ROSARIO</t>
  </si>
  <si>
    <t>PAB** PER*** MAR** ROS****</t>
  </si>
  <si>
    <t>26879479</t>
  </si>
  <si>
    <t>GONZALEZ CARRANZA ZOIRA EDITH</t>
  </si>
  <si>
    <t>GON***** CAR***** ZOI** EDI**</t>
  </si>
  <si>
    <t>26879494</t>
  </si>
  <si>
    <t>MOLINA TRUJILLO JUDITH CECILIA</t>
  </si>
  <si>
    <t>MOL*** TRU***** JUD*** CEC****</t>
  </si>
  <si>
    <t>26879553</t>
  </si>
  <si>
    <t>PABON CANTILLO ELSA EDITH</t>
  </si>
  <si>
    <t>PAB** CAN***** ELS* EDI**</t>
  </si>
  <si>
    <t>26879576</t>
  </si>
  <si>
    <t>MARCHENA BOLAÑO ELIZABETH</t>
  </si>
  <si>
    <t>MAR***** BOL*** ELI******</t>
  </si>
  <si>
    <t>26879607</t>
  </si>
  <si>
    <t>DILIA ELISA DIAZ MARCHENA</t>
  </si>
  <si>
    <t>DIL** ELI** DIA* MAR*****</t>
  </si>
  <si>
    <t>26879646</t>
  </si>
  <si>
    <t>ABELLO CANTILLO OMAIRA JUDITH</t>
  </si>
  <si>
    <t>ABE*** CAN***** OMA*** JUD***</t>
  </si>
  <si>
    <t>26879676</t>
  </si>
  <si>
    <t>TORRES VARGAS MIRELLA DE JESUS</t>
  </si>
  <si>
    <t>TOR*** VAR*** MIR**** DE JES**</t>
  </si>
  <si>
    <t>26879793</t>
  </si>
  <si>
    <t>ACOSTA SANTODOMINGO NERIS JUDITH</t>
  </si>
  <si>
    <t>ACO*** SAN********* NER** JUD***</t>
  </si>
  <si>
    <t>26879797</t>
  </si>
  <si>
    <t>HERNANDEZ CANTILLO CARMEN SOFIA</t>
  </si>
  <si>
    <t>HER****** CAN***** CAR*** SOF**</t>
  </si>
  <si>
    <t>26879811</t>
  </si>
  <si>
    <t>SOLANO MUTTO ALMA ROSA</t>
  </si>
  <si>
    <t>SOL*** MUT** ALM* ROS*</t>
  </si>
  <si>
    <t>26879917</t>
  </si>
  <si>
    <t>DE MARCHENA OROZCO JUDITH ESTHER</t>
  </si>
  <si>
    <t>DE MAR***** ORO*** JUD*** EST***</t>
  </si>
  <si>
    <t>26879960</t>
  </si>
  <si>
    <t>ABELLO CANTILLO EVIS DE JESUS</t>
  </si>
  <si>
    <t>ABE*** CAN***** EVI* DE JES**</t>
  </si>
  <si>
    <t>26879976</t>
  </si>
  <si>
    <t>GONZALEZ MEZA ETILVIA ROSA</t>
  </si>
  <si>
    <t>GON***** MEZ* ETI**** ROS*</t>
  </si>
  <si>
    <t>26880020</t>
  </si>
  <si>
    <t>MARCHENA PELAEZ CLAUDIA PATRICIA</t>
  </si>
  <si>
    <t>MAR***** PEL*** CLA**** PAT*****</t>
  </si>
  <si>
    <t>26880027</t>
  </si>
  <si>
    <t>PABON CARRILLO GERTRUDIS EMILIA</t>
  </si>
  <si>
    <t>PAB** CAR***** GER****** EMI***</t>
  </si>
  <si>
    <t>26880074</t>
  </si>
  <si>
    <t>GOMEZ OROZCO EMILIA CRISTINA</t>
  </si>
  <si>
    <t>GOM** ORO*** EMI*** CRI*****</t>
  </si>
  <si>
    <t>26880075</t>
  </si>
  <si>
    <t>LIDUEÑAS BLANQUICETT YANELIS CECILIA</t>
  </si>
  <si>
    <t>LID***** BLA******** YAN**** CEC****</t>
  </si>
  <si>
    <t>26880086</t>
  </si>
  <si>
    <t>OROZCO PERTUZ LINETT ESTHER</t>
  </si>
  <si>
    <t>ORO*** PER*** LIN*** EST***</t>
  </si>
  <si>
    <t>26880109</t>
  </si>
  <si>
    <t>OROZCO SOLANO NICOLASA MERCEDES</t>
  </si>
  <si>
    <t>ORO*** SOL*** NIC***** MER*****</t>
  </si>
  <si>
    <t>26880153</t>
  </si>
  <si>
    <t>MARCHENA YEJAS YOLANDA</t>
  </si>
  <si>
    <t>MAR***** YEJ** YOL****</t>
  </si>
  <si>
    <t>26880191</t>
  </si>
  <si>
    <t>TORREGROZA DE LA HOZ NIDIA ESTHER</t>
  </si>
  <si>
    <t>TOR******* DE LA HOZ NID** EST***</t>
  </si>
  <si>
    <t>26880310</t>
  </si>
  <si>
    <t>REYES OROZCO RITA YAZMIN</t>
  </si>
  <si>
    <t>REY** ORO*** RIT* YAZ***</t>
  </si>
  <si>
    <t>26880435</t>
  </si>
  <si>
    <t>ESCORCIA OROZCO ANDREA CARMEN</t>
  </si>
  <si>
    <t>ESC***** ORO*** AND*** CAR***</t>
  </si>
  <si>
    <t>26880527</t>
  </si>
  <si>
    <t>POLO CASTRO RITA JUDITH</t>
  </si>
  <si>
    <t>POL* CAS*** RIT* JUD***</t>
  </si>
  <si>
    <t>26880594</t>
  </si>
  <si>
    <t>OROZCO OROZCO ENA CARMEN</t>
  </si>
  <si>
    <t>ORO*** ORO*** ENA CAR***</t>
  </si>
  <si>
    <t>26880678</t>
  </si>
  <si>
    <t>MERCADO YEJAS YASMIN DE LOS MILAGROS</t>
  </si>
  <si>
    <t>MER**** YEJ** YAS*** DE LOS MIL*****</t>
  </si>
  <si>
    <t>26880708</t>
  </si>
  <si>
    <t>CELEDON OROZCO CARMEN DEL PILAR</t>
  </si>
  <si>
    <t>CEL**** ORO*** CAR*** DEL PIL**</t>
  </si>
  <si>
    <t>26880726</t>
  </si>
  <si>
    <t>OROZCO OROZCO SILVANA VITALIA</t>
  </si>
  <si>
    <t>ORO*** ORO*** SIL**** VIT****</t>
  </si>
  <si>
    <t>26881316</t>
  </si>
  <si>
    <t>PERTUZ GONZALEZ ELENA VICTORIA</t>
  </si>
  <si>
    <t>PER*** GON***** ELE** VIC*****</t>
  </si>
  <si>
    <t>26882112</t>
  </si>
  <si>
    <t>POLO MAESTRE LUZMILA</t>
  </si>
  <si>
    <t>POL* MAE**** LUZ****</t>
  </si>
  <si>
    <t>26882235</t>
  </si>
  <si>
    <t>DE LA CRUZ PABON DIOCELINA</t>
  </si>
  <si>
    <t>DE LA CRU* PAB** DIO******</t>
  </si>
  <si>
    <t>26883120</t>
  </si>
  <si>
    <t>MALDONADO POLO SELENIS MARIA</t>
  </si>
  <si>
    <t>MAL****** POL* SEL**** MAR**</t>
  </si>
  <si>
    <t>26883194</t>
  </si>
  <si>
    <t>PEREA CHIQUILLO YAJAIRA DEL CARMEN</t>
  </si>
  <si>
    <t>PER** CHI****** YAJ**** DEL CAR***</t>
  </si>
  <si>
    <t>26883353</t>
  </si>
  <si>
    <t>TIQUE GUTIERREZ MARLIE ATZENE</t>
  </si>
  <si>
    <t>TIQ** GUT****** MAR*** ATZ***</t>
  </si>
  <si>
    <t>26883722</t>
  </si>
  <si>
    <t>SEPULVEDA LARA YESENIA MARIA</t>
  </si>
  <si>
    <t>SEP****** LAR* YES**** MAR**</t>
  </si>
  <si>
    <t>26883738</t>
  </si>
  <si>
    <t>JULIO SARAH MARELLYS MARINA</t>
  </si>
  <si>
    <t>JUL** SAR** MAR***** MAR***</t>
  </si>
  <si>
    <t>26883960</t>
  </si>
  <si>
    <t>PALACIO SALAS JOHANA</t>
  </si>
  <si>
    <t>PAL**** SAL** JOH***</t>
  </si>
  <si>
    <t>26884378</t>
  </si>
  <si>
    <t>FUENTES JIMENEZ YUDIS DEL CARMEN</t>
  </si>
  <si>
    <t>FUE**** JIM**** YUD** DEL CAR***</t>
  </si>
  <si>
    <t>26884420</t>
  </si>
  <si>
    <t>CARO ACUÑA LUZ MARINA</t>
  </si>
  <si>
    <t>CAR* ACU** LUZ MAR***</t>
  </si>
  <si>
    <t>26884474</t>
  </si>
  <si>
    <t>FUENTES FONSECA LOURDES MARINA</t>
  </si>
  <si>
    <t>FUE**** FON**** LOU**** MAR***</t>
  </si>
  <si>
    <t>26884481</t>
  </si>
  <si>
    <t>MULFORD LEON ROSA MERCEDES</t>
  </si>
  <si>
    <t>MUL**** LEO* ROS* MER*****</t>
  </si>
  <si>
    <t>26884496</t>
  </si>
  <si>
    <t>FUENTES BARRIOS AURA CECILIA</t>
  </si>
  <si>
    <t>FUE**** BAR**** AUR* CEC****</t>
  </si>
  <si>
    <t>26884498</t>
  </si>
  <si>
    <t>LOPEZ HERNANDEZ IBETH</t>
  </si>
  <si>
    <t>LOP** HER****** IBE**</t>
  </si>
  <si>
    <t>26884500</t>
  </si>
  <si>
    <t>FRANCO RODRIGUEZ CARMEN ELENA</t>
  </si>
  <si>
    <t>FRA*** ROD****** CAR*** ELE**</t>
  </si>
  <si>
    <t>26884521</t>
  </si>
  <si>
    <t>FUENTES FONSECA MARIA DEL CARMEN</t>
  </si>
  <si>
    <t>FUE**** FON**** MAR** DEL CAR***</t>
  </si>
  <si>
    <t>26884559</t>
  </si>
  <si>
    <t>FUENTES BARRAZA ALBA CRISTINA</t>
  </si>
  <si>
    <t>FUE**** BAR**** ALB* CRI*****</t>
  </si>
  <si>
    <t>26884740</t>
  </si>
  <si>
    <t>SILVA RUIZ NAIROBIS ESTER</t>
  </si>
  <si>
    <t>SIL** RUI* NAI***** EST**</t>
  </si>
  <si>
    <t>26884809</t>
  </si>
  <si>
    <t>PARAMO CARO ARANA ZULEMA</t>
  </si>
  <si>
    <t>PAR*** CAR* ARA** ZUL***</t>
  </si>
  <si>
    <t>26884828</t>
  </si>
  <si>
    <t>NAVARRO MARTINEZ YEIDYS MARIA</t>
  </si>
  <si>
    <t>NAV**** MAR***** YEI*** MAR**</t>
  </si>
  <si>
    <t>26889225</t>
  </si>
  <si>
    <t>PASTRANA MARTINEZ FANNY MARIA</t>
  </si>
  <si>
    <t>PAS***** MAR***** FAN** MAR**</t>
  </si>
  <si>
    <t>26890351</t>
  </si>
  <si>
    <t>MARTINEZ JIMENEZ LUDYS DEL SOCORRO</t>
  </si>
  <si>
    <t>MAR***** JIM**** LUD** DEL SOC****</t>
  </si>
  <si>
    <t>26892318</t>
  </si>
  <si>
    <t>TERRAZA RANGEL NEREYDA</t>
  </si>
  <si>
    <t>TER**** RAN*** NER****</t>
  </si>
  <si>
    <t>26894526</t>
  </si>
  <si>
    <t>HERRERA DAVILA EUNICE</t>
  </si>
  <si>
    <t>HER**** DAV*** EUN***</t>
  </si>
  <si>
    <t>26899967</t>
  </si>
  <si>
    <t>URBINA TORRES IRIS DEL CARMEN</t>
  </si>
  <si>
    <t>URB*** TOR*** IRI* DEL CAR***</t>
  </si>
  <si>
    <t>26899992</t>
  </si>
  <si>
    <t>LOPEZ MACHADO AMIRA LUZ</t>
  </si>
  <si>
    <t>LOP** MAC**** AMI** LUZ</t>
  </si>
  <si>
    <t>26900139</t>
  </si>
  <si>
    <t>DAVILA DE BENAVIDES STELLA DE JESUS</t>
  </si>
  <si>
    <t>DAV*** DE BEN****** STE*** DE JES**</t>
  </si>
  <si>
    <t>26900219</t>
  </si>
  <si>
    <t>ARRIETA DE MASSON YAJAIRA DE JESUS</t>
  </si>
  <si>
    <t>ARR**** DE MAS*** YAJ**** DE JES**</t>
  </si>
  <si>
    <t>26900229</t>
  </si>
  <si>
    <t>MORALES OTALORA NAYIBES ESTHER</t>
  </si>
  <si>
    <t>MOR**** OTA**** NAY**** EST***</t>
  </si>
  <si>
    <t>26900233</t>
  </si>
  <si>
    <t>MARTINEZ AMADOR CLARIBEL</t>
  </si>
  <si>
    <t>MAR***** AMA*** CLA*****</t>
  </si>
  <si>
    <t>26900460</t>
  </si>
  <si>
    <t>SIERRA MARTINEZ SAUDITH DEL CARMEN</t>
  </si>
  <si>
    <t>SIE*** MAR***** SAU**** DEL CAR***</t>
  </si>
  <si>
    <t>26900498</t>
  </si>
  <si>
    <t>MORALES DE MUÑOZ NEYLA ISABEL</t>
  </si>
  <si>
    <t>MOR**** DE MUÑ** NEY** ISA***</t>
  </si>
  <si>
    <t>26900577</t>
  </si>
  <si>
    <t>ANDRADE GUTIERREZ NELCY DEL CARMEN</t>
  </si>
  <si>
    <t>AND**** GUT****** NEL** DEL CAR***</t>
  </si>
  <si>
    <t>26900581</t>
  </si>
  <si>
    <t>PAVA SIERRA ELBA FRANCISCA</t>
  </si>
  <si>
    <t>PAV* SIE*** ELB* FRA******</t>
  </si>
  <si>
    <t>26900631</t>
  </si>
  <si>
    <t>JAIMES ROJAS SORAYA MERCEDES</t>
  </si>
  <si>
    <t>JAI*** ROJ** SOR*** MER*****</t>
  </si>
  <si>
    <t>26900635</t>
  </si>
  <si>
    <t>DAVILA MEJIA YADIRA BERNARDA</t>
  </si>
  <si>
    <t>DAV*** MEJ** YAD*** BER*****</t>
  </si>
  <si>
    <t>26900691</t>
  </si>
  <si>
    <t>VERGARA MATUTE LUZ MARINA</t>
  </si>
  <si>
    <t>VER**** MAT*** LUZ MAR***</t>
  </si>
  <si>
    <t>26900714</t>
  </si>
  <si>
    <t>DAVILA MEJIA MARIBEL</t>
  </si>
  <si>
    <t>DAV*** MEJ** MAR****</t>
  </si>
  <si>
    <t>26900715</t>
  </si>
  <si>
    <t>ACOSTA CARVAJAL MARIA BERNARDA</t>
  </si>
  <si>
    <t>ACO*** CAR***** MAR** BER*****</t>
  </si>
  <si>
    <t>26900766</t>
  </si>
  <si>
    <t>SIERRA MARTINEZ LUZ MARINA</t>
  </si>
  <si>
    <t>SIE*** MAR***** LUZ MAR***</t>
  </si>
  <si>
    <t>26900833</t>
  </si>
  <si>
    <t>MAURE URBINA NUMYS DEL CARMEN</t>
  </si>
  <si>
    <t>MAU** URB*** NUM** DEL CAR***</t>
  </si>
  <si>
    <t>26900846</t>
  </si>
  <si>
    <t>ARRIETA PEREZ ADRIANA MARIA</t>
  </si>
  <si>
    <t>ARR**** PER** ADR**** MAR**</t>
  </si>
  <si>
    <t>26900879</t>
  </si>
  <si>
    <t>GONZALEZ PIANETA ANA MIREYA</t>
  </si>
  <si>
    <t>GON***** PIA**** ANA MIR***</t>
  </si>
  <si>
    <t>26900908</t>
  </si>
  <si>
    <t>LOPEZ GOMEZ ANA SANTIAGA</t>
  </si>
  <si>
    <t>LOP** GOM** ANA SAN*****</t>
  </si>
  <si>
    <t>26900950</t>
  </si>
  <si>
    <t>LOPEZ JIMENEZ MARIA DEL CARMEN</t>
  </si>
  <si>
    <t>LOP** JIM**** MAR** DEL CAR***</t>
  </si>
  <si>
    <t>26900975</t>
  </si>
  <si>
    <t>NARVAEZ MANCERA EVERLIDES</t>
  </si>
  <si>
    <t>NAR**** MAN**** EVE******</t>
  </si>
  <si>
    <t>26900997</t>
  </si>
  <si>
    <t>LOPEZ COLMENARES LEDIS ELENA</t>
  </si>
  <si>
    <t>LOP** COL******* LED** ELE**</t>
  </si>
  <si>
    <t>26901005</t>
  </si>
  <si>
    <t>LOPEZ DELGADO IBEDIS DEL CARMEN</t>
  </si>
  <si>
    <t>LOP** DEL**** IBE*** DEL CAR***</t>
  </si>
  <si>
    <t>26901018</t>
  </si>
  <si>
    <t>VALDEZ LOPEZ ANA ISABEL</t>
  </si>
  <si>
    <t>VAL*** LOP** ANA ISA***</t>
  </si>
  <si>
    <t>26901019</t>
  </si>
  <si>
    <t>PABA NARVAEZ DOLMARY</t>
  </si>
  <si>
    <t>PAB* NAR**** DOL****</t>
  </si>
  <si>
    <t>26901024</t>
  </si>
  <si>
    <t>BOLAÑO MIRANDA GREGORIA DEL ROSARIO</t>
  </si>
  <si>
    <t>BOL*** MIR**** GRE***** DEL ROS****</t>
  </si>
  <si>
    <t>26901042</t>
  </si>
  <si>
    <t>OLIVEROS VEGA BARBARA PETRONA</t>
  </si>
  <si>
    <t>OLI***** VEG* BAR**** PET****</t>
  </si>
  <si>
    <t>26901045</t>
  </si>
  <si>
    <t>CABARCAS MASSON MERCEDES DEL CARMEN</t>
  </si>
  <si>
    <t>CAB***** MAS*** MER***** DEL CAR***</t>
  </si>
  <si>
    <t>26901072</t>
  </si>
  <si>
    <t>JIMENEZ OLIVEROS BERENICE</t>
  </si>
  <si>
    <t>JIM**** OLI***** BER*****</t>
  </si>
  <si>
    <t>26901084</t>
  </si>
  <si>
    <t>ALFARO GAZCON MARELVI</t>
  </si>
  <si>
    <t>ALF*** GAZ*** MAR****</t>
  </si>
  <si>
    <t>26901106</t>
  </si>
  <si>
    <t>ARRIETA LOPEZ CARLINA ROSA</t>
  </si>
  <si>
    <t>ARR**** LOP** CAR**** ROS*</t>
  </si>
  <si>
    <t>26901107</t>
  </si>
  <si>
    <t>FONSECA LOPEZ DELMI MARIA</t>
  </si>
  <si>
    <t>FON**** LOP** DEL** MAR**</t>
  </si>
  <si>
    <t>26901114</t>
  </si>
  <si>
    <t>GONZALEZ PIANETA LEIDA DEL CARMEN</t>
  </si>
  <si>
    <t>GON***** PIA**** LEI** DEL CAR***</t>
  </si>
  <si>
    <t>26901123</t>
  </si>
  <si>
    <t>YEPEZ GUTIERREZ MARIA TERESA</t>
  </si>
  <si>
    <t>YEP** GUT****** MAR** TER***</t>
  </si>
  <si>
    <t>26901126</t>
  </si>
  <si>
    <t>JIMENEZ ELITIM DORIS ESTHER</t>
  </si>
  <si>
    <t>JIM**** ELI*** DOR** EST***</t>
  </si>
  <si>
    <t>26901138</t>
  </si>
  <si>
    <t>CAAMAÑO GUERRA NELSY GREGORIA</t>
  </si>
  <si>
    <t>CAA**** GUE*** NEL** GRE*****</t>
  </si>
  <si>
    <t>26901139</t>
  </si>
  <si>
    <t>OSPINO ALVAREZ MERLY JOSEFINA</t>
  </si>
  <si>
    <t>OSP*** ALV**** MER** JOS*****</t>
  </si>
  <si>
    <t>26901145</t>
  </si>
  <si>
    <t>LOPEZ DELGADO MARIBEL MERCEDES</t>
  </si>
  <si>
    <t>LOP** DEL**** MAR**** MER*****</t>
  </si>
  <si>
    <t>26901149</t>
  </si>
  <si>
    <t>OLIVARES ORTIZ EMILCE ISABEL</t>
  </si>
  <si>
    <t>OLI***** ORT** EMI*** ISA***</t>
  </si>
  <si>
    <t>26901188</t>
  </si>
  <si>
    <t>FERNANDEZ VERGARA ENNA LUZ</t>
  </si>
  <si>
    <t>FER****** VER**** ENN* LUZ</t>
  </si>
  <si>
    <t>26901215</t>
  </si>
  <si>
    <t>ARAGON MANZUR ROSMARY DEL CARMEN</t>
  </si>
  <si>
    <t>ARA*** MAN*** ROS**** DEL CAR***</t>
  </si>
  <si>
    <t>26901268</t>
  </si>
  <si>
    <t>PABA OLIVERO ANA ELENA</t>
  </si>
  <si>
    <t>PAB* OLI**** ANA ELE**</t>
  </si>
  <si>
    <t>26901280</t>
  </si>
  <si>
    <t>GOMEZ ALFARO IRINA DE JESUS</t>
  </si>
  <si>
    <t>GOM** ALF*** IRI** DE JES**</t>
  </si>
  <si>
    <t>26901286</t>
  </si>
  <si>
    <t>CATALAN ROJAS JESUSITA</t>
  </si>
  <si>
    <t>CAT**** ROJ** JES*****</t>
  </si>
  <si>
    <t>26901316</t>
  </si>
  <si>
    <t>TURIZO VILLAMIZAR CRISTINA ELVIRA</t>
  </si>
  <si>
    <t>TUR*** VIL******* CRI***** ELV***</t>
  </si>
  <si>
    <t>26901317</t>
  </si>
  <si>
    <t>GONZALEZ LASCARRO MARTHA LIGIA</t>
  </si>
  <si>
    <t>GON***** LAS***** MAR*** LIG**</t>
  </si>
  <si>
    <t>26901320</t>
  </si>
  <si>
    <t>DELGADO NUÑEZ DAMARIS</t>
  </si>
  <si>
    <t>DEL**** NUÑ** DAM****</t>
  </si>
  <si>
    <t>26901348</t>
  </si>
  <si>
    <t>LARA PABA MILENA DEL CARMEN</t>
  </si>
  <si>
    <t>LAR* PAB* MIL*** DEL CAR***</t>
  </si>
  <si>
    <t>26901351</t>
  </si>
  <si>
    <t>ACUÑA MORALES ANNETH DEL CARMEN</t>
  </si>
  <si>
    <t>ACU** MOR**** ANN*** DEL CAR***</t>
  </si>
  <si>
    <t>26901354</t>
  </si>
  <si>
    <t>CALIZ LOPEZ LEIDIS ESTER</t>
  </si>
  <si>
    <t>CAL** LOP** LEI*** EST**</t>
  </si>
  <si>
    <t>26901379</t>
  </si>
  <si>
    <t>CAPERA JIMENEZ LUZ ELENA</t>
  </si>
  <si>
    <t>CAP*** JIM**** LUZ ELE**</t>
  </si>
  <si>
    <t>26901406</t>
  </si>
  <si>
    <t>NAVARRO CORONADO DAISY ESTHER</t>
  </si>
  <si>
    <t>NAV**** COR***** DAI** EST***</t>
  </si>
  <si>
    <t>26901417</t>
  </si>
  <si>
    <t>CERA CASTELLAR ERCILIA ROSA</t>
  </si>
  <si>
    <t>CER* CAS****** ERC**** ROS*</t>
  </si>
  <si>
    <t>26901425</t>
  </si>
  <si>
    <t>OTALORA ARRIETA MAYUDIS</t>
  </si>
  <si>
    <t>OTA**** ARR**** MAY****</t>
  </si>
  <si>
    <t>26901455</t>
  </si>
  <si>
    <t>BARRIOS AREVALO TERESA DE LA CRUZ</t>
  </si>
  <si>
    <t>BAR**** ARE**** TER*** DE LA CRU*</t>
  </si>
  <si>
    <t>26901474</t>
  </si>
  <si>
    <t>CATALAN ROJAS MARGARITA ROSA</t>
  </si>
  <si>
    <t>CAT**** ROJ** MAR****** ROS*</t>
  </si>
  <si>
    <t>26901487</t>
  </si>
  <si>
    <t>DELGADO BOLAÑO BISMARA ESTELA</t>
  </si>
  <si>
    <t>DEL**** BOL*** BIS**** EST***</t>
  </si>
  <si>
    <t>26901510</t>
  </si>
  <si>
    <t>TAPIA LASTRE DIORLIN ESTHER</t>
  </si>
  <si>
    <t>TAP** LAS*** DIO**** EST***</t>
  </si>
  <si>
    <t>26901516</t>
  </si>
  <si>
    <t>AREVALO LOPEZ MARTHA LUCIA</t>
  </si>
  <si>
    <t>ARE**** LOP** MAR*** LUC**</t>
  </si>
  <si>
    <t>26901517</t>
  </si>
  <si>
    <t>SANCHEZ SIERRA ARIMA MARIA</t>
  </si>
  <si>
    <t>SAN**** SIE*** ARI** MAR**</t>
  </si>
  <si>
    <t>26901519</t>
  </si>
  <si>
    <t>LOPEZ GARCIA TERESA DE JESUS</t>
  </si>
  <si>
    <t>LOP** GAR*** TER*** DE JES**</t>
  </si>
  <si>
    <t>26901532</t>
  </si>
  <si>
    <t>INDABURO GAZCON YUNARI PIEDAD</t>
  </si>
  <si>
    <t>IND***** GAZ*** YUN*** PIE***</t>
  </si>
  <si>
    <t>26901554</t>
  </si>
  <si>
    <t>MANCERA CUDRIS ANA ELENA</t>
  </si>
  <si>
    <t>MAN**** CUD*** ANA ELE**</t>
  </si>
  <si>
    <t>26901610</t>
  </si>
  <si>
    <t>DELGADO RODERO LINA ESTHER</t>
  </si>
  <si>
    <t>DEL**** ROD*** LIN* EST***</t>
  </si>
  <si>
    <t>26901614</t>
  </si>
  <si>
    <t>RODRIGUEZ JIMENEZ FRANCIA ROSA</t>
  </si>
  <si>
    <t>ROD****** JIM**** FRA**** ROS*</t>
  </si>
  <si>
    <t>26901642</t>
  </si>
  <si>
    <t>GOMEZ SINNING ELOINA DE JESUS</t>
  </si>
  <si>
    <t>GOM** SIN**** ELO*** DE JES**</t>
  </si>
  <si>
    <t>26901659</t>
  </si>
  <si>
    <t>LOPEZ DELGADO CLEMENTINA ISABEL</t>
  </si>
  <si>
    <t>LOP** DEL**** CLE******* ISA***</t>
  </si>
  <si>
    <t>26901675</t>
  </si>
  <si>
    <t>GUTIERREZ DIAZ ROSA SILVANA</t>
  </si>
  <si>
    <t>GUT****** DIA* ROS* SIL****</t>
  </si>
  <si>
    <t>26901684</t>
  </si>
  <si>
    <t>LARIOS CASTRO SAMIRA</t>
  </si>
  <si>
    <t>LAR*** CAS*** SAM***</t>
  </si>
  <si>
    <t>26901685</t>
  </si>
  <si>
    <t>MEJIA YEPES MARTA LUCIA</t>
  </si>
  <si>
    <t>MEJ** YEP** MAR** LUC**</t>
  </si>
  <si>
    <t>26901711</t>
  </si>
  <si>
    <t>LOPEZ GAZCON BEATRIZ ELENA</t>
  </si>
  <si>
    <t>LOP** GAZ*** BEA**** ELE**</t>
  </si>
  <si>
    <t>26901713</t>
  </si>
  <si>
    <t>GOMEZ SINNING NEYLA MARIA</t>
  </si>
  <si>
    <t>GOM** SIN**** NEY** MAR**</t>
  </si>
  <si>
    <t>26901725</t>
  </si>
  <si>
    <t>OSPINO MARTINEZ MARIA VICTORIA</t>
  </si>
  <si>
    <t>OSP*** MAR***** MAR** VIC*****</t>
  </si>
  <si>
    <t>26901726</t>
  </si>
  <si>
    <t>GUTIERREZ ALFARO SANDRA MERCEDES</t>
  </si>
  <si>
    <t>GUT****** ALF*** SAN*** MER*****</t>
  </si>
  <si>
    <t>26901753</t>
  </si>
  <si>
    <t>JIMENEZ CANTILLO MIRLA DEL CARMEN</t>
  </si>
  <si>
    <t>JIM**** CAN***** MIR** DEL CAR***</t>
  </si>
  <si>
    <t>26901760</t>
  </si>
  <si>
    <t>LOPEZ SANCHEZ ESTELA DE JESUS</t>
  </si>
  <si>
    <t>LOP** SAN**** EST*** DE JES**</t>
  </si>
  <si>
    <t>26901763</t>
  </si>
  <si>
    <t>URBINA CAMPO MODESTA ANTONIA</t>
  </si>
  <si>
    <t>URB*** CAM** MOD**** ANT****</t>
  </si>
  <si>
    <t>26901785</t>
  </si>
  <si>
    <t>AGUIRRE LOPEZ MELBA ROSA</t>
  </si>
  <si>
    <t>AGU**** LOP** MEL** ROS*</t>
  </si>
  <si>
    <t>26901800</t>
  </si>
  <si>
    <t>ALFARO AGUILAR ALBA LUZ</t>
  </si>
  <si>
    <t>ALF*** AGU**** ALB* LUZ</t>
  </si>
  <si>
    <t>26901820</t>
  </si>
  <si>
    <t>JIMENEZ CANTILLO JULIA MARIA</t>
  </si>
  <si>
    <t>JIM**** CAN***** JUL** MAR**</t>
  </si>
  <si>
    <t>26901887</t>
  </si>
  <si>
    <t>PADILLA HORMECHEA KETTY</t>
  </si>
  <si>
    <t>PAD**** HOR****** KET**</t>
  </si>
  <si>
    <t>26901905</t>
  </si>
  <si>
    <t>ALVARADO RAMIREZ CARMEN ISABEL</t>
  </si>
  <si>
    <t>ALV***** RAM**** CAR*** ISA***</t>
  </si>
  <si>
    <t>26901908</t>
  </si>
  <si>
    <t>SUAREZ POLANCO ESTHER</t>
  </si>
  <si>
    <t>SUA*** POL**** EST***</t>
  </si>
  <si>
    <t>26901946</t>
  </si>
  <si>
    <t>ALFARO VEGA DANITH DEL CARMEN</t>
  </si>
  <si>
    <t>ALF*** VEG* DAN*** DEL CAR***</t>
  </si>
  <si>
    <t>26903341</t>
  </si>
  <si>
    <t>PEREZ BARRIOS BERTHA EDITH</t>
  </si>
  <si>
    <t>PER** BAR**** BER*** EDI**</t>
  </si>
  <si>
    <t>26903406</t>
  </si>
  <si>
    <t>PADILLA RUIZ NEIDITH ALBANIS</t>
  </si>
  <si>
    <t>PAD**** RUI* NEI**** ALB****</t>
  </si>
  <si>
    <t>26904922</t>
  </si>
  <si>
    <t>LOPEZ SIERRA MARITZA</t>
  </si>
  <si>
    <t>LOP** SIE*** MAR****</t>
  </si>
  <si>
    <t>26904942</t>
  </si>
  <si>
    <t>LOPEZ SIERRA NOREIDA</t>
  </si>
  <si>
    <t>LOP** SIE*** NOR****</t>
  </si>
  <si>
    <t>26904952</t>
  </si>
  <si>
    <t>HADECHINY VENERA ESPERANZA ISABEL</t>
  </si>
  <si>
    <t>HAD****** VEN*** ESP****** ISA***</t>
  </si>
  <si>
    <t>26905064</t>
  </si>
  <si>
    <t>LOPEZ SIMANCA BELKY ELENA</t>
  </si>
  <si>
    <t>LOP** SIM**** BEL** ELE**</t>
  </si>
  <si>
    <t>26905141</t>
  </si>
  <si>
    <t>MACHADO ORTIZ ELENA</t>
  </si>
  <si>
    <t>MAC**** ORT** ELE**</t>
  </si>
  <si>
    <t>26905145</t>
  </si>
  <si>
    <t>MARTINEZ ROJAS YOLIMA</t>
  </si>
  <si>
    <t>MAR***** ROJ** YOL***</t>
  </si>
  <si>
    <t>26905240</t>
  </si>
  <si>
    <t>NAVARRO PEREZ CELENIS DEL CARMEN</t>
  </si>
  <si>
    <t>NAV**** PER** CEL**** DEL CAR***</t>
  </si>
  <si>
    <t>26905360</t>
  </si>
  <si>
    <t>SOTO BENAVIDES GRACIELA DEYANIRA</t>
  </si>
  <si>
    <t>SOT* BEN****** GRA***** DEY*****</t>
  </si>
  <si>
    <t>26905495</t>
  </si>
  <si>
    <t>MONTERO SIMANCA LEIBIS MARIA</t>
  </si>
  <si>
    <t>MON**** SIM**** LEI*** MAR**</t>
  </si>
  <si>
    <t>26906677</t>
  </si>
  <si>
    <t>SINNING LOPEZ LENYS ISABEL</t>
  </si>
  <si>
    <t>SIN**** LOP** LEN** ISA***</t>
  </si>
  <si>
    <t>26906690</t>
  </si>
  <si>
    <t>REYES OROZCO ONILDA ESTHER</t>
  </si>
  <si>
    <t>REY** ORO*** ONI*** EST***</t>
  </si>
  <si>
    <t>26906712</t>
  </si>
  <si>
    <t>HERAZO RADA YANIDE JUDITH</t>
  </si>
  <si>
    <t>HER*** RAD* YAN*** JUD***</t>
  </si>
  <si>
    <t>26906732</t>
  </si>
  <si>
    <t>LARIOS DE LA HOZ MADELINE</t>
  </si>
  <si>
    <t>LAR*** DE LA HOZ MAD*****</t>
  </si>
  <si>
    <t>26906750</t>
  </si>
  <si>
    <t>BECERRA BENITEZ SEYLA MARINA</t>
  </si>
  <si>
    <t>BEC**** BEN**** SEY** MAR***</t>
  </si>
  <si>
    <t>26906755</t>
  </si>
  <si>
    <t>NAVARRO RAMIREZ FATIMA LUZ</t>
  </si>
  <si>
    <t>NAV**** RAM**** FAT*** LUZ</t>
  </si>
  <si>
    <t>26906768</t>
  </si>
  <si>
    <t>LOBO PEREZ LUZ MARINA</t>
  </si>
  <si>
    <t>LOB* PER** LUZ MAR***</t>
  </si>
  <si>
    <t>26906773</t>
  </si>
  <si>
    <t>REYES ANGULO CARMEN EDITH</t>
  </si>
  <si>
    <t>REY** ANG*** CAR*** EDI**</t>
  </si>
  <si>
    <t>26906806</t>
  </si>
  <si>
    <t>DEL CASTILLO SINNING CARMEN BERENA</t>
  </si>
  <si>
    <t>DEL CAS***** SIN**** CAR*** BER***</t>
  </si>
  <si>
    <t>26906810</t>
  </si>
  <si>
    <t>GUTIERREZ AGUILAR LIDIS MARLENY</t>
  </si>
  <si>
    <t>GUT****** AGU**** LID** MAR****</t>
  </si>
  <si>
    <t>26906812</t>
  </si>
  <si>
    <t>MARTINEZ LARIOS MARTA LUZ</t>
  </si>
  <si>
    <t>MAR***** LAR*** MAR** LUZ</t>
  </si>
  <si>
    <t>26907539</t>
  </si>
  <si>
    <t>LEIVA DELGADO SIRENA</t>
  </si>
  <si>
    <t>LEI** DEL**** SIR***</t>
  </si>
  <si>
    <t>26907559</t>
  </si>
  <si>
    <t>PUERTA RICO LUZ MERY</t>
  </si>
  <si>
    <t>PUE*** RIC* LUZ MER*</t>
  </si>
  <si>
    <t>26907562</t>
  </si>
  <si>
    <t>OLIVEROS MARTINEZ DAMARIS</t>
  </si>
  <si>
    <t>OLI***** MAR***** DAM****</t>
  </si>
  <si>
    <t>26907574</t>
  </si>
  <si>
    <t>DELGADO JIMENEZ GRACIELA ISABEL</t>
  </si>
  <si>
    <t>DEL**** JIM**** GRA***** ISA***</t>
  </si>
  <si>
    <t>26907578</t>
  </si>
  <si>
    <t>GARCIA YEPEZ YOLIMA</t>
  </si>
  <si>
    <t>GAR*** YEP** YOL***</t>
  </si>
  <si>
    <t>26907609</t>
  </si>
  <si>
    <t>MARTINEZ SIADO YOLIMA MARIA</t>
  </si>
  <si>
    <t>MAR***** SIA** YOL*** MAR**</t>
  </si>
  <si>
    <t>26907612</t>
  </si>
  <si>
    <t>MARTINEZ SIADO VERENICE DEL CARMEN</t>
  </si>
  <si>
    <t>MAR***** SIA** VER***** DEL CAR***</t>
  </si>
  <si>
    <t>26910302</t>
  </si>
  <si>
    <t>GUZMAN GUTIERRES ELIDA AMINTA</t>
  </si>
  <si>
    <t>GUZ*** GUT****** ELI** AMI***</t>
  </si>
  <si>
    <t>26910350</t>
  </si>
  <si>
    <t>CAHUANA BONETT JASMINE ESTHER</t>
  </si>
  <si>
    <t>CAH**** BON*** JAS**** EST***</t>
  </si>
  <si>
    <t>26910391</t>
  </si>
  <si>
    <t>DE LA CRUZ GUTIERREZ MABEL</t>
  </si>
  <si>
    <t>DE LA CRU* GUT****** MAB**</t>
  </si>
  <si>
    <t>26910403</t>
  </si>
  <si>
    <t>DE LA CRUZ RODRIGUEZ NORA ESTHER</t>
  </si>
  <si>
    <t>DE LA CRU* ROD****** NOR* EST***</t>
  </si>
  <si>
    <t>26910483</t>
  </si>
  <si>
    <t>CEVERICHE DE ALVAREZ PIEDAD DEL SOCORRO</t>
  </si>
  <si>
    <t>CEV****** DE ALV**** PIE*** DEL SOC****</t>
  </si>
  <si>
    <t>26910537</t>
  </si>
  <si>
    <t>FRIAS CANTILLO MARGARITA CECILIA</t>
  </si>
  <si>
    <t>FRI** CAN***** MAR****** CEC****</t>
  </si>
  <si>
    <t>26910548</t>
  </si>
  <si>
    <t>GUTIERREZ LARA ARGELIS MARIA</t>
  </si>
  <si>
    <t>GUT****** LAR* ARG**** MAR**</t>
  </si>
  <si>
    <t>26910567</t>
  </si>
  <si>
    <t>CASTRO VALENCIA MERCEDES</t>
  </si>
  <si>
    <t>CAS*** VAL***** MER*****</t>
  </si>
  <si>
    <t>26910642</t>
  </si>
  <si>
    <t>PAREJO FONTALVO ELIZABETH</t>
  </si>
  <si>
    <t>PAR*** FON***** ELI******</t>
  </si>
  <si>
    <t>26910643</t>
  </si>
  <si>
    <t>DE LA CRUZ DOMINGUEZ NELSY JUDITH</t>
  </si>
  <si>
    <t>DE LA CRU* DOM****** NEL** JUD***</t>
  </si>
  <si>
    <t>26910650</t>
  </si>
  <si>
    <t>GUTIERREZ DE NIETO ESTELA</t>
  </si>
  <si>
    <t>GUT****** DE NIE** EST***</t>
  </si>
  <si>
    <t>26910744</t>
  </si>
  <si>
    <t>SUAREZ TORRES MARELVIS JUDITH</t>
  </si>
  <si>
    <t>SUA*** TOR*** MAR***** JUD***</t>
  </si>
  <si>
    <t>26910762</t>
  </si>
  <si>
    <t>GUTIERREZ VILORIA LUZ MARINA</t>
  </si>
  <si>
    <t>GUT****** VIL**** LUZ MAR***</t>
  </si>
  <si>
    <t>26910885</t>
  </si>
  <si>
    <t>ROSALES TORRES ANABEL MARIA</t>
  </si>
  <si>
    <t>ROS**** TOR*** ANA*** MAR**</t>
  </si>
  <si>
    <t>26911200</t>
  </si>
  <si>
    <t>FANDIÑO AYALA ANA EMILIA</t>
  </si>
  <si>
    <t>FAN**** AYA** ANA EMI***</t>
  </si>
  <si>
    <t>26911227</t>
  </si>
  <si>
    <t>GUTIERREZ GUTIERREZ NELLY</t>
  </si>
  <si>
    <t>GUT****** GUT****** NEL**</t>
  </si>
  <si>
    <t>26911358</t>
  </si>
  <si>
    <t>SANCHEZ FANDIÑO LILIANA ESTHER</t>
  </si>
  <si>
    <t>SAN**** FAN**** LIL**** EST***</t>
  </si>
  <si>
    <t>26911466</t>
  </si>
  <si>
    <t>FONSECA MANGA LUCIANA MARIA</t>
  </si>
  <si>
    <t>FON**** MAN** LUC**** MAR**</t>
  </si>
  <si>
    <t>26911501</t>
  </si>
  <si>
    <t>GUTIERREZ GAMERO LUZ HELENA</t>
  </si>
  <si>
    <t>GUT****** GAM*** LUZ HEL***</t>
  </si>
  <si>
    <t>26911879</t>
  </si>
  <si>
    <t>ESCORCIA MERIÑO ERICA PATRICIA</t>
  </si>
  <si>
    <t>ESC***** MER*** ERI** PAT*****</t>
  </si>
  <si>
    <t>26914315</t>
  </si>
  <si>
    <t>MIRANDA GUTIERREZ CATALINA LUCIA</t>
  </si>
  <si>
    <t>MIR**** GUT****** CAT***** LUC**</t>
  </si>
  <si>
    <t>26914326</t>
  </si>
  <si>
    <t>CHARRIS NIETO SANDRA PATRICIA</t>
  </si>
  <si>
    <t>CHA**** NIE** SAN*** PAT*****</t>
  </si>
  <si>
    <t>26914375</t>
  </si>
  <si>
    <t>GUTIERREZ ROMERO LISBETH PATRICIA</t>
  </si>
  <si>
    <t>GUT****** ROM*** LIS**** PAT*****</t>
  </si>
  <si>
    <t>26917899</t>
  </si>
  <si>
    <t>NAVARRO MONTENEGRO SOL MARINA</t>
  </si>
  <si>
    <t>NAV**** MON******* SOL MAR***</t>
  </si>
  <si>
    <t>26925654</t>
  </si>
  <si>
    <t>RONCALLO MOSCOTE EVELIA DE JESUS</t>
  </si>
  <si>
    <t>RON***** MOS**** EVE*** DE JES**</t>
  </si>
  <si>
    <t>26925674</t>
  </si>
  <si>
    <t>JATTAR DEDE ESTRELLA DEL CARMEN</t>
  </si>
  <si>
    <t>JAT*** DED* EST***** DEL CAR***</t>
  </si>
  <si>
    <t>26925678</t>
  </si>
  <si>
    <t>OSPINO CUELLO MARIA SOLEDAD</t>
  </si>
  <si>
    <t>OSP*** CUE*** MAR** SOL****</t>
  </si>
  <si>
    <t>26925763</t>
  </si>
  <si>
    <t>DE LEON SERRANO DUVIS DEL CARMEN</t>
  </si>
  <si>
    <t>DE LEO* SER**** DUV** DEL CAR***</t>
  </si>
  <si>
    <t>26925816</t>
  </si>
  <si>
    <t>MEJIA GOMEZ MILAGRO CARMEN</t>
  </si>
  <si>
    <t>MEJ** GOM** MIL**** CAR***</t>
  </si>
  <si>
    <t>26925901</t>
  </si>
  <si>
    <t>CERVANTES BOTERO INMACULADA DE JESUS</t>
  </si>
  <si>
    <t>CER****** BOT*** INM******* DE JES**</t>
  </si>
  <si>
    <t>26925917</t>
  </si>
  <si>
    <t>URDA MIRANDA HELDA MERCEDES</t>
  </si>
  <si>
    <t>URD* MIR**** HEL** MER*****</t>
  </si>
  <si>
    <t>26925925</t>
  </si>
  <si>
    <t>MEJIA PEÑA SOFIA DEL SOCORRO</t>
  </si>
  <si>
    <t>MEJ** PEÑ* SOF** DEL SOC****</t>
  </si>
  <si>
    <t>26925927</t>
  </si>
  <si>
    <t>SOLAEZ DIAZ ENEYIS DEL CARMEN</t>
  </si>
  <si>
    <t>SOL*** DIA* ENE*** DEL CAR***</t>
  </si>
  <si>
    <t>26925991</t>
  </si>
  <si>
    <t>URDA MIRANDA ROSARIO MARIA</t>
  </si>
  <si>
    <t>URD* MIR**** ROS**** MAR**</t>
  </si>
  <si>
    <t>26926022</t>
  </si>
  <si>
    <t>JIMENEZ VEGA LETICIA ELENA</t>
  </si>
  <si>
    <t>JIM**** VEG* LET**** ELE**</t>
  </si>
  <si>
    <t>26926074</t>
  </si>
  <si>
    <t>BORRERO DE LEON DIANA MARIA</t>
  </si>
  <si>
    <t>BOR**** DE LEO* DIA** MAR**</t>
  </si>
  <si>
    <t>26926161</t>
  </si>
  <si>
    <t>CURCIO SANDOVAL ALIS ZENITH</t>
  </si>
  <si>
    <t>CUR*** SAN***** ALI* ZEN***</t>
  </si>
  <si>
    <t>26926206</t>
  </si>
  <si>
    <t>DE LEON ORTIZ MARIBEL MARIA</t>
  </si>
  <si>
    <t>DE LEO* ORT** MAR**** MAR**</t>
  </si>
  <si>
    <t>26926264</t>
  </si>
  <si>
    <t>GUZMAN NUÑEZ LILIANA DEL CARMEN</t>
  </si>
  <si>
    <t>GUZ*** NUÑ** LIL**** DEL CAR***</t>
  </si>
  <si>
    <t>26926279</t>
  </si>
  <si>
    <t>OSPINO CURCIO LILIANA MARGARITA</t>
  </si>
  <si>
    <t>OSP*** CUR*** LIL**** MAR******</t>
  </si>
  <si>
    <t>26926445</t>
  </si>
  <si>
    <t>RAMOS VEGA MARIA DEL ROSARIO</t>
  </si>
  <si>
    <t>RAM** VEG* MAR** DEL ROS****</t>
  </si>
  <si>
    <t>26926454</t>
  </si>
  <si>
    <t>DEL PORTILLO MERCADO DANITH ESTHER</t>
  </si>
  <si>
    <t>DEL POR***** MER**** DAN*** EST***</t>
  </si>
  <si>
    <t>26926538</t>
  </si>
  <si>
    <t>MUÑOZ CURCIO DUBERLIS GREGORIA</t>
  </si>
  <si>
    <t>MUÑ** CUR*** DUB***** GRE*****</t>
  </si>
  <si>
    <t>26926587</t>
  </si>
  <si>
    <t>TETAY RAMOS ELVIRA ROSA</t>
  </si>
  <si>
    <t>TET** RAM** ELV*** ROS*</t>
  </si>
  <si>
    <t>26926632</t>
  </si>
  <si>
    <t>DE LEON ORTIZ OLGA PATRICIA</t>
  </si>
  <si>
    <t>DE LEO* ORT** OLG* PAT*****</t>
  </si>
  <si>
    <t>26926657</t>
  </si>
  <si>
    <t>ANAYA ANAYA LEIMA LUZ</t>
  </si>
  <si>
    <t>ANA** ANA** LEI** LUZ</t>
  </si>
  <si>
    <t>26927012</t>
  </si>
  <si>
    <t>NUÑEZ ANAYA ROSA MARIA</t>
  </si>
  <si>
    <t>NUÑ** ANA** ROS* MAR**</t>
  </si>
  <si>
    <t>26927034</t>
  </si>
  <si>
    <t>ORDOÑEZ OROZCO MARLA YOHANA</t>
  </si>
  <si>
    <t>ORD**** ORO*** MAR** YOH***</t>
  </si>
  <si>
    <t>26927205</t>
  </si>
  <si>
    <t>CARDENAS RODRIGUEZ ANA CECILIA</t>
  </si>
  <si>
    <t>CAR***** ROD****** ANA CEC****</t>
  </si>
  <si>
    <t>26929184</t>
  </si>
  <si>
    <t>PEREA FONTALVO GLADIS TERESA</t>
  </si>
  <si>
    <t>PER** FON***** GLA*** TER***</t>
  </si>
  <si>
    <t>26930257</t>
  </si>
  <si>
    <t>NUÑEZ BARRETO LEDIS MARINA</t>
  </si>
  <si>
    <t>NUÑ** BAR**** LED** MAR***</t>
  </si>
  <si>
    <t>26930339</t>
  </si>
  <si>
    <t>MEDINA CARVAL MIRIAN DEL CARMEN</t>
  </si>
  <si>
    <t>MED*** CAR*** MIR*** DEL CAR***</t>
  </si>
  <si>
    <t>26931503</t>
  </si>
  <si>
    <t>OROZCO ANAYA DAMARIS YANETH</t>
  </si>
  <si>
    <t>ORO*** ANA** DAM**** YAN***</t>
  </si>
  <si>
    <t>26947212</t>
  </si>
  <si>
    <t>CABALLERO CONTRERAS CARMEN DOMINGA</t>
  </si>
  <si>
    <t>CAB****** CON****** CAR*** DOM****</t>
  </si>
  <si>
    <t>26947791</t>
  </si>
  <si>
    <t>PEREZ SALCEDO CLAUDIA PATRICIA</t>
  </si>
  <si>
    <t>PER** SAL**** CLA**** PAT*****</t>
  </si>
  <si>
    <t>26995301</t>
  </si>
  <si>
    <t>MARTINEZ MARTINEZ GLENIS MARIA</t>
  </si>
  <si>
    <t>MAR***** MAR***** GLE*** MAR**</t>
  </si>
  <si>
    <t>26995519</t>
  </si>
  <si>
    <t>PEDROZO ALFARO JACQUELINE</t>
  </si>
  <si>
    <t>PED**** ALF*** JAC*******</t>
  </si>
  <si>
    <t>27016990</t>
  </si>
  <si>
    <t>CABRERA ROSADO CLARENA ESTELLA</t>
  </si>
  <si>
    <t>CAB**** ROS*** CLA**** EST****</t>
  </si>
  <si>
    <t>27024397</t>
  </si>
  <si>
    <t>DE LA HOZ CANTILLO MILAGRO DE JESUS</t>
  </si>
  <si>
    <t>DE LA HOZ CAN***** MIL**** DE JES**</t>
  </si>
  <si>
    <t>28156731</t>
  </si>
  <si>
    <t>OCHOA BELEÑO MILAGRO DE JESUS</t>
  </si>
  <si>
    <t>OCH** BEL*** MIL**** DE JES**</t>
  </si>
  <si>
    <t>28311439</t>
  </si>
  <si>
    <t>MARTINEZ PEDROZO LUZ MARINA</t>
  </si>
  <si>
    <t>MAR***** PED**** LUZ MAR***</t>
  </si>
  <si>
    <t>29117200</t>
  </si>
  <si>
    <t>COLLAZOS GARZON MELIZANDA</t>
  </si>
  <si>
    <t>COL***** GAR*** MEL******</t>
  </si>
  <si>
    <t>30319643</t>
  </si>
  <si>
    <t>SALAZAR FRIAS DEIRY IVONE</t>
  </si>
  <si>
    <t>SAL**** FRI** DEI** IVO**</t>
  </si>
  <si>
    <t>30654306</t>
  </si>
  <si>
    <t>DORIA DORIA ANA LUDYS</t>
  </si>
  <si>
    <t>DOR** DOR** ANA LUD**</t>
  </si>
  <si>
    <t>30825290</t>
  </si>
  <si>
    <t>LOPEZ SIMANCA ADRIA</t>
  </si>
  <si>
    <t>LOP** SIM**** ADR**</t>
  </si>
  <si>
    <t>30825418</t>
  </si>
  <si>
    <t>JIMENEZ OLIVERO ANA MARIA</t>
  </si>
  <si>
    <t>JIM**** OLI**** ANA MAR**</t>
  </si>
  <si>
    <t>30840132</t>
  </si>
  <si>
    <t>SALINAS BARRIOS ARACELY ESTER</t>
  </si>
  <si>
    <t>SAL**** BAR**** ARA**** EST**</t>
  </si>
  <si>
    <t>30844172</t>
  </si>
  <si>
    <t>VERDOOREN GUZMAN ELSA MARIA</t>
  </si>
  <si>
    <t>VER****** GUZ*** ELS* MAR**</t>
  </si>
  <si>
    <t>30878549</t>
  </si>
  <si>
    <t>VALENCIA MARRIAGA AMPARO DEL SOCORRO</t>
  </si>
  <si>
    <t>VAL***** MAR***** AMP*** DEL SOC****</t>
  </si>
  <si>
    <t>30896712</t>
  </si>
  <si>
    <t>ARRIETA ZABALETA NELSY YANETH</t>
  </si>
  <si>
    <t>ARR**** ZAB***** NEL** YAN***</t>
  </si>
  <si>
    <t>30896992</t>
  </si>
  <si>
    <t>SALGADO CUETO TANIA SOFIA</t>
  </si>
  <si>
    <t>SAL**** CUE** TAN** SOF**</t>
  </si>
  <si>
    <t>30897025</t>
  </si>
  <si>
    <t>DE LEON JIMENEZ DANIRIS MARIA</t>
  </si>
  <si>
    <t>DE LEO* JIM**** DAN**** MAR**</t>
  </si>
  <si>
    <t>31260321</t>
  </si>
  <si>
    <t>SANCHEZ LUZ MARINA</t>
  </si>
  <si>
    <t>SAN**** LUZ MAR***</t>
  </si>
  <si>
    <t>32275953</t>
  </si>
  <si>
    <t>URREGO CARVAJAL OLGA LUCIA</t>
  </si>
  <si>
    <t>5C3</t>
  </si>
  <si>
    <t>URR*** CAR***** OLG* LUC**</t>
  </si>
  <si>
    <t>32295681</t>
  </si>
  <si>
    <t>MURILLO MESTRA MIRLETH MERCEDES</t>
  </si>
  <si>
    <t>MUR**** MES*** MIR**** MER*****</t>
  </si>
  <si>
    <t>32580320</t>
  </si>
  <si>
    <t>PERTUZ HERRERA HEIDIS MIRELLA</t>
  </si>
  <si>
    <t>PER*** HER**** HEI*** MIR****</t>
  </si>
  <si>
    <t>32580748</t>
  </si>
  <si>
    <t>OROZCO OROZCO BIVIANA EMELINA</t>
  </si>
  <si>
    <t>ORO*** ORO*** BIV**** EME****</t>
  </si>
  <si>
    <t>32583544</t>
  </si>
  <si>
    <t>MERIÑO RAMIREZ NANLLY DEL CARMEN</t>
  </si>
  <si>
    <t>MER*** RAM**** NAN*** DEL CAR***</t>
  </si>
  <si>
    <t>32606678</t>
  </si>
  <si>
    <t>GUERRERO IBAÑEZ EVADYS ESTHER</t>
  </si>
  <si>
    <t>GUE***** IBA*** EVA*** EST***</t>
  </si>
  <si>
    <t>32606802</t>
  </si>
  <si>
    <t>JIMENEZ NUÑEZ MARTHA LUZ</t>
  </si>
  <si>
    <t>JIM**** NUÑ** MAR*** LUZ</t>
  </si>
  <si>
    <t>32608106</t>
  </si>
  <si>
    <t>ORTEGA ESCALANTE LILIA ROSA</t>
  </si>
  <si>
    <t>ORT*** ESC****** LIL** ROS*</t>
  </si>
  <si>
    <t>32612078</t>
  </si>
  <si>
    <t>CAMPO OSPINO ROSMERY</t>
  </si>
  <si>
    <t>CAM** OSP*** ROS****</t>
  </si>
  <si>
    <t>32612463</t>
  </si>
  <si>
    <t>DE ARCO MEJIA VICTORIA BEATRIZ</t>
  </si>
  <si>
    <t>DE ARC* MEJ** VIC***** BEA****</t>
  </si>
  <si>
    <t>32612880</t>
  </si>
  <si>
    <t>ROJAS DE LA ROSA MILEYVIS</t>
  </si>
  <si>
    <t>ROJ** DE LA ROS* MIL*****</t>
  </si>
  <si>
    <t>32615326</t>
  </si>
  <si>
    <t>CERVANTES ALVAREZ NORYS DEL CARMEN</t>
  </si>
  <si>
    <t>CER****** ALV**** NOR** DEL CAR***</t>
  </si>
  <si>
    <t>32619526</t>
  </si>
  <si>
    <t>YANEZ ORTEGA EDITH MARIA</t>
  </si>
  <si>
    <t>YAN** ORT*** EDI** MAR**</t>
  </si>
  <si>
    <t>32623461</t>
  </si>
  <si>
    <t>PERTUZ FONTALVO YACENIS ISABEL</t>
  </si>
  <si>
    <t>PER*** FON***** YAC**** ISA***</t>
  </si>
  <si>
    <t>32626559</t>
  </si>
  <si>
    <t>VIZCAINO CHARRIS MARELYS JUDITH</t>
  </si>
  <si>
    <t>VIZ***** CHA**** MAR**** JUD***</t>
  </si>
  <si>
    <t>32626887</t>
  </si>
  <si>
    <t>CAMPO GUTIERREZ ALBA MARINA</t>
  </si>
  <si>
    <t>CAM** GUT****** ALB* MAR***</t>
  </si>
  <si>
    <t>32635263</t>
  </si>
  <si>
    <t>FERNANDEZ CARRILLO DAISY DEL ROSARIO</t>
  </si>
  <si>
    <t>FER****** CAR***** DAI** DEL ROS****</t>
  </si>
  <si>
    <t>32635303</t>
  </si>
  <si>
    <t>NARVAEZ VILLALOBOS MARLENE ISABEL</t>
  </si>
  <si>
    <t>NAR**** VIL******* MAR**** ISA***</t>
  </si>
  <si>
    <t>32636873</t>
  </si>
  <si>
    <t>BALLESTEROS PEREZ MARTHA CECILIA</t>
  </si>
  <si>
    <t>BAL******** PER** MAR*** CEC****</t>
  </si>
  <si>
    <t>32636923</t>
  </si>
  <si>
    <t>SANTAMARIA DE LIMA NANCY DEL ROSARIO</t>
  </si>
  <si>
    <t>SAN******* DE LIM* NAN** DEL ROS****</t>
  </si>
  <si>
    <t>32637332</t>
  </si>
  <si>
    <t>PUGLIESE DE LA ROSA EDITH MARIA</t>
  </si>
  <si>
    <t>PUG***** DE LA ROS* EDI** MAR**</t>
  </si>
  <si>
    <t>32640531</t>
  </si>
  <si>
    <t>ROMO ORTIZ MIRIAM CECILIA</t>
  </si>
  <si>
    <t>ROM* ORT** MIR*** CEC****</t>
  </si>
  <si>
    <t>32640667</t>
  </si>
  <si>
    <t>ROSILLO LASCARRO ELIZABETH</t>
  </si>
  <si>
    <t>ROS**** LAS***** ELI******</t>
  </si>
  <si>
    <t>32641191</t>
  </si>
  <si>
    <t>PAREJO DE MARQUEZ LUZ MARINA</t>
  </si>
  <si>
    <t>PAR*** DE MAR**** LUZ MAR***</t>
  </si>
  <si>
    <t>32641685</t>
  </si>
  <si>
    <t>PACHECO CANTILLO ADA DEL SOCORRO</t>
  </si>
  <si>
    <t>PAC**** CAN***** ADA DEL SOC****</t>
  </si>
  <si>
    <t>32642612</t>
  </si>
  <si>
    <t>MEJIA GUTIERREZ EYENITH CECILIA</t>
  </si>
  <si>
    <t>MEJ** GUT****** EYE**** CEC****</t>
  </si>
  <si>
    <t>32642917</t>
  </si>
  <si>
    <t>SALAS VASQUEZ MABEL DEL ROSARIO</t>
  </si>
  <si>
    <t>SAL** VAS**** MAB** DEL ROS****</t>
  </si>
  <si>
    <t>32648461</t>
  </si>
  <si>
    <t>RODRIGUEZ POLO LUZ MARINA</t>
  </si>
  <si>
    <t>ROD****** POL* LUZ MAR***</t>
  </si>
  <si>
    <t>32652070</t>
  </si>
  <si>
    <t>MARTINEZ RAMBAL SIRITH MARIA</t>
  </si>
  <si>
    <t>MAR***** RAM*** SIR*** MAR**</t>
  </si>
  <si>
    <t>32653135</t>
  </si>
  <si>
    <t>AROCA BARRIOS CELIA MARIA</t>
  </si>
  <si>
    <t>ARO** BAR**** CEL** MAR**</t>
  </si>
  <si>
    <t>32654329</t>
  </si>
  <si>
    <t>OSORIO ACOSTA ARELYS MARIA</t>
  </si>
  <si>
    <t>OSO*** ACO*** ARE*** MAR**</t>
  </si>
  <si>
    <t>32654448</t>
  </si>
  <si>
    <t>LOPEZ GUERRA MARLENE DE JESUS</t>
  </si>
  <si>
    <t>LOP** GUE*** MAR**** DE JES**</t>
  </si>
  <si>
    <t>32657944</t>
  </si>
  <si>
    <t>HERNANDEZ DE LA HOZ FARIDES</t>
  </si>
  <si>
    <t>HER****** DE LA HOZ FAR****</t>
  </si>
  <si>
    <t>32658308</t>
  </si>
  <si>
    <t>BORNACELLI TERNERA MARIA JOSEFA</t>
  </si>
  <si>
    <t>BOR******* TER**** MAR** JOS***</t>
  </si>
  <si>
    <t>32658442</t>
  </si>
  <si>
    <t>ORTIZ SEVERINE YESENIA ESTHER</t>
  </si>
  <si>
    <t>ORT** SEV***** YES**** EST***</t>
  </si>
  <si>
    <t>32660385</t>
  </si>
  <si>
    <t>BARBOSA JIMENEZ XIOMARA</t>
  </si>
  <si>
    <t>BAR**** JIM**** XIO****</t>
  </si>
  <si>
    <t>32660439</t>
  </si>
  <si>
    <t>MOLINA VILLAMIZAR NATIVIDAD DEL SOCORRO</t>
  </si>
  <si>
    <t>MOL*** VIL******* NAT****** DEL SOC****</t>
  </si>
  <si>
    <t>32660656</t>
  </si>
  <si>
    <t>RAMOS SALTARIN CARMEN ALICIA</t>
  </si>
  <si>
    <t>RAM** SAL***** CAR*** ALI***</t>
  </si>
  <si>
    <t>32661882</t>
  </si>
  <si>
    <t>JIMENEZ DEL VALLE ELVIA ROSA</t>
  </si>
  <si>
    <t>JIM**** DEL VAL** ELV** ROS*</t>
  </si>
  <si>
    <t>32662172</t>
  </si>
  <si>
    <t>SALAS POLO EDITH CECILIA</t>
  </si>
  <si>
    <t>SAL** POL* EDI** CEC****</t>
  </si>
  <si>
    <t>32662622</t>
  </si>
  <si>
    <t>YANCE OROZCO ELUDIT JUDITH</t>
  </si>
  <si>
    <t>YAN** ORO*** ELU*** JUD***</t>
  </si>
  <si>
    <t>32662945</t>
  </si>
  <si>
    <t>LIZARAZO SUAREZ CONCEPCION</t>
  </si>
  <si>
    <t>LIZ***** SUA*** CON*******</t>
  </si>
  <si>
    <t>32663511</t>
  </si>
  <si>
    <t>CAMPO JIMENEZ RITA DEL CARMEN</t>
  </si>
  <si>
    <t>CAM** JIM**** RIT* DEL CAR***</t>
  </si>
  <si>
    <t>32665232</t>
  </si>
  <si>
    <t>PARRA SUAREZ ILSIS NAYITH</t>
  </si>
  <si>
    <t>PAR** SUA*** ILS** NAY***</t>
  </si>
  <si>
    <t>32665236</t>
  </si>
  <si>
    <t>MERCADO OROZCO LOLA CARMEN</t>
  </si>
  <si>
    <t>MER**** ORO*** LOL* CAR***</t>
  </si>
  <si>
    <t>32666399</t>
  </si>
  <si>
    <t>VEGA OSPINO MARTHA LETICIA</t>
  </si>
  <si>
    <t>VEG* OSP*** MAR*** LET****</t>
  </si>
  <si>
    <t>32666873</t>
  </si>
  <si>
    <t>DADUL BARROS GELUHA MARIA</t>
  </si>
  <si>
    <t>DAD** BAR*** GEL*** MAR**</t>
  </si>
  <si>
    <t>32667511</t>
  </si>
  <si>
    <t>VILLA PERTUZ MARIA AUXILIADORA</t>
  </si>
  <si>
    <t>VIL** PER*** MAR** AUX********</t>
  </si>
  <si>
    <t>32669607</t>
  </si>
  <si>
    <t>CARO PEREZ YOLANDA MERCEDES</t>
  </si>
  <si>
    <t>CAR* PER** YOL**** MER*****</t>
  </si>
  <si>
    <t>32669632</t>
  </si>
  <si>
    <t>DIAZ CAÑAS DOLORES MARGARITA</t>
  </si>
  <si>
    <t>DIA* CAÑ** DOL**** MAR******</t>
  </si>
  <si>
    <t>32670164</t>
  </si>
  <si>
    <t>GONZALEZ PEREZ ISLAY CECILIA</t>
  </si>
  <si>
    <t>GON***** PER** ISL** CEC****</t>
  </si>
  <si>
    <t>32670538</t>
  </si>
  <si>
    <t>PEDROZA ARELLANO MARGARITA ROSA</t>
  </si>
  <si>
    <t>PED**** ARE***** MAR****** ROS*</t>
  </si>
  <si>
    <t>32671587</t>
  </si>
  <si>
    <t>SANCHEZ MEZA YADIRA ESTER</t>
  </si>
  <si>
    <t>SAN**** MEZ* YAD*** EST**</t>
  </si>
  <si>
    <t>32673519</t>
  </si>
  <si>
    <t>VILLAR ORTEGA YENIS YANETH</t>
  </si>
  <si>
    <t>VIL*** ORT*** YEN** YAN***</t>
  </si>
  <si>
    <t>32673709</t>
  </si>
  <si>
    <t>MOVILLA FONTALVO MAYDA MARIA</t>
  </si>
  <si>
    <t>MOV**** FON***** MAY** MAR**</t>
  </si>
  <si>
    <t>32673896</t>
  </si>
  <si>
    <t>OROZCO VILLA AMARILIS ESTELA</t>
  </si>
  <si>
    <t>ORO*** VIL** AMA***** EST***</t>
  </si>
  <si>
    <t>32675514</t>
  </si>
  <si>
    <t>TORRES AGUILAR IDALIDES ISABEL</t>
  </si>
  <si>
    <t>TOR*** AGU**** IDA***** ISA***</t>
  </si>
  <si>
    <t>32676177</t>
  </si>
  <si>
    <t>NUÑEZ MERCADO MARIA GREGORIA</t>
  </si>
  <si>
    <t>NUÑ** MER**** MAR** GRE*****</t>
  </si>
  <si>
    <t>32676203</t>
  </si>
  <si>
    <t>CERA OROZCO ROSA ESTHER</t>
  </si>
  <si>
    <t>CER* ORO*** ROS* EST***</t>
  </si>
  <si>
    <t>32676548</t>
  </si>
  <si>
    <t>CANTILLO TORRES DORIS MERCEDES</t>
  </si>
  <si>
    <t>CAN***** TOR*** DOR** MER*****</t>
  </si>
  <si>
    <t>32677024</t>
  </si>
  <si>
    <t>PERTUZ GUETTE CARMEN MANUELA</t>
  </si>
  <si>
    <t>PER*** GUE*** CAR*** MAN****</t>
  </si>
  <si>
    <t>32678305</t>
  </si>
  <si>
    <t>MARTINEZ ORDOÑEZ BLEDYS</t>
  </si>
  <si>
    <t>MAR***** ORD**** BLE***</t>
  </si>
  <si>
    <t>32678533</t>
  </si>
  <si>
    <t>ROJANO ORTIZ MARIA</t>
  </si>
  <si>
    <t>ROJ*** ORT** MAR**</t>
  </si>
  <si>
    <t>32679887</t>
  </si>
  <si>
    <t>COLPAS ANGARITAS KIRIA MARGARITA</t>
  </si>
  <si>
    <t>COL*** ANG****** KIR** MAR******</t>
  </si>
  <si>
    <t>32680254</t>
  </si>
  <si>
    <t>CANTILLO MERCADO OLFA ESTHER</t>
  </si>
  <si>
    <t>CAN***** MER**** OLF* EST***</t>
  </si>
  <si>
    <t>32680664</t>
  </si>
  <si>
    <t>NARVAEZ GOMEZ VILMA DE JESUS</t>
  </si>
  <si>
    <t>NAR**** GOM** VIL** DE JES**</t>
  </si>
  <si>
    <t>32686185</t>
  </si>
  <si>
    <t>RAMOS RANGEL ROSMERY</t>
  </si>
  <si>
    <t>RAM** RAN*** ROS****</t>
  </si>
  <si>
    <t>32687841</t>
  </si>
  <si>
    <t>MORENO ARIZA YAMILE MONSERRAT</t>
  </si>
  <si>
    <t>MOR*** ARI** YAM*** MON******</t>
  </si>
  <si>
    <t>32689863</t>
  </si>
  <si>
    <t>CARRILLO ESTRADA MARIA LUISA</t>
  </si>
  <si>
    <t>CAR***** EST**** MAR** LUI**</t>
  </si>
  <si>
    <t>32690041</t>
  </si>
  <si>
    <t>POLO CASTRO NIDIS DEL SOCORRO</t>
  </si>
  <si>
    <t>POL* CAS*** NID** DEL SOC****</t>
  </si>
  <si>
    <t>32691481</t>
  </si>
  <si>
    <t>CASTAÑEDA RODRIGUEZ ESTHER EMILIA</t>
  </si>
  <si>
    <t>CAS****** ROD****** EST*** EMI***</t>
  </si>
  <si>
    <t>32691588</t>
  </si>
  <si>
    <t>CERVANTES GARZON CARMEN ALICIA</t>
  </si>
  <si>
    <t>CER****** GAR*** CAR*** ALI***</t>
  </si>
  <si>
    <t>32692812</t>
  </si>
  <si>
    <t>BECERRA CASTRO ALICIA DEL CARMEN</t>
  </si>
  <si>
    <t>BEC**** CAS*** ALI*** DEL CAR***</t>
  </si>
  <si>
    <t>32694526</t>
  </si>
  <si>
    <t>NAVARRO GONZALEZ SISIS YANETH</t>
  </si>
  <si>
    <t>NAV**** GON***** SIS** YAN***</t>
  </si>
  <si>
    <t>32697107</t>
  </si>
  <si>
    <t>CASTRO TOLOZA MARCELINA DEL CARMEN</t>
  </si>
  <si>
    <t>CAS*** TOL*** MAR****** DEL CAR***</t>
  </si>
  <si>
    <t>32697592</t>
  </si>
  <si>
    <t>JIMENEZ ORTEGA LORENZA ISABEL</t>
  </si>
  <si>
    <t>JIM**** ORT*** LOR**** ISA***</t>
  </si>
  <si>
    <t>32697794</t>
  </si>
  <si>
    <t>ALFARO OCHOA MARIA BERNARDA</t>
  </si>
  <si>
    <t>ALF*** OCH** MAR** BER*****</t>
  </si>
  <si>
    <t>32701537</t>
  </si>
  <si>
    <t>HERNANDEZ MIRANDA PIEDAD MARIA</t>
  </si>
  <si>
    <t>HER****** MIR**** PIE*** MAR**</t>
  </si>
  <si>
    <t>32702989</t>
  </si>
  <si>
    <t>TOVAR AROCA ROSA DEL CARMEN</t>
  </si>
  <si>
    <t>TOV** ARO** ROS* DEL CAR***</t>
  </si>
  <si>
    <t>32704366</t>
  </si>
  <si>
    <t>FLOREZ FLOREZ GILMA BEATRIZ</t>
  </si>
  <si>
    <t>FLO*** FLO*** GIL** BEA****</t>
  </si>
  <si>
    <t>32704612</t>
  </si>
  <si>
    <t>ALVARADO RANGEL YUDY</t>
  </si>
  <si>
    <t>ALV***** RAN*** YUD*</t>
  </si>
  <si>
    <t>32705466</t>
  </si>
  <si>
    <t>MANGA SANCHEZ ARACELIS JUDITH</t>
  </si>
  <si>
    <t>MAN** SAN**** ARA***** JUD***</t>
  </si>
  <si>
    <t>32705785</t>
  </si>
  <si>
    <t>PEÑA GONZALEZ ALEIDA</t>
  </si>
  <si>
    <t>PEÑ* GON***** ALE***</t>
  </si>
  <si>
    <t>32706030</t>
  </si>
  <si>
    <t>MENA RODRIGUEZ LILA ASTRID</t>
  </si>
  <si>
    <t>MEN* ROD****** LIL* AST***</t>
  </si>
  <si>
    <t>32706063</t>
  </si>
  <si>
    <t>CONTRERAS QUIROZ CLARIBETH</t>
  </si>
  <si>
    <t>CON****** QUI*** CLA******</t>
  </si>
  <si>
    <t>32708199</t>
  </si>
  <si>
    <t>ISAZA ILIAS ROSMERY</t>
  </si>
  <si>
    <t>ISA** ILI** ROS****</t>
  </si>
  <si>
    <t>32708820</t>
  </si>
  <si>
    <t>SALAS ALI SOCORRO DEL CARMEN</t>
  </si>
  <si>
    <t>SAL** ALI SOC**** DEL CAR***</t>
  </si>
  <si>
    <t>32709064</t>
  </si>
  <si>
    <t>CASTRO TOLOZA MARTHA ELENA</t>
  </si>
  <si>
    <t>CAS*** TOL*** MAR*** ELE**</t>
  </si>
  <si>
    <t>32709178</t>
  </si>
  <si>
    <t>MERCADO MEYER INES MARIA</t>
  </si>
  <si>
    <t>MER**** MEY** INE* MAR**</t>
  </si>
  <si>
    <t>32710000</t>
  </si>
  <si>
    <t>PAREJA ESCOBAR CARMEN ELENA</t>
  </si>
  <si>
    <t>PAR*** ESC**** CAR*** ELE**</t>
  </si>
  <si>
    <t>32710153</t>
  </si>
  <si>
    <t>VILLAR ORTEGA DEISY CECILIA</t>
  </si>
  <si>
    <t>VIL*** ORT*** DEI** CEC****</t>
  </si>
  <si>
    <t>32711090</t>
  </si>
  <si>
    <t>FUENTES RODRIGUEZ CARMIÑA VICTORIA</t>
  </si>
  <si>
    <t>FUE**** ROD****** CAR**** VIC*****</t>
  </si>
  <si>
    <t>32711558</t>
  </si>
  <si>
    <t>ORTIZ CANTILLO INDIRA</t>
  </si>
  <si>
    <t>ORT** CAN***** IND***</t>
  </si>
  <si>
    <t>32713777</t>
  </si>
  <si>
    <t>ROPAIN LOBO NITZA MARY</t>
  </si>
  <si>
    <t>ROP*** LOB* NIT** MAR*</t>
  </si>
  <si>
    <t>32714520</t>
  </si>
  <si>
    <t>SANCHEZ DE MOYA ADRIANA ELENA</t>
  </si>
  <si>
    <t>SAN**** DE MOY* ADR**** ELE**</t>
  </si>
  <si>
    <t>32717938</t>
  </si>
  <si>
    <t>CANTILLO JIMENEZ EMILSE BEATRIZ</t>
  </si>
  <si>
    <t>CAN***** JIM**** EMI*** BEA****</t>
  </si>
  <si>
    <t>32718247</t>
  </si>
  <si>
    <t>JURADO GALLARDO MARIA CONCEPCION</t>
  </si>
  <si>
    <t>JUR*** GAL***** MAR** CON*******</t>
  </si>
  <si>
    <t>32718322</t>
  </si>
  <si>
    <t>JIMENEZ LUNA ANA MARGOTH</t>
  </si>
  <si>
    <t>JIM**** LUN* ANA MAR****</t>
  </si>
  <si>
    <t>32721322</t>
  </si>
  <si>
    <t>CABALLERO CABALLERO AURA</t>
  </si>
  <si>
    <t>CAB****** CAB****** AUR*</t>
  </si>
  <si>
    <t>32721502</t>
  </si>
  <si>
    <t>ZAMBRANO ACOSTA LINA PATRICIA</t>
  </si>
  <si>
    <t>ZAM***** ACO*** LIN* PAT*****</t>
  </si>
  <si>
    <t>32721604</t>
  </si>
  <si>
    <t>AGUILAR MOLINA ROSAURA</t>
  </si>
  <si>
    <t>AGU**** MOL*** ROS****</t>
  </si>
  <si>
    <t>32722792</t>
  </si>
  <si>
    <t>AGUDELO BUSTAMANTE ISABEL CRISTINA</t>
  </si>
  <si>
    <t>AGU**** BUS******* ISA*** CRI*****</t>
  </si>
  <si>
    <t>32722908</t>
  </si>
  <si>
    <t>MONTAGUT HERNANDEZ YUDIS DEL SOCORRO</t>
  </si>
  <si>
    <t>MON***** HER****** YUD** DEL SOC****</t>
  </si>
  <si>
    <t>32723072</t>
  </si>
  <si>
    <t>CERRA ESCALANTE ROCIO ESTELA</t>
  </si>
  <si>
    <t>CER** ESC****** ROC** EST***</t>
  </si>
  <si>
    <t>32723335</t>
  </si>
  <si>
    <t>SALAS CASTRO ROSIRIS DEL CARMEN</t>
  </si>
  <si>
    <t>SAL** CAS*** ROS**** DEL CAR***</t>
  </si>
  <si>
    <t>32723637</t>
  </si>
  <si>
    <t>ESCORCIA MARTINEZ DALGIS DEL ROSARIO</t>
  </si>
  <si>
    <t>ESC***** MAR***** DAL*** DEL ROS****</t>
  </si>
  <si>
    <t>32724085</t>
  </si>
  <si>
    <t>PAEZ BORRERO MARIA ELVIRA</t>
  </si>
  <si>
    <t>PAE* BOR**** MAR** ELV***</t>
  </si>
  <si>
    <t>32724179</t>
  </si>
  <si>
    <t>CHARRIS CHARRIS BERTHA CECILIA</t>
  </si>
  <si>
    <t>CHA**** CHA**** BER*** CEC****</t>
  </si>
  <si>
    <t>32726054</t>
  </si>
  <si>
    <t>JARAMILLO ARIAS ALGIMIRA IRENE</t>
  </si>
  <si>
    <t>JAR****** ARI** ALG***** IRE**</t>
  </si>
  <si>
    <t>32727125</t>
  </si>
  <si>
    <t>VIZCAINO DE LA HOZ PIEDAD DEL CARMEN</t>
  </si>
  <si>
    <t>VIZ***** DE LA HOZ PIE*** DEL CAR***</t>
  </si>
  <si>
    <t>32727192</t>
  </si>
  <si>
    <t>LOPEZ OSPINO MARELBIS DEL SOCORRO</t>
  </si>
  <si>
    <t>LOP** OSP*** MAR***** DEL SOC****</t>
  </si>
  <si>
    <t>32727286</t>
  </si>
  <si>
    <t>GUERRERO GARCIA NIRIAN ELENA</t>
  </si>
  <si>
    <t>GUE***** GAR*** NIR*** ELE**</t>
  </si>
  <si>
    <t>32727404</t>
  </si>
  <si>
    <t>CARRILLO ZAMBRANO MONICA ELVIRA</t>
  </si>
  <si>
    <t>CAR***** ZAM***** MON*** ELV***</t>
  </si>
  <si>
    <t>32728573</t>
  </si>
  <si>
    <t>CUETO FUENTES DEYSI ESTELA</t>
  </si>
  <si>
    <t>CUE** FUE**** DEY** EST***</t>
  </si>
  <si>
    <t>32728770</t>
  </si>
  <si>
    <t>ARROYO GUTIERREZ GEORGINA DEL CARMEN</t>
  </si>
  <si>
    <t>ARR*** GUT****** GEO***** DEL CAR***</t>
  </si>
  <si>
    <t>32730089</t>
  </si>
  <si>
    <t>MARTINEZ MARTINEZ NELLYS YOMAIRA</t>
  </si>
  <si>
    <t>MAR***** MAR***** NEL*** YOM****</t>
  </si>
  <si>
    <t>32730384</t>
  </si>
  <si>
    <t>LAMPIS GASPARINI LUISA YANETH</t>
  </si>
  <si>
    <t>LAM*** GAS****** LUI** YAN***</t>
  </si>
  <si>
    <t>32730402</t>
  </si>
  <si>
    <t>MEJIA BARRIOS DENYS ESTHER</t>
  </si>
  <si>
    <t>MEJ** BAR**** DEN** EST***</t>
  </si>
  <si>
    <t>32730829</t>
  </si>
  <si>
    <t>SANCHEZ NIETO GLADYS INES</t>
  </si>
  <si>
    <t>SAN**** NIE** GLA*** INE*</t>
  </si>
  <si>
    <t>32731480</t>
  </si>
  <si>
    <t>DE AVILA CABALLERO DEICY CRISTINA</t>
  </si>
  <si>
    <t>DE AVI** CAB****** DEI** CRI*****</t>
  </si>
  <si>
    <t>32731842</t>
  </si>
  <si>
    <t>ALMANZA MARTINEZ LILIA LUZ</t>
  </si>
  <si>
    <t>ALM**** MAR***** LIL** LUZ</t>
  </si>
  <si>
    <t>32732787</t>
  </si>
  <si>
    <t>VIZCAINO MANCILLA NORIS ISABEL</t>
  </si>
  <si>
    <t>VIZ***** MAN***** NOR** ISA***</t>
  </si>
  <si>
    <t>32732981</t>
  </si>
  <si>
    <t>COLPAS CANTILLO ZULA ISABEL</t>
  </si>
  <si>
    <t>COL*** CAN***** ZUL* ISA***</t>
  </si>
  <si>
    <t>32733220</t>
  </si>
  <si>
    <t>PAREJO VILORIA MARTHA LIGIA</t>
  </si>
  <si>
    <t>PAR*** VIL**** MAR*** LIG**</t>
  </si>
  <si>
    <t>32736030</t>
  </si>
  <si>
    <t>GUERRERO RODRIGUEZ NOLIS INES</t>
  </si>
  <si>
    <t>GUE***** ROD****** NOL** INE*</t>
  </si>
  <si>
    <t>32737030</t>
  </si>
  <si>
    <t>TAPIA OSPINO YENIS ROCIO</t>
  </si>
  <si>
    <t>TAP** OSP*** YEN** ROC**</t>
  </si>
  <si>
    <t>32737320</t>
  </si>
  <si>
    <t>ORTEGA MUÑOZ LUZ ESTELLA</t>
  </si>
  <si>
    <t>ORT*** MUÑ** LUZ EST****</t>
  </si>
  <si>
    <t>32737577</t>
  </si>
  <si>
    <t>RAMIREZ GARCIA ALMA PIEDAD</t>
  </si>
  <si>
    <t>RAM**** GAR*** ALM* PIE***</t>
  </si>
  <si>
    <t>32737643</t>
  </si>
  <si>
    <t>MARTINEZ LARIOS CLAUDINA</t>
  </si>
  <si>
    <t>MAR***** LAR*** CLA*****</t>
  </si>
  <si>
    <t>32737815</t>
  </si>
  <si>
    <t>GUTIERREZ AGUILAR YUSMAIRA LUZ</t>
  </si>
  <si>
    <t>GUT****** AGU**** YUS***** LUZ</t>
  </si>
  <si>
    <t>32738396</t>
  </si>
  <si>
    <t>TAFUR CEBALLOS IVETT</t>
  </si>
  <si>
    <t>TAF** CEB***** IVE**</t>
  </si>
  <si>
    <t>32739620</t>
  </si>
  <si>
    <t>AGRESOTT ORTEGA CARMEN SOFIA</t>
  </si>
  <si>
    <t>AGR***** ORT*** CAR*** SOF**</t>
  </si>
  <si>
    <t>32740488</t>
  </si>
  <si>
    <t>MAYORAL ALVARADO SANDRA IBIS</t>
  </si>
  <si>
    <t>MAY**** ALV***** SAN*** IBI*</t>
  </si>
  <si>
    <t>32741315</t>
  </si>
  <si>
    <t>DIAZ MERCADO FABIOLA ESTHER</t>
  </si>
  <si>
    <t>DIA* MER**** FAB**** EST***</t>
  </si>
  <si>
    <t>32742935</t>
  </si>
  <si>
    <t>RICAURTE GARCIA NEREIDA EMILSE</t>
  </si>
  <si>
    <t>RIC***** GAR*** NER**** EMI***</t>
  </si>
  <si>
    <t>32743012</t>
  </si>
  <si>
    <t>LUBO ALGARIN MARIBEL</t>
  </si>
  <si>
    <t>LUB* ALG**** MAR****</t>
  </si>
  <si>
    <t>32743499</t>
  </si>
  <si>
    <t>MORALES CONTRERAS QUISQUEYA</t>
  </si>
  <si>
    <t>MOR**** CON****** QUI******</t>
  </si>
  <si>
    <t>32744531</t>
  </si>
  <si>
    <t>ALCALA BALLESTAS BRADDYS ESTHER</t>
  </si>
  <si>
    <t>ALC*** BAL****** BRA**** EST***</t>
  </si>
  <si>
    <t>32744662</t>
  </si>
  <si>
    <t>BORRERO TORREGROZA AURY STELLA</t>
  </si>
  <si>
    <t>BOR**** TOR******* AUR* STE***</t>
  </si>
  <si>
    <t>32745621</t>
  </si>
  <si>
    <t>HILL GONZALEZ OLGA LUCIA</t>
  </si>
  <si>
    <t>HIL* GON***** OLG* LUC**</t>
  </si>
  <si>
    <t>32746423</t>
  </si>
  <si>
    <t>MENDOZA SANCHEZ YENIS DE JESUS</t>
  </si>
  <si>
    <t>MEN**** SAN**** YEN** DE JES**</t>
  </si>
  <si>
    <t>32747161</t>
  </si>
  <si>
    <t>MARRIAGA TORRES JULIA MERCEDES</t>
  </si>
  <si>
    <t>MAR***** TOR*** JUL** MER*****</t>
  </si>
  <si>
    <t>32747383</t>
  </si>
  <si>
    <t>VILORIA MENDOZA VILMA ESTHER</t>
  </si>
  <si>
    <t>VIL**** MEN**** VIL** EST***</t>
  </si>
  <si>
    <t>32747391</t>
  </si>
  <si>
    <t>PALACIN MOYA NORMA BEATRIZ</t>
  </si>
  <si>
    <t>PAL**** MOY* NOR** BEA****</t>
  </si>
  <si>
    <t>32747875</t>
  </si>
  <si>
    <t>ANAYA DIAZ PATRICIA ISABEL</t>
  </si>
  <si>
    <t>ANA** DIA* PAT***** ISA***</t>
  </si>
  <si>
    <t>32748347</t>
  </si>
  <si>
    <t>VIDES MIELES YOJANI ISABEL</t>
  </si>
  <si>
    <t>VID** MIE*** YOJ*** ISA***</t>
  </si>
  <si>
    <t>32748874</t>
  </si>
  <si>
    <t>DE LA CRUZ POLO LUZ MIREYA</t>
  </si>
  <si>
    <t>DE LA CRU* POL* LUZ MIR***</t>
  </si>
  <si>
    <t>32748983</t>
  </si>
  <si>
    <t>DE LA CRUZ DADUL SHEILA VERONICA</t>
  </si>
  <si>
    <t>DE LA CRU* DAD** SHE*** VER*****</t>
  </si>
  <si>
    <t>32749374</t>
  </si>
  <si>
    <t>DE LA CRUZ PACHECO MARIA DOLORES</t>
  </si>
  <si>
    <t>DE LA CRU* PAC**** MAR** DOL****</t>
  </si>
  <si>
    <t>32751736</t>
  </si>
  <si>
    <t>GARCIA ESCALANTE GLENYS SENITH</t>
  </si>
  <si>
    <t>GAR*** ESC****** GLE*** SEN***</t>
  </si>
  <si>
    <t>32753337</t>
  </si>
  <si>
    <t>MELENDEZ GARIZABALO LUZ MARINA</t>
  </si>
  <si>
    <t>MEL***** GAR******* LUZ MAR***</t>
  </si>
  <si>
    <t>32754290</t>
  </si>
  <si>
    <t>MERCADO YEPES JOSEFINA</t>
  </si>
  <si>
    <t>MER**** YEP** JOS*****</t>
  </si>
  <si>
    <t>32756049</t>
  </si>
  <si>
    <t>VARGAS PADILLA NEISA JUDITH</t>
  </si>
  <si>
    <t>VAR*** PAD**** NEI** JUD***</t>
  </si>
  <si>
    <t>32756244</t>
  </si>
  <si>
    <t>OROZCO VILLA NELVIS YADITH</t>
  </si>
  <si>
    <t>ORO*** VIL** NEL*** YAD***</t>
  </si>
  <si>
    <t>32756264</t>
  </si>
  <si>
    <t>MEJIA CONTRERAS MARIA DEL ROSARIO</t>
  </si>
  <si>
    <t>MEJ** CON****** MAR** DEL ROS****</t>
  </si>
  <si>
    <t>32756424</t>
  </si>
  <si>
    <t>CAMARGO ROCHA SULY ELENA</t>
  </si>
  <si>
    <t>CAM**** ROC** SUL* ELE**</t>
  </si>
  <si>
    <t>32756729</t>
  </si>
  <si>
    <t>FIGUEROA OROZCO ENITH CECILIA</t>
  </si>
  <si>
    <t>FIG***** ORO*** ENI** CEC****</t>
  </si>
  <si>
    <t>32757465</t>
  </si>
  <si>
    <t>GUTIERREZ AGUILAR LEVIS JUDITH</t>
  </si>
  <si>
    <t>GUT****** AGU**** LEV** JUD***</t>
  </si>
  <si>
    <t>32758448</t>
  </si>
  <si>
    <t>FERREIRA TINOCO MARY FRANK</t>
  </si>
  <si>
    <t>FER***** TIN*** MAR* FRA**</t>
  </si>
  <si>
    <t>32760289</t>
  </si>
  <si>
    <t>ORTEGA SUAREZ DERIS ROSA</t>
  </si>
  <si>
    <t>ORT*** SUA*** DER** ROS*</t>
  </si>
  <si>
    <t>32760926</t>
  </si>
  <si>
    <t>GUZMAN DURAN JAQUELINE DEL CARMEN</t>
  </si>
  <si>
    <t>GUZ*** DUR** JAQ****** DEL CAR***</t>
  </si>
  <si>
    <t>32764101</t>
  </si>
  <si>
    <t>SURMAY TEHERAN LEONOR MARIA</t>
  </si>
  <si>
    <t>SUR*** TEH**** LEO*** MAR**</t>
  </si>
  <si>
    <t>32764748</t>
  </si>
  <si>
    <t>MORELO CONTRERAS ERIKA</t>
  </si>
  <si>
    <t>MOR*** CON****** ERI**</t>
  </si>
  <si>
    <t>32765092</t>
  </si>
  <si>
    <t>PEREZ GOMEZ MARICEL</t>
  </si>
  <si>
    <t>PER** GOM** MAR****</t>
  </si>
  <si>
    <t>32765245</t>
  </si>
  <si>
    <t>SIERRA SORACA YADIRA PAOLA</t>
  </si>
  <si>
    <t>SIE*** SOR*** YAD*** PAO**</t>
  </si>
  <si>
    <t>32765294</t>
  </si>
  <si>
    <t>CAMARGO AMADOR ERICKA PATRICIA</t>
  </si>
  <si>
    <t>CAM**** AMA*** ERI*** PAT*****</t>
  </si>
  <si>
    <t>32766175</t>
  </si>
  <si>
    <t>AMADOR ARANGO LEDA PATRICIA</t>
  </si>
  <si>
    <t>AMA*** ARA*** LED* PAT*****</t>
  </si>
  <si>
    <t>32766597</t>
  </si>
  <si>
    <t>CASTRO DE AGUAS BRENDA ANICIA</t>
  </si>
  <si>
    <t>CAS*** DE AGU** BRE*** ANI***</t>
  </si>
  <si>
    <t>32766610</t>
  </si>
  <si>
    <t>ESCOBAR BARRIOS JUDITH DE PIEDAD</t>
  </si>
  <si>
    <t>ESC**** BAR**** JUD*** DE PIE***</t>
  </si>
  <si>
    <t>32768044</t>
  </si>
  <si>
    <t>ORTEGA MUÑOZ SAILLY FRANCISCA</t>
  </si>
  <si>
    <t>ORT*** MUÑ** SAI*** FRA******</t>
  </si>
  <si>
    <t>32768642</t>
  </si>
  <si>
    <t>ALVARADO MENCO ERLINDA MARIA</t>
  </si>
  <si>
    <t>ALV***** MEN** ERL**** MAR**</t>
  </si>
  <si>
    <t>32768884</t>
  </si>
  <si>
    <t>ZAMBRANO PEÑALOZA AMALFI</t>
  </si>
  <si>
    <t>ZAM***** PEÑ***** AMA***</t>
  </si>
  <si>
    <t>32771300</t>
  </si>
  <si>
    <t>ALVAREZ ROLON ANDREA DE JESUS</t>
  </si>
  <si>
    <t>ALV**** ROL** AND*** DE JES**</t>
  </si>
  <si>
    <t>32772136</t>
  </si>
  <si>
    <t>ALVARADO SANTANDER VENEDICE</t>
  </si>
  <si>
    <t>ALV***** SAN****** VEN*****</t>
  </si>
  <si>
    <t>32772754</t>
  </si>
  <si>
    <t>PEÑALOZA ESCORCIA PAULINA ROSA</t>
  </si>
  <si>
    <t>PEÑ***** ESC***** PAU**** ROS*</t>
  </si>
  <si>
    <t>32772790</t>
  </si>
  <si>
    <t>MERCADO ARDILA NIBIA</t>
  </si>
  <si>
    <t>MER**** ARD*** NIB**</t>
  </si>
  <si>
    <t>32773129</t>
  </si>
  <si>
    <t>OSPINO ALMANZA YOLEDA DEL CARMEN</t>
  </si>
  <si>
    <t>OSP*** ALM**** YOL*** DEL CAR***</t>
  </si>
  <si>
    <t>32773972</t>
  </si>
  <si>
    <t>PERTUZ SAMPER NOHORA CECILIA</t>
  </si>
  <si>
    <t>PER*** SAM*** NOH*** CEC****</t>
  </si>
  <si>
    <t>32775693</t>
  </si>
  <si>
    <t>TAMARA MOVILLA MILAGRO DEL SOCORRO</t>
  </si>
  <si>
    <t>TAM*** MOV**** MIL**** DEL SOC****</t>
  </si>
  <si>
    <t>32776778</t>
  </si>
  <si>
    <t>ROCHA CHADITH MONICA</t>
  </si>
  <si>
    <t>ROC** CHA**** MON***</t>
  </si>
  <si>
    <t>32777801</t>
  </si>
  <si>
    <t>MENDOZA PEÑA AMPARO</t>
  </si>
  <si>
    <t>MEN**** PEÑ* AMP***</t>
  </si>
  <si>
    <t>32782214</t>
  </si>
  <si>
    <t>ORTEGA MUÑOZ CECILIA ROSA</t>
  </si>
  <si>
    <t>ORT*** MUÑ** CEC**** ROS*</t>
  </si>
  <si>
    <t>32783552</t>
  </si>
  <si>
    <t>FIGUEROA MIER NORELYS</t>
  </si>
  <si>
    <t>FIG***** MIE* NOR****</t>
  </si>
  <si>
    <t>32783707</t>
  </si>
  <si>
    <t>MUÑOZ BENITEZ CARMEN ALICIA</t>
  </si>
  <si>
    <t>MUÑ** BEN**** CAR*** ALI***</t>
  </si>
  <si>
    <t>32788184</t>
  </si>
  <si>
    <t>DE LA CRUZ MUÑOZ MARGARITA</t>
  </si>
  <si>
    <t>DE LA CRU* MUÑ** MAR******</t>
  </si>
  <si>
    <t>32789019</t>
  </si>
  <si>
    <t>ORTEGA BARRIOS MABIS FABIOLA</t>
  </si>
  <si>
    <t>ORT*** BAR**** MAB** FAB****</t>
  </si>
  <si>
    <t>32792199</t>
  </si>
  <si>
    <t>SANCHEZ OROZCO MARITZA CATALINA</t>
  </si>
  <si>
    <t>SAN**** ORO*** MAR**** CAT*****</t>
  </si>
  <si>
    <t>32794308</t>
  </si>
  <si>
    <t>DECOTEADO DE LA HOZ BLANCA LUZ</t>
  </si>
  <si>
    <t>DEC****** DE LA HOZ BLA*** LUZ</t>
  </si>
  <si>
    <t>32794571</t>
  </si>
  <si>
    <t>MARTINEZ MOSQUERA ZULAY DE JESUS</t>
  </si>
  <si>
    <t>MAR***** MOS***** ZUL** DE JES**</t>
  </si>
  <si>
    <t>32795168</t>
  </si>
  <si>
    <t>SALAS ESCOBAR ELMIRA ISABEL</t>
  </si>
  <si>
    <t>SAL** ESC**** ELM*** ISA***</t>
  </si>
  <si>
    <t>32795273</t>
  </si>
  <si>
    <t>NAVARRO JULIO CELIA CRUZ</t>
  </si>
  <si>
    <t>NAV**** JUL** CEL** CRU*</t>
  </si>
  <si>
    <t>32796843</t>
  </si>
  <si>
    <t>GUERRA PEREZ MARY LUZ</t>
  </si>
  <si>
    <t>GUE*** PER** MAR* LUZ</t>
  </si>
  <si>
    <t>32798396</t>
  </si>
  <si>
    <t>MANCERA BENAVIDES SANDRA MILENA</t>
  </si>
  <si>
    <t>MAN**** BEN****** SAN*** MIL***</t>
  </si>
  <si>
    <t>32801622</t>
  </si>
  <si>
    <t>CHARRIS OLIVERA LUZ DARIS</t>
  </si>
  <si>
    <t>CHA**** OLI**** LUZ DAR**</t>
  </si>
  <si>
    <t>32802014</t>
  </si>
  <si>
    <t>TORRES ROJANO MERYS MARGARITA</t>
  </si>
  <si>
    <t>TOR*** ROJ*** MER** MAR******</t>
  </si>
  <si>
    <t>32810122</t>
  </si>
  <si>
    <t>MANJARRES DE LA CRUZ CLEOFE</t>
  </si>
  <si>
    <t>MAN****** DE LA CRU* CLE***</t>
  </si>
  <si>
    <t>32810847</t>
  </si>
  <si>
    <t>FERRER FERRER ASTRID MARIA</t>
  </si>
  <si>
    <t>FER*** FER*** AST*** MAR**</t>
  </si>
  <si>
    <t>32811032</t>
  </si>
  <si>
    <t>GUTIERREZ VISBAL GLORIA ESTHER</t>
  </si>
  <si>
    <t>GUT****** VIS*** GLO*** EST***</t>
  </si>
  <si>
    <t>32813243</t>
  </si>
  <si>
    <t>MORRON PEREZ GLORIA MARIA</t>
  </si>
  <si>
    <t>MOR*** PER** GLO*** MAR**</t>
  </si>
  <si>
    <t>32813420</t>
  </si>
  <si>
    <t>HERNANDEZ JIMENEZ DUBIS DE JESUS</t>
  </si>
  <si>
    <t>HER****** JIM**** DUB** DE JES**</t>
  </si>
  <si>
    <t>32813483</t>
  </si>
  <si>
    <t>MIRANDA SAMPER NAYIBE ESTHER</t>
  </si>
  <si>
    <t>MIR**** SAM*** NAY*** EST***</t>
  </si>
  <si>
    <t>32814558</t>
  </si>
  <si>
    <t>ACUÑA AVENDAÑO GLADYS DE JESUS</t>
  </si>
  <si>
    <t>ACU** AVE***** GLA*** DE JES**</t>
  </si>
  <si>
    <t>32814894</t>
  </si>
  <si>
    <t>CERVANTES ESCORCIA MARINA ESTHER</t>
  </si>
  <si>
    <t>CER****** ESC***** MAR*** EST***</t>
  </si>
  <si>
    <t>32815279</t>
  </si>
  <si>
    <t>OSPINO RODRIGUEZ EDITH CECILIA</t>
  </si>
  <si>
    <t>OSP*** ROD****** EDI** CEC****</t>
  </si>
  <si>
    <t>32815789</t>
  </si>
  <si>
    <t>BOLAÑO CABALLERO ESILDA CUSTODIA</t>
  </si>
  <si>
    <t>BOL*** CAB****** ESI*** CUS*****</t>
  </si>
  <si>
    <t>32816679</t>
  </si>
  <si>
    <t>CERVANTES PUA FRANCISCA ISABEL</t>
  </si>
  <si>
    <t>CER****** PUA FRA****** ISA***</t>
  </si>
  <si>
    <t>32816931</t>
  </si>
  <si>
    <t>TOLOZA FERNANDEZ GUILLERMINA DE JESUS</t>
  </si>
  <si>
    <t>TOL*** FER****** GUI******** DE JES**</t>
  </si>
  <si>
    <t>32816937</t>
  </si>
  <si>
    <t>PACHECO PACHECO YAMIRES YAMIT</t>
  </si>
  <si>
    <t>PAC**** PAC**** YAM**** YAM**</t>
  </si>
  <si>
    <t>32816994</t>
  </si>
  <si>
    <t>RODRIGUEZ PERTUZ MARTHA ISABEL</t>
  </si>
  <si>
    <t>ROD****** PER*** MAR*** ISA***</t>
  </si>
  <si>
    <t>32817336</t>
  </si>
  <si>
    <t>URUETA ECHENIQUE NORALBA ESTHER</t>
  </si>
  <si>
    <t>URU*** ECH****** NOR**** EST***</t>
  </si>
  <si>
    <t>32821297</t>
  </si>
  <si>
    <t>ESCORCIA OROZCO ISABEL MARIA</t>
  </si>
  <si>
    <t>ESC***** ORO*** ISA*** MAR**</t>
  </si>
  <si>
    <t>32822240</t>
  </si>
  <si>
    <t>CASTRO PEREZ BELINDA</t>
  </si>
  <si>
    <t>CAS*** PER** BEL****</t>
  </si>
  <si>
    <t>32823864</t>
  </si>
  <si>
    <t>BARRAGAN FLOREZ SANDRA ELENA</t>
  </si>
  <si>
    <t>BAR***** FLO*** SAN*** ELE**</t>
  </si>
  <si>
    <t>32825124</t>
  </si>
  <si>
    <t>LOBELO CORRO FELICIA</t>
  </si>
  <si>
    <t>LOB*** COR** FEL****</t>
  </si>
  <si>
    <t>32825173</t>
  </si>
  <si>
    <t>GRANADOS ALMANZA ROSA ESPERANZA</t>
  </si>
  <si>
    <t>GRA***** ALM**** ROS* ESP******</t>
  </si>
  <si>
    <t>32825533</t>
  </si>
  <si>
    <t>CASTILLO MEJIA DARIS MARIA</t>
  </si>
  <si>
    <t>CAS***** MEJ** DAR** MAR**</t>
  </si>
  <si>
    <t>32825899</t>
  </si>
  <si>
    <t>OLAYA RIVERA YELIDES ESTELA</t>
  </si>
  <si>
    <t>OLA** RIV*** YEL**** EST***</t>
  </si>
  <si>
    <t>32826409</t>
  </si>
  <si>
    <t>MOYA TAMARA CARMEN CONSUELO</t>
  </si>
  <si>
    <t>MOY* TAM*** CAR*** CON*****</t>
  </si>
  <si>
    <t>32827717</t>
  </si>
  <si>
    <t>SALAZAR PEREZ LUZ ESTELA</t>
  </si>
  <si>
    <t>SAL**** PER** LUZ EST***</t>
  </si>
  <si>
    <t>32827866</t>
  </si>
  <si>
    <t>DELGADO LUCY DE JESUS</t>
  </si>
  <si>
    <t>DEL**** LUC* DE JES**</t>
  </si>
  <si>
    <t>32828098</t>
  </si>
  <si>
    <t>BARRIOS ALFARO SARA IBETH</t>
  </si>
  <si>
    <t>BAR**** ALF*** SAR* IBE**</t>
  </si>
  <si>
    <t>32828896</t>
  </si>
  <si>
    <t>CANTILLO HOYOS BETTY ISABEL</t>
  </si>
  <si>
    <t>CAN***** HOY** BET** ISA***</t>
  </si>
  <si>
    <t>32829015</t>
  </si>
  <si>
    <t>BARRAGAN FLOREZ DIANA DEL ROSARIO</t>
  </si>
  <si>
    <t>BAR***** FLO*** DIA** DEL ROS****</t>
  </si>
  <si>
    <t>32829477</t>
  </si>
  <si>
    <t>RAMOS RUIZ BIBIANA MARGOTH</t>
  </si>
  <si>
    <t>RAM** RUI* BIB**** MAR****</t>
  </si>
  <si>
    <t>32833535</t>
  </si>
  <si>
    <t>PEREZ SARMIENTO DEIRA BEATRIZ</t>
  </si>
  <si>
    <t>PER** SAR****** DEI** BEA****</t>
  </si>
  <si>
    <t>32834088</t>
  </si>
  <si>
    <t>BOLIVAR OROZCO MILENE ESTHER</t>
  </si>
  <si>
    <t>BOL**** ORO*** MIL*** EST***</t>
  </si>
  <si>
    <t>32835041</t>
  </si>
  <si>
    <t>ROA BANDERA MIRNA PATRICIA</t>
  </si>
  <si>
    <t>ROA BAN**** MIR** PAT*****</t>
  </si>
  <si>
    <t>32842065</t>
  </si>
  <si>
    <t>PACHECO CABRERA MARYORIS</t>
  </si>
  <si>
    <t>PAC**** CAB**** MAR*****</t>
  </si>
  <si>
    <t>32842464</t>
  </si>
  <si>
    <t>LLANOS DE LA CRUZ SUGEY MILAGRO</t>
  </si>
  <si>
    <t>LLA*** DE LA CRU* SUG** MIL****</t>
  </si>
  <si>
    <t>32843285</t>
  </si>
  <si>
    <t>CARBONELL ACUÑA PIEDAD LORENA</t>
  </si>
  <si>
    <t>CAR****** ACU** PIE*** LOR***</t>
  </si>
  <si>
    <t>32846152</t>
  </si>
  <si>
    <t>ARIZA OSPINO LIBIA ESTELA</t>
  </si>
  <si>
    <t>ARI** OSP*** LIB** EST***</t>
  </si>
  <si>
    <t>32846182</t>
  </si>
  <si>
    <t>COLPAS MARTINEZ MIRNA ROSA</t>
  </si>
  <si>
    <t>COL*** MAR***** MIR** ROS*</t>
  </si>
  <si>
    <t>32846273</t>
  </si>
  <si>
    <t>RIQUETT BARRIOS CAROLINA MERCEDES</t>
  </si>
  <si>
    <t>RIQ**** BAR**** CAR***** MER*****</t>
  </si>
  <si>
    <t>32846582</t>
  </si>
  <si>
    <t>MORALES SOLANO CONSUELO DE JESUS</t>
  </si>
  <si>
    <t>MOR**** SOL*** CON***** DE JES**</t>
  </si>
  <si>
    <t>32847041</t>
  </si>
  <si>
    <t>PERTUZ VILLAR YADILIS RAQUEL</t>
  </si>
  <si>
    <t>PER*** VIL*** YAD**** RAQ***</t>
  </si>
  <si>
    <t>32847047</t>
  </si>
  <si>
    <t>RIQUETT CASTRO FRANCIA MERCEDES</t>
  </si>
  <si>
    <t>RIQ**** CAS*** FRA**** MER*****</t>
  </si>
  <si>
    <t>32847102</t>
  </si>
  <si>
    <t>VILLA MONTERO EDNA FABIOLA</t>
  </si>
  <si>
    <t>VIL** MON**** EDN* FAB****</t>
  </si>
  <si>
    <t>32847108</t>
  </si>
  <si>
    <t>DE LA HOZ VILLA YOMAIRA SENITT</t>
  </si>
  <si>
    <t>DE LA HOZ VIL** YOM**** SEN***</t>
  </si>
  <si>
    <t>32847764</t>
  </si>
  <si>
    <t>TOLOZA CERVANTES ZULIS MERCEDES</t>
  </si>
  <si>
    <t>TOL*** CER****** ZUL** MER*****</t>
  </si>
  <si>
    <t>32848266</t>
  </si>
  <si>
    <t>SUAREZ SUAREZ MARCELIS</t>
  </si>
  <si>
    <t>SUA*** SUA*** MAR*****</t>
  </si>
  <si>
    <t>32848272</t>
  </si>
  <si>
    <t>MIER VERDOOREN LIANA GRACIELA</t>
  </si>
  <si>
    <t>MIE* VER****** LIA** GRA*****</t>
  </si>
  <si>
    <t>32848680</t>
  </si>
  <si>
    <t>ESCOBAR ESCALANTE ELADIA SEGUNDA</t>
  </si>
  <si>
    <t>ESC**** ESC****** ELA*** SEG****</t>
  </si>
  <si>
    <t>32848707</t>
  </si>
  <si>
    <t>HERNANDEZ ORTIZ LUZ DARIS</t>
  </si>
  <si>
    <t>HER****** ORT** LUZ DAR**</t>
  </si>
  <si>
    <t>32850464</t>
  </si>
  <si>
    <t>GOMEZ CASTRO MILENA DEL CARMEN</t>
  </si>
  <si>
    <t>GOM** CAS*** MIL*** DEL CAR***</t>
  </si>
  <si>
    <t>32851081</t>
  </si>
  <si>
    <t>CASTRO BERDUGO ANA MILENA</t>
  </si>
  <si>
    <t>CAS*** BER**** ANA MIL***</t>
  </si>
  <si>
    <t>32851603</t>
  </si>
  <si>
    <t>GONZALEZ BARRIOS GLORIA ISABEL</t>
  </si>
  <si>
    <t>GON***** BAR**** GLO*** ISA***</t>
  </si>
  <si>
    <t>32852084</t>
  </si>
  <si>
    <t>GUTI¿RREZ ROJANO NIDIA MARIA</t>
  </si>
  <si>
    <t>GUT****** ROJ*** NID** MAR**</t>
  </si>
  <si>
    <t>32856115</t>
  </si>
  <si>
    <t>ORTIZ CALVO PRISCILA ESTELA</t>
  </si>
  <si>
    <t>ORT** CAL** PRI***** EST***</t>
  </si>
  <si>
    <t>32856905</t>
  </si>
  <si>
    <t>GARCIA MARTINEZ SANDRA PATRICIA</t>
  </si>
  <si>
    <t>GAR*** MAR***** SAN*** PAT*****</t>
  </si>
  <si>
    <t>32861986</t>
  </si>
  <si>
    <t>ACOSTA BARROS MARTHA LIGIA</t>
  </si>
  <si>
    <t>ACO*** BAR*** MAR*** LIG**</t>
  </si>
  <si>
    <t>32862126</t>
  </si>
  <si>
    <t>PADILLA GUTIERREZ GLORIA CECILIA</t>
  </si>
  <si>
    <t>PAD**** GUT****** GLO*** CEC****</t>
  </si>
  <si>
    <t>32862170</t>
  </si>
  <si>
    <t>DE LA HOZ CASTRO ROSIBEL</t>
  </si>
  <si>
    <t>DE LA HOZ CAS*** ROS****</t>
  </si>
  <si>
    <t>32862220</t>
  </si>
  <si>
    <t>ALCALA SARRIA MARIA FERNANDA</t>
  </si>
  <si>
    <t>ALC*** SAR*** MAR** FER*****</t>
  </si>
  <si>
    <t>32862388</t>
  </si>
  <si>
    <t>PALACIN DE AGUAS OLADIS JUDITH</t>
  </si>
  <si>
    <t>PAL**** DE AGU** OLA*** JUD***</t>
  </si>
  <si>
    <t>32862596</t>
  </si>
  <si>
    <t>POLANCO AGUILAR LUZ DARY</t>
  </si>
  <si>
    <t>POL**** AGU**** LUZ DAR*</t>
  </si>
  <si>
    <t>32862787</t>
  </si>
  <si>
    <t>GARIZABALO ROCIO DEL CARMEN</t>
  </si>
  <si>
    <t>GAR******* ROC** DEL CAR***</t>
  </si>
  <si>
    <t>32863186</t>
  </si>
  <si>
    <t>BUSTAMANTE DE LA CRUZ MONICA JUDITH</t>
  </si>
  <si>
    <t>BUS******* DE LA CRU* MON*** JUD***</t>
  </si>
  <si>
    <t>32863231</t>
  </si>
  <si>
    <t>BORRERO DE LA CRUZ MIRLA DE JESUS</t>
  </si>
  <si>
    <t>BOR**** DE LA CRU* MIR** DE JES**</t>
  </si>
  <si>
    <t>32863985</t>
  </si>
  <si>
    <t>POLO PALMERA JASMIN SOFIA</t>
  </si>
  <si>
    <t>POL* PAL**** JAS*** SOF**</t>
  </si>
  <si>
    <t>32864600</t>
  </si>
  <si>
    <t>OSPINO SANTANA DANICE CLARETH</t>
  </si>
  <si>
    <t>OSP*** SAN**** DAN*** CLA****</t>
  </si>
  <si>
    <t>32864735</t>
  </si>
  <si>
    <t>CABRERA VILLARREAL ELIZABETH</t>
  </si>
  <si>
    <t>CAB**** VIL******* ELI******</t>
  </si>
  <si>
    <t>32864809</t>
  </si>
  <si>
    <t>CASTILLO SUAREZ DORALBA DEL CARMEN</t>
  </si>
  <si>
    <t>CAS***** SUA*** DOR**** DEL CAR***</t>
  </si>
  <si>
    <t>32864847</t>
  </si>
  <si>
    <t>SUAREZ AYALA VERENA MARIA</t>
  </si>
  <si>
    <t>SUA*** AYA** VER*** MAR**</t>
  </si>
  <si>
    <t>32865235</t>
  </si>
  <si>
    <t>MARTINEZ BELEÑO ANA VICTORIA</t>
  </si>
  <si>
    <t>MAR***** BEL*** ANA VIC*****</t>
  </si>
  <si>
    <t>32865895</t>
  </si>
  <si>
    <t>ALQUERQUE LEON ELIANA PATRICIA</t>
  </si>
  <si>
    <t>ALQ****** LEO* ELI*** PAT*****</t>
  </si>
  <si>
    <t>32867498</t>
  </si>
  <si>
    <t>CARDENAS MUÑOZ BERSAIDA DE JESUS</t>
  </si>
  <si>
    <t>CAR***** MUÑ** BER***** DE JES**</t>
  </si>
  <si>
    <t>32871149</t>
  </si>
  <si>
    <t>DOMINGUEZ SUAREZ KARELIS JUDITH</t>
  </si>
  <si>
    <t>DOM****** SUA*** KAR**** JUD***</t>
  </si>
  <si>
    <t>32871159</t>
  </si>
  <si>
    <t>BOCANEGRA RUIZ VERA LUZ</t>
  </si>
  <si>
    <t>BOC****** RUI* VER* LUZ</t>
  </si>
  <si>
    <t>32871603</t>
  </si>
  <si>
    <t>VILLAR MONTENEGRO DENNIS PATRICIA</t>
  </si>
  <si>
    <t>VIL*** MON******* DEN*** PAT*****</t>
  </si>
  <si>
    <t>32871998</t>
  </si>
  <si>
    <t>MOSQUERA BARRAZA DINA MARIA</t>
  </si>
  <si>
    <t>MOS***** BAR**** DIN* MAR**</t>
  </si>
  <si>
    <t>32873096</t>
  </si>
  <si>
    <t>MOVILLA SALGADO ONAIMA PATRICIA</t>
  </si>
  <si>
    <t>MOV**** SAL**** ONA*** PAT*****</t>
  </si>
  <si>
    <t>32873473</t>
  </si>
  <si>
    <t>POLO RAMBAL MARISELLA</t>
  </si>
  <si>
    <t>POL* RAM*** MAR******</t>
  </si>
  <si>
    <t>32873601</t>
  </si>
  <si>
    <t>MARTINEZ RAMBAL SOFIA YAMID</t>
  </si>
  <si>
    <t>MAR***** RAM*** SOF** YAM**</t>
  </si>
  <si>
    <t>32874694</t>
  </si>
  <si>
    <t>PEDROZA CARRASQUILLA ELIANA YISETH</t>
  </si>
  <si>
    <t>PED**** CAR********* ELI*** YIS***</t>
  </si>
  <si>
    <t>32875123</t>
  </si>
  <si>
    <t>BRAVO SUAREZ ANGELA PATRICIA</t>
  </si>
  <si>
    <t>BRA** SUA*** ANG*** PAT*****</t>
  </si>
  <si>
    <t>32875176</t>
  </si>
  <si>
    <t>PIÑA OROZCO GILMA DEL CARMEN</t>
  </si>
  <si>
    <t>PIÑ* ORO*** GIL** DEL CAR***</t>
  </si>
  <si>
    <t>32879777</t>
  </si>
  <si>
    <t>REALES GOMEZ GLORIA MILENA</t>
  </si>
  <si>
    <t>REA*** GOM** GLO*** MIL***</t>
  </si>
  <si>
    <t>32880614</t>
  </si>
  <si>
    <t>CURE QUIROZ MARGARITA SOFIA</t>
  </si>
  <si>
    <t>CUR* QUI*** MAR****** SOF**</t>
  </si>
  <si>
    <t>32880658</t>
  </si>
  <si>
    <t>CORDERO TAPIAS YESENIA PATRICIA</t>
  </si>
  <si>
    <t>COR**** TAP*** YES**** PAT*****</t>
  </si>
  <si>
    <t>32882036</t>
  </si>
  <si>
    <t>BOLAÑO GOMEZ YENY JUDITH</t>
  </si>
  <si>
    <t>BOL*** GOM** YEN* JUD***</t>
  </si>
  <si>
    <t>32885380</t>
  </si>
  <si>
    <t>ORELLANO BALMACEDA YENNIS SIDID</t>
  </si>
  <si>
    <t>ORE***** BAL****** YEN*** SID**</t>
  </si>
  <si>
    <t>32886870</t>
  </si>
  <si>
    <t>CALVO BLANQUICETT YULDIS MARINA</t>
  </si>
  <si>
    <t>CAL** BLA******** YUL*** MAR***</t>
  </si>
  <si>
    <t>32889515</t>
  </si>
  <si>
    <t>LORA ACENDRA SANDRA PATRICIA</t>
  </si>
  <si>
    <t>LOR* ACE**** SAN*** PAT*****</t>
  </si>
  <si>
    <t>32894695</t>
  </si>
  <si>
    <t>CASTRO OROZCO KATIA MARIA</t>
  </si>
  <si>
    <t>CAS*** ORO*** KAT** MAR**</t>
  </si>
  <si>
    <t>33066029</t>
  </si>
  <si>
    <t>RODRIGUEZ IBARRA BERTILDA ISABEL</t>
  </si>
  <si>
    <t>ROD****** IBA*** BER***** ISA***</t>
  </si>
  <si>
    <t>33067588</t>
  </si>
  <si>
    <t>CUDRIS ACUÑA SANDRA ISABEL</t>
  </si>
  <si>
    <t>CUD*** ACU** SAN*** ISA***</t>
  </si>
  <si>
    <t>33069696</t>
  </si>
  <si>
    <t>SINNING DEL CASTILLO LUCEYDI</t>
  </si>
  <si>
    <t>SIN**** DEL CAS***** LUC****</t>
  </si>
  <si>
    <t>33196976</t>
  </si>
  <si>
    <t>GUARNIZO MONROY LUZ MAYAMY</t>
  </si>
  <si>
    <t>GUA***** MON*** LUZ MAY***</t>
  </si>
  <si>
    <t>33197855</t>
  </si>
  <si>
    <t>ABRIL NOVOA AURA ELENA</t>
  </si>
  <si>
    <t>ABR** NOV** AUR* ELE**</t>
  </si>
  <si>
    <t>33199068</t>
  </si>
  <si>
    <t>ALFARO DIAZ YOLIMA DE JESUS</t>
  </si>
  <si>
    <t>ALF*** DIA* YOL*** DE JES**</t>
  </si>
  <si>
    <t>33202072</t>
  </si>
  <si>
    <t>NAVARRO FONTALVO MARIA LUCIA</t>
  </si>
  <si>
    <t>NAV**** FON***** MAR** LUC**</t>
  </si>
  <si>
    <t>33203077</t>
  </si>
  <si>
    <t>AGUAS RODELO CARMEN ROSA</t>
  </si>
  <si>
    <t>AGU** ROD*** CAR*** ROS*</t>
  </si>
  <si>
    <t>33204418</t>
  </si>
  <si>
    <t>ARIAS IBARRA ANA ISABEL</t>
  </si>
  <si>
    <t>ARI** IBA*** ANA ISA***</t>
  </si>
  <si>
    <t>33205776</t>
  </si>
  <si>
    <t>NAVARRO HERRERA CANDELARIA</t>
  </si>
  <si>
    <t>NAV**** HER**** CAN*******</t>
  </si>
  <si>
    <t>33206684</t>
  </si>
  <si>
    <t>DE LA OSSA CARDENAS YORMARI</t>
  </si>
  <si>
    <t>DE LA OSS* CAR***** YOR****</t>
  </si>
  <si>
    <t>33208288</t>
  </si>
  <si>
    <t>RODRIGUEZ RODRIGUEZ AYNNE KATERINE</t>
  </si>
  <si>
    <t>ROD****** ROD****** AYN** KAT*****</t>
  </si>
  <si>
    <t>33208413</t>
  </si>
  <si>
    <t>CARPIO RICO ALBA MARIA</t>
  </si>
  <si>
    <t>CAR*** RIC* ALB* MAR**</t>
  </si>
  <si>
    <t>33209379</t>
  </si>
  <si>
    <t>LOPEZ AGUILAR SARA ISABEL</t>
  </si>
  <si>
    <t>LOP** AGU**** SAR* ISA***</t>
  </si>
  <si>
    <t>33212062</t>
  </si>
  <si>
    <t>OSPINO PATIÑO AIDA MARIA</t>
  </si>
  <si>
    <t>OSP*** PAT*** AID* MAR**</t>
  </si>
  <si>
    <t>33212097</t>
  </si>
  <si>
    <t>GARCIA MEJIA MILADYS MARIA</t>
  </si>
  <si>
    <t>GAR*** MEJ** MIL**** MAR**</t>
  </si>
  <si>
    <t>33212222</t>
  </si>
  <si>
    <t>HERRERA ORTIZ EUCARIS</t>
  </si>
  <si>
    <t>HER**** ORT** EUC****</t>
  </si>
  <si>
    <t>33212256</t>
  </si>
  <si>
    <t>RANGEL FLORIAN AUDIS</t>
  </si>
  <si>
    <t>RAN*** FLO**** AUD**</t>
  </si>
  <si>
    <t>33212361</t>
  </si>
  <si>
    <t>NAVARRO ECHAVEZ EDITH</t>
  </si>
  <si>
    <t>NAV**** ECH**** EDI**</t>
  </si>
  <si>
    <t>33212468</t>
  </si>
  <si>
    <t>DAVILA MONTERO ELVIRA MARIA</t>
  </si>
  <si>
    <t>DAV*** MON**** ELV*** MAR**</t>
  </si>
  <si>
    <t>33212836</t>
  </si>
  <si>
    <t>CAMARGO MIRANDA LENIS RAQUEL</t>
  </si>
  <si>
    <t>CAM**** MIR**** LEN** RAQ***</t>
  </si>
  <si>
    <t>33212984</t>
  </si>
  <si>
    <t>AREVALO FONSECA OSLAIDA MARIA</t>
  </si>
  <si>
    <t>ARE**** FON**** OSL**** MAR**</t>
  </si>
  <si>
    <t>33213015</t>
  </si>
  <si>
    <t>MARQUEZ MARTINEZ MARINA</t>
  </si>
  <si>
    <t>MAR**** MAR***** MAR***</t>
  </si>
  <si>
    <t>33213075</t>
  </si>
  <si>
    <t>ARQUEZ SEQUEA ENITH MARIA</t>
  </si>
  <si>
    <t>ARQ*** SEQ*** ENI** MAR**</t>
  </si>
  <si>
    <t>33213090</t>
  </si>
  <si>
    <t>PACHECO LIBERNAL BERTA CECILIA</t>
  </si>
  <si>
    <t>PAC**** LIB***** BER** CEC****</t>
  </si>
  <si>
    <t>33213116</t>
  </si>
  <si>
    <t>PABA RODRIGUEZ JULIA ISABEL</t>
  </si>
  <si>
    <t>PAB* ROD****** JUL** ISA***</t>
  </si>
  <si>
    <t>33213123</t>
  </si>
  <si>
    <t>GRISALES DE RODRIGUEZ LUCIANA</t>
  </si>
  <si>
    <t>GRI***** DE ROD****** LUC****</t>
  </si>
  <si>
    <t>33213177</t>
  </si>
  <si>
    <t>ALVARADO MEZA MAGDALENA</t>
  </si>
  <si>
    <t>ALV***** MEZ* MAG******</t>
  </si>
  <si>
    <t>33213188</t>
  </si>
  <si>
    <t>HERRERA NAVARRO ODALIS</t>
  </si>
  <si>
    <t>HER**** NAV**** ODA***</t>
  </si>
  <si>
    <t>33213262</t>
  </si>
  <si>
    <t>NAVARRO CARO OSIRIS MARIA</t>
  </si>
  <si>
    <t>NAV**** CAR* OSI*** MAR**</t>
  </si>
  <si>
    <t>33213300</t>
  </si>
  <si>
    <t>FUENTES DEL VILLAR NORALBA</t>
  </si>
  <si>
    <t>FUE**** DEL VIL*** NOR****</t>
  </si>
  <si>
    <t>33213342</t>
  </si>
  <si>
    <t>TOSCANO SUAREZ JUDITH</t>
  </si>
  <si>
    <t>TOS**** SUA*** JUD***</t>
  </si>
  <si>
    <t>33213357</t>
  </si>
  <si>
    <t>ORTIZ TERRAZA ONEDIS</t>
  </si>
  <si>
    <t>ORT** TER**** ONE***</t>
  </si>
  <si>
    <t>33213407</t>
  </si>
  <si>
    <t>JIMENEZ CAMAÑO VERENA DE JESUS</t>
  </si>
  <si>
    <t>JIM**** CAM*** VER*** DE JES**</t>
  </si>
  <si>
    <t>33213454</t>
  </si>
  <si>
    <t>NAVARRO VILLANUEVA OSIRIS ROSA</t>
  </si>
  <si>
    <t>NAV**** VIL******* OSI*** ROS*</t>
  </si>
  <si>
    <t>33213551</t>
  </si>
  <si>
    <t>MIELES ROJAS YANIRA</t>
  </si>
  <si>
    <t>MIE*** ROJ** YAN***</t>
  </si>
  <si>
    <t>33213583</t>
  </si>
  <si>
    <t>ALVARADO BARRETO ENITH</t>
  </si>
  <si>
    <t>ALV***** BAR**** ENI**</t>
  </si>
  <si>
    <t>33213725</t>
  </si>
  <si>
    <t>BELEÑO LOPEZ ROSALBA ISABEL</t>
  </si>
  <si>
    <t>BEL*** LOP** ROS**** ISA***</t>
  </si>
  <si>
    <t>33213728</t>
  </si>
  <si>
    <t>BAÑOS MENDOZA LUZMILA</t>
  </si>
  <si>
    <t>BAÑ** MEN**** LUZ****</t>
  </si>
  <si>
    <t>33213759</t>
  </si>
  <si>
    <t>JIMENEZ LOPEZ AIDEE</t>
  </si>
  <si>
    <t>JIM**** LOP** AID**</t>
  </si>
  <si>
    <t>33213768</t>
  </si>
  <si>
    <t>GARCIA PATERNINA ANGELA ISABEL</t>
  </si>
  <si>
    <t>GAR*** PAT****** ANG*** ISA***</t>
  </si>
  <si>
    <t>33213823</t>
  </si>
  <si>
    <t>CABRERA VILLAREAL MIRYAM DEL SOCORRO</t>
  </si>
  <si>
    <t>CAB**** VIL****** MIR*** DEL SOC****</t>
  </si>
  <si>
    <t>33213907</t>
  </si>
  <si>
    <t>PALOMINO ARDILA EDELIS CEFERINA</t>
  </si>
  <si>
    <t>PAL***** ARD*** EDE*** CEF*****</t>
  </si>
  <si>
    <t>33213921</t>
  </si>
  <si>
    <t>HERRERA NAVARRO BERLIDES DE JESUS</t>
  </si>
  <si>
    <t>HER**** NAV**** BER***** DE JES**</t>
  </si>
  <si>
    <t>33214008</t>
  </si>
  <si>
    <t>LARA OSPINO ANA BETTY</t>
  </si>
  <si>
    <t>LAR* OSP*** ANA BET**</t>
  </si>
  <si>
    <t>33214228</t>
  </si>
  <si>
    <t>AREVALO FONSECA NIDIA</t>
  </si>
  <si>
    <t>ARE**** FON**** NID**</t>
  </si>
  <si>
    <t>33214290</t>
  </si>
  <si>
    <t>GARCIA NAVARRO BEATRIZ</t>
  </si>
  <si>
    <t>GAR*** NAV**** BEA****</t>
  </si>
  <si>
    <t>33214310</t>
  </si>
  <si>
    <t>ALVARADO VALENCIA MARIA ELEUTERIA</t>
  </si>
  <si>
    <t>ALV***** VAL***** MAR** ELE******</t>
  </si>
  <si>
    <t>33214361</t>
  </si>
  <si>
    <t>JIMENEZ FONSECA NEYIS JOSEFA</t>
  </si>
  <si>
    <t>JIM**** FON**** NEY** JOS***</t>
  </si>
  <si>
    <t>33214440</t>
  </si>
  <si>
    <t>FONSECA NAVARRO TEOLINDA</t>
  </si>
  <si>
    <t>FON**** NAV**** TEO*****</t>
  </si>
  <si>
    <t>33214561</t>
  </si>
  <si>
    <t>LOPEZ NAVARRO ILBA MARINA</t>
  </si>
  <si>
    <t>LOP** NAV**** ILB* MAR***</t>
  </si>
  <si>
    <t>33214586</t>
  </si>
  <si>
    <t>MACHADO LOPEZ DIGNA ROSA</t>
  </si>
  <si>
    <t>MAC**** LOP** DIG** ROS*</t>
  </si>
  <si>
    <t>33214804</t>
  </si>
  <si>
    <t>OLIVEROS JIMENEZ NEREIDA DEL CARMEN</t>
  </si>
  <si>
    <t>OLI***** JIM**** NER**** DEL CAR***</t>
  </si>
  <si>
    <t>33214811</t>
  </si>
  <si>
    <t>MACHADO LOPEZ NELSY REGINA</t>
  </si>
  <si>
    <t>MAC**** LOP** NEL** REG***</t>
  </si>
  <si>
    <t>33214877</t>
  </si>
  <si>
    <t>ROCHA ARIAS BRISEIDA</t>
  </si>
  <si>
    <t>ROC** ARI** BRI*****</t>
  </si>
  <si>
    <t>33214900</t>
  </si>
  <si>
    <t>LUQUE CONTRERA LADYS MARIA</t>
  </si>
  <si>
    <t>LUQ** CON***** LAD** MAR**</t>
  </si>
  <si>
    <t>33214997</t>
  </si>
  <si>
    <t>ALVARINO BADEL JAQUELINE</t>
  </si>
  <si>
    <t>ALV***** BAD** JAQ******</t>
  </si>
  <si>
    <t>33215095</t>
  </si>
  <si>
    <t>GARCES OSPINO MARIA NATIVIDAD</t>
  </si>
  <si>
    <t>GAR*** OSP*** MAR** NAT******</t>
  </si>
  <si>
    <t>33215137</t>
  </si>
  <si>
    <t>GUTIERREZ MONTENEGRO DOLIS</t>
  </si>
  <si>
    <t>GUT****** MON******* DOL**</t>
  </si>
  <si>
    <t>33215180</t>
  </si>
  <si>
    <t>DELGADO FONSECA CRISTINA</t>
  </si>
  <si>
    <t>DEL**** FON**** CRI*****</t>
  </si>
  <si>
    <t>33215192</t>
  </si>
  <si>
    <t>LOPEZ GUTIERREZ SILVIA ROSA</t>
  </si>
  <si>
    <t>LOP** GUT****** SIL*** ROS*</t>
  </si>
  <si>
    <t>33215261</t>
  </si>
  <si>
    <t>FERREIRA CORTES MARIA BERNARDA</t>
  </si>
  <si>
    <t>FER***** COR*** MAR** BER*****</t>
  </si>
  <si>
    <t>33215270</t>
  </si>
  <si>
    <t>LENGUA QUIROGA LUZ DARIS</t>
  </si>
  <si>
    <t>LEN*** QUI**** LUZ DAR**</t>
  </si>
  <si>
    <t>33215292</t>
  </si>
  <si>
    <t>HERRERA OSPINO ASTRID DEL CARMEN</t>
  </si>
  <si>
    <t>HER**** OSP*** AST*** DEL CAR***</t>
  </si>
  <si>
    <t>33215376</t>
  </si>
  <si>
    <t>VEGA TRESPALACIOS ROSA INOCENCIA</t>
  </si>
  <si>
    <t>VEG* TRE********* ROS* INO******</t>
  </si>
  <si>
    <t>33215410</t>
  </si>
  <si>
    <t>OLIVEROS GABIRIA CENITH</t>
  </si>
  <si>
    <t>OLI***** GAB**** CEN***</t>
  </si>
  <si>
    <t>33215544</t>
  </si>
  <si>
    <t>MACHADO LOPEZ LILIAN</t>
  </si>
  <si>
    <t>MAC**** LOP** LIL***</t>
  </si>
  <si>
    <t>33215613</t>
  </si>
  <si>
    <t>MARTINEZ MARTINEZ LEDYS</t>
  </si>
  <si>
    <t>MAR***** MAR***** LED**</t>
  </si>
  <si>
    <t>33215702</t>
  </si>
  <si>
    <t>GUTIERREZ SEGOVIA DIANA ESTHER</t>
  </si>
  <si>
    <t>GUT****** SEG**** DIA** EST***</t>
  </si>
  <si>
    <t>33215707</t>
  </si>
  <si>
    <t>VILLARREAL RUBIO NESTAR</t>
  </si>
  <si>
    <t>VIL******* RUB** NES***</t>
  </si>
  <si>
    <t>33215723</t>
  </si>
  <si>
    <t>ARRIETA GONZALEZ YANICE MARGARITA</t>
  </si>
  <si>
    <t>ARR**** GON***** YAN*** MAR******</t>
  </si>
  <si>
    <t>33215783</t>
  </si>
  <si>
    <t>MARTINEZ MARTINEZ TORIBIA</t>
  </si>
  <si>
    <t>MAR***** MAR***** TOR****</t>
  </si>
  <si>
    <t>33215980</t>
  </si>
  <si>
    <t>MEJIA MARTINEZ DORALIS</t>
  </si>
  <si>
    <t>MEJ** MAR***** DOR****</t>
  </si>
  <si>
    <t>33215982</t>
  </si>
  <si>
    <t>MULFORD PALOMINO CARMEN</t>
  </si>
  <si>
    <t>MUL**** PAL***** CAR***</t>
  </si>
  <si>
    <t>33216006</t>
  </si>
  <si>
    <t>MARTINEZ CHAVEZ DAMARYS</t>
  </si>
  <si>
    <t>MAR***** CHA*** DAM****</t>
  </si>
  <si>
    <t>33216098</t>
  </si>
  <si>
    <t>NIÑO NAVARRO EDILMA</t>
  </si>
  <si>
    <t>NIÑ* NAV**** EDI***</t>
  </si>
  <si>
    <t>33216171</t>
  </si>
  <si>
    <t>ARRAZOLA GUERRERO LUCIA ISABEL</t>
  </si>
  <si>
    <t>ARR***** GUE***** LUC** ISA***</t>
  </si>
  <si>
    <t>33216177</t>
  </si>
  <si>
    <t>OYAGA LOBO SANDRA</t>
  </si>
  <si>
    <t>OYA** LOB* SAN***</t>
  </si>
  <si>
    <t>33216180</t>
  </si>
  <si>
    <t>OSPINO OLIVEROS MONICA MERCEDES</t>
  </si>
  <si>
    <t>OSP*** OLI***** MON*** MER*****</t>
  </si>
  <si>
    <t>33216190</t>
  </si>
  <si>
    <t>MENDOZA ROCA BEDSI ESPERANZA</t>
  </si>
  <si>
    <t>MEN**** ROC* BED** ESP******</t>
  </si>
  <si>
    <t>33216275</t>
  </si>
  <si>
    <t>MACHADO LOPEZ ELSY</t>
  </si>
  <si>
    <t>MAC**** LOP** ELS*</t>
  </si>
  <si>
    <t>33216310</t>
  </si>
  <si>
    <t>BAENA GUTIERREZ NAYIBE</t>
  </si>
  <si>
    <t>BAE** GUT****** NAY***</t>
  </si>
  <si>
    <t>33216341</t>
  </si>
  <si>
    <t>AMADOR OSPINO NEILA</t>
  </si>
  <si>
    <t>AMA*** OSP*** NEI**</t>
  </si>
  <si>
    <t>33216512</t>
  </si>
  <si>
    <t>QUIROZ RICO MADONYS MARIA</t>
  </si>
  <si>
    <t>QUI*** RIC* MAD**** MAR**</t>
  </si>
  <si>
    <t>33216631</t>
  </si>
  <si>
    <t>LARIOS SOLIS CLAUDIA</t>
  </si>
  <si>
    <t>LAR*** SOL** CLA****</t>
  </si>
  <si>
    <t>33216696</t>
  </si>
  <si>
    <t>PALLARES PABA ROCIO</t>
  </si>
  <si>
    <t>PAL***** PAB* ROC**</t>
  </si>
  <si>
    <t>33216719</t>
  </si>
  <si>
    <t>FUENTES ROCHA DARIS</t>
  </si>
  <si>
    <t>FUE**** ROC** DAR**</t>
  </si>
  <si>
    <t>33216728</t>
  </si>
  <si>
    <t>JIMENEZ OLIVERO EUCARIS ISABEL</t>
  </si>
  <si>
    <t>JIM**** OLI**** EUC**** ISA***</t>
  </si>
  <si>
    <t>33216737</t>
  </si>
  <si>
    <t>GARCIA MORALES FARIDES</t>
  </si>
  <si>
    <t>GAR*** MOR**** FAR****</t>
  </si>
  <si>
    <t>33216744</t>
  </si>
  <si>
    <t>MARTINEZ JIMENEZ NELVYS LEONOR</t>
  </si>
  <si>
    <t>MAR***** JIM**** NEL*** LEO***</t>
  </si>
  <si>
    <t>33216745</t>
  </si>
  <si>
    <t>FERREIRA ZAMBRANO LISBETH ISABEL</t>
  </si>
  <si>
    <t>FER***** ZAM***** LIS**** ISA***</t>
  </si>
  <si>
    <t>33216873</t>
  </si>
  <si>
    <t>BENITEZ OROZCO INES GREGORIA</t>
  </si>
  <si>
    <t>BEN**** ORO*** INE* GRE*****</t>
  </si>
  <si>
    <t>33216875</t>
  </si>
  <si>
    <t>MOLA TOBIO ALUDIS MARIA</t>
  </si>
  <si>
    <t>MOL* TOB** ALU*** MAR**</t>
  </si>
  <si>
    <t>33216894</t>
  </si>
  <si>
    <t>NADAL NAVARRO MARIA CONCEPCION</t>
  </si>
  <si>
    <t>NAD** NAV**** MAR** CON*******</t>
  </si>
  <si>
    <t>33217013</t>
  </si>
  <si>
    <t>MEJIA FUENTES ROCIO DEL CARMEN</t>
  </si>
  <si>
    <t>MEJ** FUE**** ROC** DEL CAR***</t>
  </si>
  <si>
    <t>33217026</t>
  </si>
  <si>
    <t>MEJIA OLIVEROS JASMIN MARGARITA</t>
  </si>
  <si>
    <t>MEJ** OLI***** JAS*** MAR******</t>
  </si>
  <si>
    <t>33217082</t>
  </si>
  <si>
    <t>PEREZ NAVARRO AMANDA</t>
  </si>
  <si>
    <t>PER** NAV**** AMA***</t>
  </si>
  <si>
    <t>33217130</t>
  </si>
  <si>
    <t>DIAZ OYAGA ANA JULIA</t>
  </si>
  <si>
    <t>DIA* OYA** ANA JUL**</t>
  </si>
  <si>
    <t>33217309</t>
  </si>
  <si>
    <t>LEON MARTINEZ CECILIA JUDITH</t>
  </si>
  <si>
    <t>LEO* MAR***** CEC**** JUD***</t>
  </si>
  <si>
    <t>33217369</t>
  </si>
  <si>
    <t>AMARIS LARA DENNYS DEL CARMEN</t>
  </si>
  <si>
    <t>AMA*** LAR* DEN*** DEL CAR***</t>
  </si>
  <si>
    <t>33217387</t>
  </si>
  <si>
    <t>SEQUEA OYAGA ROQUELINA</t>
  </si>
  <si>
    <t>SEQ*** OYA** ROQ******</t>
  </si>
  <si>
    <t>33217428</t>
  </si>
  <si>
    <t>FUENTES MONTERO HERIKA PATRICIA</t>
  </si>
  <si>
    <t>FUE**** MON**** HER*** PAT*****</t>
  </si>
  <si>
    <t>33217429</t>
  </si>
  <si>
    <t>LEON ARIAS MARLENE</t>
  </si>
  <si>
    <t>LEO* ARI** MAR****</t>
  </si>
  <si>
    <t>33217438</t>
  </si>
  <si>
    <t>NIETO MARTINEZ MERLYS</t>
  </si>
  <si>
    <t>NIE** MAR***** MER***</t>
  </si>
  <si>
    <t>33217440</t>
  </si>
  <si>
    <t>RODRIGUEZ BARRETO JULIA</t>
  </si>
  <si>
    <t>ROD****** BAR**** JUL**</t>
  </si>
  <si>
    <t>33217442</t>
  </si>
  <si>
    <t>ABELLO GUZMAN MARIANA DE JESUS</t>
  </si>
  <si>
    <t>ABE*** GUZ*** MAR**** DE JES**</t>
  </si>
  <si>
    <t>33217463</t>
  </si>
  <si>
    <t>BOLAÑO MARTINEZ DANELLIS</t>
  </si>
  <si>
    <t>BOL*** MAR***** DAN*****</t>
  </si>
  <si>
    <t>33217593</t>
  </si>
  <si>
    <t>NAVARRO HERRERA PILAR</t>
  </si>
  <si>
    <t>NAV**** HER**** PIL**</t>
  </si>
  <si>
    <t>33217712</t>
  </si>
  <si>
    <t>LOPEZ ECHAVEZ CATALINA ROSA</t>
  </si>
  <si>
    <t>LOP** ECH**** CAT***** ROS*</t>
  </si>
  <si>
    <t>33217740</t>
  </si>
  <si>
    <t>LOPEZ AMADOR NICOLASA</t>
  </si>
  <si>
    <t>LOP** AMA*** NIC*****</t>
  </si>
  <si>
    <t>33217885</t>
  </si>
  <si>
    <t>FONSECA BETANCOURT MARTA</t>
  </si>
  <si>
    <t>FON**** BET******* MAR**</t>
  </si>
  <si>
    <t>33217930</t>
  </si>
  <si>
    <t>MORALES RODRIGUEZ OSMELIA</t>
  </si>
  <si>
    <t>MOR**** ROD****** OSM****</t>
  </si>
  <si>
    <t>33217986</t>
  </si>
  <si>
    <t>SAENZ NAVARRO SABITRI DE JESUS</t>
  </si>
  <si>
    <t>SAE** NAV**** SAB**** DE JES**</t>
  </si>
  <si>
    <t>33217999</t>
  </si>
  <si>
    <t>GARCIA NAVARRO SARA</t>
  </si>
  <si>
    <t>GAR*** NAV**** SAR*</t>
  </si>
  <si>
    <t>33218004</t>
  </si>
  <si>
    <t>ROCHA JIMENEZ MONICA</t>
  </si>
  <si>
    <t>ROC** JIM**** MON***</t>
  </si>
  <si>
    <t>33218048</t>
  </si>
  <si>
    <t>OSPINO DAVILA KATY ESTELA</t>
  </si>
  <si>
    <t>OSP*** DAV*** KAT* EST***</t>
  </si>
  <si>
    <t>33218162</t>
  </si>
  <si>
    <t>ACUÑA AMARIS PILAR</t>
  </si>
  <si>
    <t>ACU** AMA*** PIL**</t>
  </si>
  <si>
    <t>33218225</t>
  </si>
  <si>
    <t>GUERRERO CASTILLA AMIRA EMELINA</t>
  </si>
  <si>
    <t>GUE***** CAS***** AMI** EME****</t>
  </si>
  <si>
    <t>33218293</t>
  </si>
  <si>
    <t>GUZMAN MORALES TAIRIS ISABEL</t>
  </si>
  <si>
    <t>GUZ*** MOR**** TAI*** ISA***</t>
  </si>
  <si>
    <t>33218376</t>
  </si>
  <si>
    <t>RANGEL OSPINO YEOVANNA RAFAELA</t>
  </si>
  <si>
    <t>RAN*** OSP*** YEO***** RAF****</t>
  </si>
  <si>
    <t>33218382</t>
  </si>
  <si>
    <t>RICO NAVARRO ALEXANDRA</t>
  </si>
  <si>
    <t>RIC* NAV**** ALE******</t>
  </si>
  <si>
    <t>33218416</t>
  </si>
  <si>
    <t>VILLALOBOS RODRIGUEZ LUZMILA</t>
  </si>
  <si>
    <t>VIL******* ROD****** LUZ****</t>
  </si>
  <si>
    <t>33218418</t>
  </si>
  <si>
    <t>NAVARRO HERRERA CIELO</t>
  </si>
  <si>
    <t>NAV**** HER**** CIE**</t>
  </si>
  <si>
    <t>33218426</t>
  </si>
  <si>
    <t>TORRES ROJAS JUDITH</t>
  </si>
  <si>
    <t>TOR*** ROJ** JUD***</t>
  </si>
  <si>
    <t>33218460</t>
  </si>
  <si>
    <t>LOPEZ FLOREZ YOHENIS</t>
  </si>
  <si>
    <t>LOP** FLO*** YOH****</t>
  </si>
  <si>
    <t>33218514</t>
  </si>
  <si>
    <t>ABUABARA MACHADO EMMA</t>
  </si>
  <si>
    <t>ABU***** MAC**** EMM*</t>
  </si>
  <si>
    <t>33218532</t>
  </si>
  <si>
    <t>MARTINEZ CHAVEZ LILIANA</t>
  </si>
  <si>
    <t>MAR***** CHA*** LIL****</t>
  </si>
  <si>
    <t>33218571</t>
  </si>
  <si>
    <t>DIAZ OYAGA HILDA</t>
  </si>
  <si>
    <t>DIA* OYA** HIL**</t>
  </si>
  <si>
    <t>33218678</t>
  </si>
  <si>
    <t>CABRALES CHAMORRO MAGALYS</t>
  </si>
  <si>
    <t>CAB***** CHA***** MAG****</t>
  </si>
  <si>
    <t>33218771</t>
  </si>
  <si>
    <t>ANGULO QUIROZ JUANA MARIA</t>
  </si>
  <si>
    <t>ANG*** QUI*** JUA** MAR**</t>
  </si>
  <si>
    <t>33218889</t>
  </si>
  <si>
    <t>ACUÑA MEDINA RUTH MARINA</t>
  </si>
  <si>
    <t>ACU** MED*** RUT* MAR***</t>
  </si>
  <si>
    <t>33218929</t>
  </si>
  <si>
    <t>RODRIGUEZ SEGOVIA GLENIS</t>
  </si>
  <si>
    <t>ROD****** SEG**** GLE***</t>
  </si>
  <si>
    <t>33219180</t>
  </si>
  <si>
    <t>YACUB MONTOYA JOHANNA MARIA</t>
  </si>
  <si>
    <t>YAC** MON**** JOH**** MAR**</t>
  </si>
  <si>
    <t>33219261</t>
  </si>
  <si>
    <t>DAVILA ROCHA ENALBA</t>
  </si>
  <si>
    <t>DAV*** ROC** ENA***</t>
  </si>
  <si>
    <t>33219290</t>
  </si>
  <si>
    <t>CONTRERAS PACHECO PAOLA VICTORIA</t>
  </si>
  <si>
    <t>CON****** PAC**** PAO** VIC*****</t>
  </si>
  <si>
    <t>33219622</t>
  </si>
  <si>
    <t>MEJIA MEJIA MANUELA</t>
  </si>
  <si>
    <t>MEJ** MEJ** MAN****</t>
  </si>
  <si>
    <t>33219671</t>
  </si>
  <si>
    <t>MACHADO ORTIZ ROSARIO</t>
  </si>
  <si>
    <t>MAC**** ORT** ROS****</t>
  </si>
  <si>
    <t>33219928</t>
  </si>
  <si>
    <t>MACHADO FERREIRA CIRA FERNANDA</t>
  </si>
  <si>
    <t>MAC**** FER***** CIR* FER*****</t>
  </si>
  <si>
    <t>33220038</t>
  </si>
  <si>
    <t>PUPO JIMENEZ MARGARITA</t>
  </si>
  <si>
    <t>PUP* JIM**** MAR******</t>
  </si>
  <si>
    <t>33220759</t>
  </si>
  <si>
    <t>CHAMORRO FONSECA NERIS MARIA</t>
  </si>
  <si>
    <t>CHA***** FON**** NER** MAR**</t>
  </si>
  <si>
    <t>33221731</t>
  </si>
  <si>
    <t>SILVA POLO YOLEIDYS</t>
  </si>
  <si>
    <t>SIL** POL* YOL*****</t>
  </si>
  <si>
    <t>33221797</t>
  </si>
  <si>
    <t>JIMENEZ ACOSTA ZAIDA PATRICIA</t>
  </si>
  <si>
    <t>JIM**** ACO*** ZAI** PAT*****</t>
  </si>
  <si>
    <t>33222278</t>
  </si>
  <si>
    <t>DE LA CRUZ RUBIO NINA JUDITH</t>
  </si>
  <si>
    <t>DE LA CRU* RUB** NIN* JUD***</t>
  </si>
  <si>
    <t>33222890</t>
  </si>
  <si>
    <t>OSPINO OROZCO DALGYS</t>
  </si>
  <si>
    <t>OSP*** ORO*** DAL***</t>
  </si>
  <si>
    <t>33223012</t>
  </si>
  <si>
    <t>OSPINO CAÑARETE YENNIFER PAOLA</t>
  </si>
  <si>
    <t>OSP*** CAÑ***** YEN***** PAO**</t>
  </si>
  <si>
    <t>33223205</t>
  </si>
  <si>
    <t>CASTILLA PEÑA GLADYS KARINA</t>
  </si>
  <si>
    <t>CAS***** PEÑ* GLA*** KAR***</t>
  </si>
  <si>
    <t>33223432</t>
  </si>
  <si>
    <t>AREVALO MIELES OLINDA</t>
  </si>
  <si>
    <t>ARE**** MIE*** OLI***</t>
  </si>
  <si>
    <t>33223698</t>
  </si>
  <si>
    <t>LOPEZ MEJIA MARIANA</t>
  </si>
  <si>
    <t>LOP** MEJ** MAR****</t>
  </si>
  <si>
    <t>33223769</t>
  </si>
  <si>
    <t>LARA MARQUEZ LOLY LUZ</t>
  </si>
  <si>
    <t>LAR* MAR**** LOL* LUZ</t>
  </si>
  <si>
    <t>33238949</t>
  </si>
  <si>
    <t>GARCIA BELLO VIVIANA MARGARITA</t>
  </si>
  <si>
    <t>GAR*** BEL** VIV**** MAR******</t>
  </si>
  <si>
    <t>33283547</t>
  </si>
  <si>
    <t>DIAZ BEJARANO LIBIA ESTHER</t>
  </si>
  <si>
    <t>DIA* BEJ***** LIB** EST***</t>
  </si>
  <si>
    <t>33285920</t>
  </si>
  <si>
    <t>CABRERA MENDOZA DORIS BERNET</t>
  </si>
  <si>
    <t>CAB**** MEN**** DOR** BER***</t>
  </si>
  <si>
    <t>33308181</t>
  </si>
  <si>
    <t>HERNANDEZ ALEMAN BIBIANA</t>
  </si>
  <si>
    <t>HER****** ALE*** BIB****</t>
  </si>
  <si>
    <t>33310084</t>
  </si>
  <si>
    <t>AGUILAR MACIAS YELIS DEL CARMEN</t>
  </si>
  <si>
    <t>AGU**** MAC*** YEL** DEL CAR***</t>
  </si>
  <si>
    <t>33310088</t>
  </si>
  <si>
    <t>MATUTE MOLINA RINA ESTHER</t>
  </si>
  <si>
    <t>MAT*** MOL*** RIN* EST***</t>
  </si>
  <si>
    <t>33332733</t>
  </si>
  <si>
    <t>ALVARADO ORTIZ MARTHA ISABEL</t>
  </si>
  <si>
    <t>ALV***** ORT** MAR*** ISA***</t>
  </si>
  <si>
    <t>33340088</t>
  </si>
  <si>
    <t>PARRA SALAZAR INES LUCIA</t>
  </si>
  <si>
    <t>PAR** SAL**** INE* LUC**</t>
  </si>
  <si>
    <t>33355391</t>
  </si>
  <si>
    <t>MEDINA DE LA VEGA MARIA MONICA</t>
  </si>
  <si>
    <t>MED*** DE LA VEG* MAR** MON***</t>
  </si>
  <si>
    <t>33379075</t>
  </si>
  <si>
    <t>ROJAS GONZALEZ SARA MILENA</t>
  </si>
  <si>
    <t>ROJ** GON***** SAR* MIL***</t>
  </si>
  <si>
    <t>34983730</t>
  </si>
  <si>
    <t>ROMERO MERLANO XIOMARA DEL CARMEN</t>
  </si>
  <si>
    <t>ROM*** MER**** XIO**** DEL CAR***</t>
  </si>
  <si>
    <t>34984152</t>
  </si>
  <si>
    <t>MESTRA PEINADO TERESA DE JESUS</t>
  </si>
  <si>
    <t>MES*** PEI**** TER*** DE JES**</t>
  </si>
  <si>
    <t>34992815</t>
  </si>
  <si>
    <t>MORENO FLOREZ MARIA JOSEFA</t>
  </si>
  <si>
    <t>MOR*** FLO*** MAR** JOS***</t>
  </si>
  <si>
    <t>35113906</t>
  </si>
  <si>
    <t>SEGURA GUEVARA YENY DEL CARMEN</t>
  </si>
  <si>
    <t>SEG*** GUE**** YEN* DEL CAR***</t>
  </si>
  <si>
    <t>35143818</t>
  </si>
  <si>
    <t>GUZMAN PACHECO INGRID YOJANA</t>
  </si>
  <si>
    <t>GUZ*** PAC**** ING*** YOJ***</t>
  </si>
  <si>
    <t>35475088</t>
  </si>
  <si>
    <t>RUIZ VANEGAS SOFIA</t>
  </si>
  <si>
    <t>RUI* VAN**** SOF**</t>
  </si>
  <si>
    <t>35545214</t>
  </si>
  <si>
    <t>CHAVERRA MORENO CARMENZA</t>
  </si>
  <si>
    <t>CHA***** MOR*** CAR*****</t>
  </si>
  <si>
    <t>35870781</t>
  </si>
  <si>
    <t>SALAS JULIO GLADYS</t>
  </si>
  <si>
    <t>SAL** JUL** GLA***</t>
  </si>
  <si>
    <t>35892189</t>
  </si>
  <si>
    <t>LEYES MARTINEZ LUCY YESENIA</t>
  </si>
  <si>
    <t>LEY** MAR***** LUC* YES****</t>
  </si>
  <si>
    <t>35892654</t>
  </si>
  <si>
    <t>MESA VALDERRAMA YAZMIN</t>
  </si>
  <si>
    <t>MES* VAL******* YAZ***</t>
  </si>
  <si>
    <t>35898889</t>
  </si>
  <si>
    <t>PACHECO PALACIOS LUCY JANETH</t>
  </si>
  <si>
    <t>PAC**** PAL***** LUC* JAN***</t>
  </si>
  <si>
    <t>36385219</t>
  </si>
  <si>
    <t>RAMOS DIAZ ANA ELENA</t>
  </si>
  <si>
    <t>RAM** DIA* ANA ELE**</t>
  </si>
  <si>
    <t>36385532</t>
  </si>
  <si>
    <t>CARRILLO AGUILAR ROSALBA</t>
  </si>
  <si>
    <t>CAR***** AGU**** ROS****</t>
  </si>
  <si>
    <t>36385724</t>
  </si>
  <si>
    <t>BLANCO ROSADO MILENA PATRICIA</t>
  </si>
  <si>
    <t>BLA*** ROS*** MIL*** PAT*****</t>
  </si>
  <si>
    <t>36385889</t>
  </si>
  <si>
    <t>RIQUETT CERVERA ZULEIMA MARGARITA</t>
  </si>
  <si>
    <t>RIQ**** CER**** ZUL**** MAR******</t>
  </si>
  <si>
    <t>36386058</t>
  </si>
  <si>
    <t>GUTIERREZ SANCHEZ MARIA JACINTA</t>
  </si>
  <si>
    <t>GUT****** SAN**** MAR** JAC****</t>
  </si>
  <si>
    <t>36415113</t>
  </si>
  <si>
    <t>HOSTIA BELEÑO ISABEL</t>
  </si>
  <si>
    <t>HOS*** BEL*** ISA***</t>
  </si>
  <si>
    <t>36425264</t>
  </si>
  <si>
    <t>ARIAS SOTO ROMUALDA</t>
  </si>
  <si>
    <t>ARI** SOT* ROM*****</t>
  </si>
  <si>
    <t>36450654</t>
  </si>
  <si>
    <t>GUERRA FONSECA SOMALIA</t>
  </si>
  <si>
    <t>GUE*** FON**** SOM****</t>
  </si>
  <si>
    <t>36450677</t>
  </si>
  <si>
    <t>CANTILLO BARRIOS CLAUDIA PATRICIA</t>
  </si>
  <si>
    <t>CAN***** BAR**** CLA**** PAT*****</t>
  </si>
  <si>
    <t>36450685</t>
  </si>
  <si>
    <t>ESPINOSA ALTAMAR ANDREA ISABEL</t>
  </si>
  <si>
    <t>ESP***** ALT**** AND*** ISA***</t>
  </si>
  <si>
    <t>36450702</t>
  </si>
  <si>
    <t>QUINTERO BUSTOS LUZ MAIRA</t>
  </si>
  <si>
    <t>QUI***** BUS*** LUZ MAI**</t>
  </si>
  <si>
    <t>36450918</t>
  </si>
  <si>
    <t>SERRANO BORREGO OLGA BEATRIZ</t>
  </si>
  <si>
    <t>SER**** BOR**** OLG* BEA****</t>
  </si>
  <si>
    <t>36450935</t>
  </si>
  <si>
    <t>MENDEZ GONZALEZ ERICA</t>
  </si>
  <si>
    <t>MEN*** GON***** ERI**</t>
  </si>
  <si>
    <t>36450939</t>
  </si>
  <si>
    <t>PATIÑO VALENCIA LILIANA</t>
  </si>
  <si>
    <t>PAT*** VAL***** LIL****</t>
  </si>
  <si>
    <t>36450972</t>
  </si>
  <si>
    <t>MARTINEZ CEBALLOS YULET ZULAY</t>
  </si>
  <si>
    <t>MAR***** CEB***** YUL** ZUL**</t>
  </si>
  <si>
    <t>36451165</t>
  </si>
  <si>
    <t>ARRIETA CONTRERAS DIANA ISABEL</t>
  </si>
  <si>
    <t>ARR**** CON****** DIA** ISA***</t>
  </si>
  <si>
    <t>36451180</t>
  </si>
  <si>
    <t>LOPEZ ALONCE JANETH</t>
  </si>
  <si>
    <t>LOP** ALO*** JAN***</t>
  </si>
  <si>
    <t>36451304</t>
  </si>
  <si>
    <t>SIERRA VALLE LUZ MILA</t>
  </si>
  <si>
    <t>SIE*** VAL** LUZ MIL*</t>
  </si>
  <si>
    <t>36451477</t>
  </si>
  <si>
    <t>SIERRA CANTILLO SHIRLEY ROCIO</t>
  </si>
  <si>
    <t>SIE*** CAN***** SHI**** ROC**</t>
  </si>
  <si>
    <t>36451493</t>
  </si>
  <si>
    <t>MENDINUETA JIMENEZ YOLEIDYS</t>
  </si>
  <si>
    <t>MEN******* JIM**** YOL*****</t>
  </si>
  <si>
    <t>36451579</t>
  </si>
  <si>
    <t>FUENTES MEDINA MARIELIS EDITH</t>
  </si>
  <si>
    <t>FUE**** MED*** MAR***** EDI**</t>
  </si>
  <si>
    <t>36451610</t>
  </si>
  <si>
    <t>ACOSTA GUETTE DUNIS ANA</t>
  </si>
  <si>
    <t>ACO*** GUE*** DUN** ANA</t>
  </si>
  <si>
    <t>36451730</t>
  </si>
  <si>
    <t>MARTINEZ ROMO YAZMIN DEL SOCORRO</t>
  </si>
  <si>
    <t>MAR***** ROM* YAZ*** DEL SOC****</t>
  </si>
  <si>
    <t>36451760</t>
  </si>
  <si>
    <t>GRANADOS PEREZ IVONNE PATRICIA</t>
  </si>
  <si>
    <t>GRA***** PER** IVO*** PAT*****</t>
  </si>
  <si>
    <t>36451770</t>
  </si>
  <si>
    <t>ECKER MARTINEZ NEIVIS JUDITH</t>
  </si>
  <si>
    <t>ECK** MAR***** NEI*** JUD***</t>
  </si>
  <si>
    <t>36451799</t>
  </si>
  <si>
    <t>DAZA CALVO EDILSA ISABEL</t>
  </si>
  <si>
    <t>DAZ* CAL** EDI*** ISA***</t>
  </si>
  <si>
    <t>36451801</t>
  </si>
  <si>
    <t>ZABALETA BERMUDEZ LUZ MARY</t>
  </si>
  <si>
    <t>ZAB***** BER***** LUZ MAR*</t>
  </si>
  <si>
    <t>36451818</t>
  </si>
  <si>
    <t>AVENDAÑO RODRIGUEZ MARICELA</t>
  </si>
  <si>
    <t>AVE***** ROD****** MAR*****</t>
  </si>
  <si>
    <t>36451948</t>
  </si>
  <si>
    <t>ESCORCIA BONETT LICETT SELENE</t>
  </si>
  <si>
    <t>ESC***** BON*** LIC*** SEL***</t>
  </si>
  <si>
    <t>36451987</t>
  </si>
  <si>
    <t>RAMIREZ ORTIZ MAYERLIN</t>
  </si>
  <si>
    <t>RAM**** ORT** MAY*****</t>
  </si>
  <si>
    <t>36452096</t>
  </si>
  <si>
    <t>ALVAREZ CANTILLO BERTHA CONSUELO</t>
  </si>
  <si>
    <t>ALV**** CAN***** BER*** CON*****</t>
  </si>
  <si>
    <t>36452261</t>
  </si>
  <si>
    <t>PALLARES ESCORCIA ANGELITA ROSARIO DE FATIMA</t>
  </si>
  <si>
    <t>PAL***** ESC***** ANG***** ROS**** DE FAT***</t>
  </si>
  <si>
    <t>36452351</t>
  </si>
  <si>
    <t>PEREA MELENDEZ CLAUDIA PATRICIA</t>
  </si>
  <si>
    <t>PER** MEL***** CLA**** PAT*****</t>
  </si>
  <si>
    <t>36452390</t>
  </si>
  <si>
    <t>RINCON TAMAYO ONEIDA</t>
  </si>
  <si>
    <t>RIN*** TAM*** ONE***</t>
  </si>
  <si>
    <t>36452496</t>
  </si>
  <si>
    <t>GRANADOS RADA SIMONA PATRICIA</t>
  </si>
  <si>
    <t>GRA***** RAD* SIM*** PAT*****</t>
  </si>
  <si>
    <t>36452539</t>
  </si>
  <si>
    <t>PERTUZ GOMEZ NORYS GREGORIA</t>
  </si>
  <si>
    <t>PER*** GOM** NOR** GRE*****</t>
  </si>
  <si>
    <t>36452623</t>
  </si>
  <si>
    <t>MEJIA CHIQUILLO ANA MILENA</t>
  </si>
  <si>
    <t>MEJ** CHI****** ANA MIL***</t>
  </si>
  <si>
    <t>36452680</t>
  </si>
  <si>
    <t>GAMEZ LOBO UBALDINA DE JESUS</t>
  </si>
  <si>
    <t>GAM** LOB* UBA***** DE JES**</t>
  </si>
  <si>
    <t>36452682</t>
  </si>
  <si>
    <t>BARROS RESTREPO KARINA PATRICIA</t>
  </si>
  <si>
    <t>BAR*** RES***** KAR*** PAT*****</t>
  </si>
  <si>
    <t>36452701</t>
  </si>
  <si>
    <t>AGAMEZ LOPEZ YESENIA MARIA</t>
  </si>
  <si>
    <t>AGA*** LOP** YES**** MAR**</t>
  </si>
  <si>
    <t>36452769</t>
  </si>
  <si>
    <t>ANGARITA ACOSTA DORA SIRLEY</t>
  </si>
  <si>
    <t>ANG***** ACO*** DOR* SIR***</t>
  </si>
  <si>
    <t>36452856</t>
  </si>
  <si>
    <t>CHAMORRO ARRIETA ARELIS MARIA</t>
  </si>
  <si>
    <t>CHA***** ARR**** ARE*** MAR**</t>
  </si>
  <si>
    <t>36453000</t>
  </si>
  <si>
    <t>CARMONA OROZCO EURIS MILENA</t>
  </si>
  <si>
    <t>CAR**** ORO*** EUR** MIL***</t>
  </si>
  <si>
    <t>36453225</t>
  </si>
  <si>
    <t>GOMEZ CONTRERAS GLADYS</t>
  </si>
  <si>
    <t>GOM** CON****** GLA***</t>
  </si>
  <si>
    <t>36453327</t>
  </si>
  <si>
    <t>PALMA ZABALA ANA MILENA</t>
  </si>
  <si>
    <t>PAL** ZAB*** ANA MIL***</t>
  </si>
  <si>
    <t>36453776</t>
  </si>
  <si>
    <t>SIERRA CANTILLO LUZ EMILSE</t>
  </si>
  <si>
    <t>SIE*** CAN***** LUZ EMI***</t>
  </si>
  <si>
    <t>36453799</t>
  </si>
  <si>
    <t>CARRILLO PONCE YANITZA</t>
  </si>
  <si>
    <t>CAR***** PON** YAN****</t>
  </si>
  <si>
    <t>36453867</t>
  </si>
  <si>
    <t>ZAMBRANO CAMACHO SCHIRLEY TATIANA</t>
  </si>
  <si>
    <t>ZAM***** CAM**** SCH***** TAT****</t>
  </si>
  <si>
    <t>36453885</t>
  </si>
  <si>
    <t>BARROS MEJIA MARY CARMEN</t>
  </si>
  <si>
    <t>BAR*** MEJ** MAR* CAR***</t>
  </si>
  <si>
    <t>36453888</t>
  </si>
  <si>
    <t>FERNANDEZ PAYARES AMELIA DEL CARMEN</t>
  </si>
  <si>
    <t>FER****** PAY**** AME*** DEL CAR***</t>
  </si>
  <si>
    <t>36453892</t>
  </si>
  <si>
    <t>VIZCAINO CABALLERO NEIVIS JUDITH</t>
  </si>
  <si>
    <t>VIZ***** CAB****** NEI*** JUD***</t>
  </si>
  <si>
    <t>36454001</t>
  </si>
  <si>
    <t>VARELA DE LA HOZ CATERINE MARGARITA</t>
  </si>
  <si>
    <t>VAR*** DE LA HOZ CAT***** MAR******</t>
  </si>
  <si>
    <t>36454003</t>
  </si>
  <si>
    <t>MARTINEZ CANTILLO GISSELA DEL CARMEN</t>
  </si>
  <si>
    <t>MAR***** CAN***** GIS**** DEL CAR***</t>
  </si>
  <si>
    <t>36454019</t>
  </si>
  <si>
    <t>HERRERA PERTUZ VERONICA MARGARITA</t>
  </si>
  <si>
    <t>HER**** PER*** VER***** MAR******</t>
  </si>
  <si>
    <t>36454027</t>
  </si>
  <si>
    <t>PALLARES ESCORCIA MIRIAM BEATRIZ</t>
  </si>
  <si>
    <t>PAL***** ESC***** MIR*** BEA****</t>
  </si>
  <si>
    <t>36454158</t>
  </si>
  <si>
    <t>GUARDIA MORALES RUBYS MILENA</t>
  </si>
  <si>
    <t>GUA**** MOR**** RUB** MIL***</t>
  </si>
  <si>
    <t>36454215</t>
  </si>
  <si>
    <t>MASSI ARZA SHIRLEYS</t>
  </si>
  <si>
    <t>MAS** ARZ* SHI*****</t>
  </si>
  <si>
    <t>36454288</t>
  </si>
  <si>
    <t>LIDUEÑA GARCIA MAYRA ALEJANDRA</t>
  </si>
  <si>
    <t>LID**** GAR*** MAY** ALE******</t>
  </si>
  <si>
    <t>36454399</t>
  </si>
  <si>
    <t>RODRIGUEZ HERNANDEZ MILENA ESTHER</t>
  </si>
  <si>
    <t>ROD****** HER****** MIL*** EST***</t>
  </si>
  <si>
    <t>36454655</t>
  </si>
  <si>
    <t>BORJA CHIQUILLO MERLYS CONSUELO</t>
  </si>
  <si>
    <t>BOR** CHI****** MER*** CON*****</t>
  </si>
  <si>
    <t>36454668</t>
  </si>
  <si>
    <t>CARRILLO VIZCAINO MILENA PATRICIA</t>
  </si>
  <si>
    <t>CAR***** VIZ***** MIL*** PAT*****</t>
  </si>
  <si>
    <t>36454672</t>
  </si>
  <si>
    <t>SANTANA ARIAS MARIELA</t>
  </si>
  <si>
    <t>SAN**** ARI** MAR****</t>
  </si>
  <si>
    <t>36454854</t>
  </si>
  <si>
    <t>MARTINEZ ROMO CIELO DEL SOCORRO</t>
  </si>
  <si>
    <t>MAR***** ROM* CIE** DEL SOC****</t>
  </si>
  <si>
    <t>36454932</t>
  </si>
  <si>
    <t>ESCORCIA ROJAS MARIA DEL CARMEN</t>
  </si>
  <si>
    <t>ESC***** ROJ** MAR** DEL CAR***</t>
  </si>
  <si>
    <t>36454933</t>
  </si>
  <si>
    <t>PACHECO DE LA HOZ ANA TERESA</t>
  </si>
  <si>
    <t>PAC**** DE LA HOZ ANA TER***</t>
  </si>
  <si>
    <t>36505353</t>
  </si>
  <si>
    <t>DELGADO RODERO KATTYA MARGARITA</t>
  </si>
  <si>
    <t>DEL**** ROD*** KAT*** MAR******</t>
  </si>
  <si>
    <t>36505402</t>
  </si>
  <si>
    <t>VERGARA DE LEON ELVYS</t>
  </si>
  <si>
    <t>VER**** DE LEO* ELV**</t>
  </si>
  <si>
    <t>36505411</t>
  </si>
  <si>
    <t>MENDOZA LOPEZ JUANA DE LA LUZ</t>
  </si>
  <si>
    <t>MEN**** LOP** JUA** DE LA LUZ</t>
  </si>
  <si>
    <t>36505413</t>
  </si>
  <si>
    <t>JIMENEZ MEZA LELLY ESTHER</t>
  </si>
  <si>
    <t>JIM**** MEZ* LEL** EST***</t>
  </si>
  <si>
    <t>36505452</t>
  </si>
  <si>
    <t>GOMEZ SINNING MADELINE DEL CARMEN</t>
  </si>
  <si>
    <t>GOM** SIN**** MAD***** DEL CAR***</t>
  </si>
  <si>
    <t>36505455</t>
  </si>
  <si>
    <t>MANCERA CUDRIS OMAIRA DEL CARMEN</t>
  </si>
  <si>
    <t>MAN**** CUD*** OMA*** DEL CAR***</t>
  </si>
  <si>
    <t>36505459</t>
  </si>
  <si>
    <t>PORTELA VILLAMIZAR LESFIA CECILIA</t>
  </si>
  <si>
    <t>POR**** VIL******* LES*** CEC****</t>
  </si>
  <si>
    <t>36505527</t>
  </si>
  <si>
    <t>GILL JIMENEZ LUZ MARENIA</t>
  </si>
  <si>
    <t>GIL* JIM**** LUZ MAR****</t>
  </si>
  <si>
    <t>36505683</t>
  </si>
  <si>
    <t>SINNING RIOS ELBA MARINA</t>
  </si>
  <si>
    <t>SIN**** RIO* ELB* MAR***</t>
  </si>
  <si>
    <t>36505690</t>
  </si>
  <si>
    <t>ORTIZ HERAZO SANDRA YOJANA</t>
  </si>
  <si>
    <t>ORT** HER*** SAN*** YOJ***</t>
  </si>
  <si>
    <t>36505709</t>
  </si>
  <si>
    <t>NAVARRO AREVALO MARTA PATRICIA</t>
  </si>
  <si>
    <t>NAV**** ARE**** MAR** PAT*****</t>
  </si>
  <si>
    <t>36505823</t>
  </si>
  <si>
    <t>VIDES GARCIA ARELYS</t>
  </si>
  <si>
    <t>VID** GAR*** ARE***</t>
  </si>
  <si>
    <t>36505834</t>
  </si>
  <si>
    <t>LOPEZ LOPEZ ELEANA MERCEDES</t>
  </si>
  <si>
    <t>LOP** LOP** ELE*** MER*****</t>
  </si>
  <si>
    <t>36505835</t>
  </si>
  <si>
    <t>ANDRADE VERGARA OLGA MARINA</t>
  </si>
  <si>
    <t>AND**** VER**** OLG* MAR***</t>
  </si>
  <si>
    <t>36505839</t>
  </si>
  <si>
    <t>ROYERO PEREZ YAMALYS ESTHER</t>
  </si>
  <si>
    <t>ROY*** PER** YAM**** EST***</t>
  </si>
  <si>
    <t>36505893</t>
  </si>
  <si>
    <t>LARIOS BENAVIDES AMARILIS ESTER</t>
  </si>
  <si>
    <t>LAR*** BEN****** AMA***** EST**</t>
  </si>
  <si>
    <t>36505910</t>
  </si>
  <si>
    <t>GARIZADO MORENO YOLADIS ESTHER</t>
  </si>
  <si>
    <t>GAR***** MOR*** YOL**** EST***</t>
  </si>
  <si>
    <t>36505927</t>
  </si>
  <si>
    <t>MEDINA ARRIETA CENOBIA MERCEDES</t>
  </si>
  <si>
    <t>MED*** ARR**** CEN**** MER*****</t>
  </si>
  <si>
    <t>36506072</t>
  </si>
  <si>
    <t>ORTIZ DAVILA MARIA ELVIRA</t>
  </si>
  <si>
    <t>ORT** DAV*** MAR** ELV***</t>
  </si>
  <si>
    <t>36506098</t>
  </si>
  <si>
    <t>FUENTES SALAS ERICA PATRICIA</t>
  </si>
  <si>
    <t>FUE**** SAL** ERI** PAT*****</t>
  </si>
  <si>
    <t>36506121</t>
  </si>
  <si>
    <t>NUÑEZ GUTIEREZ MADYS MARIA</t>
  </si>
  <si>
    <t>NUÑ** GUT***** MAD** MAR**</t>
  </si>
  <si>
    <t>36506160</t>
  </si>
  <si>
    <t>JIMENEZ ACUÑA ALBA LUZ</t>
  </si>
  <si>
    <t>JIM**** ACU** ALB* LUZ</t>
  </si>
  <si>
    <t>36506193</t>
  </si>
  <si>
    <t>PEREZ CHICRE ZOBEIDA CANDELARIA</t>
  </si>
  <si>
    <t>PER** CHI*** ZOB**** CAN*******</t>
  </si>
  <si>
    <t>36506203</t>
  </si>
  <si>
    <t>BETANCUR PEREZ LUZ ADRIANA</t>
  </si>
  <si>
    <t>BET***** PER** LUZ ADR****</t>
  </si>
  <si>
    <t>36506225</t>
  </si>
  <si>
    <t>TAPIA LARA ZULAY DEL CARMEN</t>
  </si>
  <si>
    <t>TAP** LAR* ZUL** DEL CAR***</t>
  </si>
  <si>
    <t>36506258</t>
  </si>
  <si>
    <t>REYES PEREZ HEIDY</t>
  </si>
  <si>
    <t>REY** PER** HEI**</t>
  </si>
  <si>
    <t>36506349</t>
  </si>
  <si>
    <t>DAVILA MENDOZA BELKYS MILDRETH</t>
  </si>
  <si>
    <t>DAV*** MEN**** BEL*** MIL*****</t>
  </si>
  <si>
    <t>36506359</t>
  </si>
  <si>
    <t>PABA GONZALEZ SANDRA HERLINDA</t>
  </si>
  <si>
    <t>PAB* GON***** SAN*** HER*****</t>
  </si>
  <si>
    <t>36506525</t>
  </si>
  <si>
    <t>PINTO NIETO ARLET PATRICIA</t>
  </si>
  <si>
    <t>PIN** NIE** ARL** PAT*****</t>
  </si>
  <si>
    <t>36506535</t>
  </si>
  <si>
    <t>MADRID DURAN EMMY ESTHER</t>
  </si>
  <si>
    <t>MAD*** DUR** EMM* EST***</t>
  </si>
  <si>
    <t>36506564</t>
  </si>
  <si>
    <t>GUTIERREZ AGUILAR JULIETH DEL CARMEN</t>
  </si>
  <si>
    <t>GUT****** AGU**** JUL**** DEL CAR***</t>
  </si>
  <si>
    <t>36506606</t>
  </si>
  <si>
    <t>ADRIANA MARGARITA AGUILERA RODERO</t>
  </si>
  <si>
    <t>ADR**** MAR****** AGU***** ROD***</t>
  </si>
  <si>
    <t>36507157</t>
  </si>
  <si>
    <t>JIMENEZ JIMENEZ BLANEIDYS PAOLA</t>
  </si>
  <si>
    <t>JIM**** JIM**** BLA****** PAO**</t>
  </si>
  <si>
    <t>36532911</t>
  </si>
  <si>
    <t>MARTINEZ LOPEZ SARA ELENA</t>
  </si>
  <si>
    <t>MAR***** LOP** SAR* ELE**</t>
  </si>
  <si>
    <t>36535726</t>
  </si>
  <si>
    <t>MONTALVO URIBE ENA CECILIA</t>
  </si>
  <si>
    <t>MON***** URI** ENA CEC****</t>
  </si>
  <si>
    <t>36539000</t>
  </si>
  <si>
    <t>YUCEFF CORTINA ZAYNE MARIA</t>
  </si>
  <si>
    <t>YUC*** COR**** ZAY** MAR**</t>
  </si>
  <si>
    <t>36539142</t>
  </si>
  <si>
    <t>MORRON VARGAS GLORIA DE JESUS</t>
  </si>
  <si>
    <t>MOR*** VAR*** GLO*** DE JES**</t>
  </si>
  <si>
    <t>36539591</t>
  </si>
  <si>
    <t>PAREDES SANTIAGO EDITH</t>
  </si>
  <si>
    <t>PAR**** SAN***** EDI**</t>
  </si>
  <si>
    <t>36539605</t>
  </si>
  <si>
    <t>PACHECO MUÑOZ MIRIAM MERCEDES</t>
  </si>
  <si>
    <t>PAC**** MUÑ** MIR*** MER*****</t>
  </si>
  <si>
    <t>36540911</t>
  </si>
  <si>
    <t>CANTILLO LIZCANO LUISA MABEL</t>
  </si>
  <si>
    <t>CAN***** LIZ**** LUI** MAB**</t>
  </si>
  <si>
    <t>36541681</t>
  </si>
  <si>
    <t>DE LA ROSA RANGEL AYMETH ISABEL</t>
  </si>
  <si>
    <t>DE LA ROS* RAN*** AYM*** ISA***</t>
  </si>
  <si>
    <t>36541893</t>
  </si>
  <si>
    <t>FLOREZ JASSAN ELIDA ESTHER</t>
  </si>
  <si>
    <t>FLO*** JAS*** ELI** EST***</t>
  </si>
  <si>
    <t>36542125</t>
  </si>
  <si>
    <t>GONZALEZ PERTUZ MERCEDES MARIA</t>
  </si>
  <si>
    <t>GON***** PER*** MER***** MAR**</t>
  </si>
  <si>
    <t>36542894</t>
  </si>
  <si>
    <t>GONZALEZ AGUDELO DENNIS MARIA</t>
  </si>
  <si>
    <t>GON***** AGU**** DEN*** MAR**</t>
  </si>
  <si>
    <t>36545555</t>
  </si>
  <si>
    <t>BARROS PERDOMO MARIA TERESA</t>
  </si>
  <si>
    <t>BAR*** PER**** MAR** TER***</t>
  </si>
  <si>
    <t>36546491</t>
  </si>
  <si>
    <t>BARRIOS ORTIZ DORA MARIA</t>
  </si>
  <si>
    <t>BAR**** ORT** DOR* MAR**</t>
  </si>
  <si>
    <t>36546511</t>
  </si>
  <si>
    <t>MARTINEZ BORNACELLY MARIA MARIA</t>
  </si>
  <si>
    <t>MAR***** BOR******* MAR** MAR**</t>
  </si>
  <si>
    <t>36547695</t>
  </si>
  <si>
    <t>MORRON CARRILLO MARIA DE LOS SANTOS</t>
  </si>
  <si>
    <t>MOR*** CAR***** MAR** DE LOS SAN***</t>
  </si>
  <si>
    <t>36548547</t>
  </si>
  <si>
    <t>ARIAS OSPINO MARIA JOSE</t>
  </si>
  <si>
    <t>ARI** OSP*** MAR** JOS*</t>
  </si>
  <si>
    <t>36548631</t>
  </si>
  <si>
    <t>HERRERA HERRERA ALMA ROSA</t>
  </si>
  <si>
    <t>HER**** HER**** ALM* ROS*</t>
  </si>
  <si>
    <t>36548633</t>
  </si>
  <si>
    <t>CASTRO ESCOBAR MEREDITH DE JESUS</t>
  </si>
  <si>
    <t>CAS*** ESC**** MER***** DE JES**</t>
  </si>
  <si>
    <t>36548699</t>
  </si>
  <si>
    <t>SILVERA POLO ANSELMA MARIA</t>
  </si>
  <si>
    <t>SIL**** POL* ANS**** MAR**</t>
  </si>
  <si>
    <t>36548891</t>
  </si>
  <si>
    <t>BENITEZ VARGAS DELFINA GREGORIA</t>
  </si>
  <si>
    <t>BEN**** VAR*** DEL**** GRE*****</t>
  </si>
  <si>
    <t>36548931</t>
  </si>
  <si>
    <t>CORTES PERALTA ALMA BRUNA</t>
  </si>
  <si>
    <t>COR*** PER**** ALM* BRU**</t>
  </si>
  <si>
    <t>36549450</t>
  </si>
  <si>
    <t>MERLANO BORJA MARLA</t>
  </si>
  <si>
    <t>MER**** BOR** MAR**</t>
  </si>
  <si>
    <t>36549553</t>
  </si>
  <si>
    <t>GRANADOS NUÑEZ GRACIELA MARIA</t>
  </si>
  <si>
    <t>GRA***** NUÑ** GRA***** MAR**</t>
  </si>
  <si>
    <t>36549805</t>
  </si>
  <si>
    <t>ORTEGA CANTILLO RUBY MARIA</t>
  </si>
  <si>
    <t>ORT*** CAN***** RUB* MAR**</t>
  </si>
  <si>
    <t>36550514</t>
  </si>
  <si>
    <t>SALCEDO LARA CARMEN DOLORES</t>
  </si>
  <si>
    <t>SAL**** LAR* CAR*** DOL****</t>
  </si>
  <si>
    <t>36551355</t>
  </si>
  <si>
    <t>CORREA TORRES MARIA ESTHER</t>
  </si>
  <si>
    <t>COR*** TOR*** MAR** EST***</t>
  </si>
  <si>
    <t>36551385</t>
  </si>
  <si>
    <t>PONCE JIMENEZ ZORAIDA</t>
  </si>
  <si>
    <t>PON** JIM**** ZOR****</t>
  </si>
  <si>
    <t>36551460</t>
  </si>
  <si>
    <t>OLIVERA PADILLA LILIAN DE JESUS</t>
  </si>
  <si>
    <t>OLI**** PAD**** LIL*** DE JES**</t>
  </si>
  <si>
    <t>36551518</t>
  </si>
  <si>
    <t>HERRERA RODRIGUEZ MARIELA ESTHER</t>
  </si>
  <si>
    <t>HER**** ROD****** MAR**** EST***</t>
  </si>
  <si>
    <t>36551622</t>
  </si>
  <si>
    <t>CELIS CARO CARMEN INES</t>
  </si>
  <si>
    <t>CEL** CAR* CAR*** INE*</t>
  </si>
  <si>
    <t>36551885</t>
  </si>
  <si>
    <t>DE ANGEL VILLEGAS LUZ MARINA</t>
  </si>
  <si>
    <t>DE ANG** VIL***** LUZ MAR***</t>
  </si>
  <si>
    <t>36552033</t>
  </si>
  <si>
    <t>CARBONO CASTRO ROSA CECILIA</t>
  </si>
  <si>
    <t>CAR**** CAS*** ROS* CEC****</t>
  </si>
  <si>
    <t>36552376</t>
  </si>
  <si>
    <t>BARRAZA PABA DORA ISABEL</t>
  </si>
  <si>
    <t>BAR**** PAB* DOR* ISA***</t>
  </si>
  <si>
    <t>36552470</t>
  </si>
  <si>
    <t>RODRIGUEZ VARGAS MARTHA CECILIA</t>
  </si>
  <si>
    <t>ROD****** VAR*** MAR*** CEC****</t>
  </si>
  <si>
    <t>36552633</t>
  </si>
  <si>
    <t>CHARRIS LOZANO MARIAN ISABEL</t>
  </si>
  <si>
    <t>CHA**** LOZ*** MAR*** ISA***</t>
  </si>
  <si>
    <t>36552776</t>
  </si>
  <si>
    <t>CAMARGO MORAN DIANA DEL ROSARIO</t>
  </si>
  <si>
    <t>CAM**** MOR** DIA** DEL ROS****</t>
  </si>
  <si>
    <t>36552806</t>
  </si>
  <si>
    <t>ARAQUE CASTRO FARIDE DE JESUS</t>
  </si>
  <si>
    <t>ARA*** CAS*** FAR*** DE JES**</t>
  </si>
  <si>
    <t>36552869</t>
  </si>
  <si>
    <t>REQUENA RODRIGUEZ OLGA TRINIDAD</t>
  </si>
  <si>
    <t>REQ**** ROD****** OLG* TRI*****</t>
  </si>
  <si>
    <t>36553193</t>
  </si>
  <si>
    <t>MERCADO BOLANO MARIA DEL ROSARIO</t>
  </si>
  <si>
    <t>MER**** BOL*** MAR** DEL ROS****</t>
  </si>
  <si>
    <t>36553418</t>
  </si>
  <si>
    <t>PEÑARANDA DE FEX LUZMILA DEL SOCORRO</t>
  </si>
  <si>
    <t>PEÑ****** DE FEX LUZ**** DEL SOC****</t>
  </si>
  <si>
    <t>36553563</t>
  </si>
  <si>
    <t>BORNACHERA SANTOS HELENA MERCEDES</t>
  </si>
  <si>
    <t>BOR******* SAN*** HEL*** MER*****</t>
  </si>
  <si>
    <t>36553615</t>
  </si>
  <si>
    <t>RODRIGUEZ LURAN DANNYS DEL CARMEN</t>
  </si>
  <si>
    <t>ROD****** LUR** DAN*** DEL CAR***</t>
  </si>
  <si>
    <t>36553711</t>
  </si>
  <si>
    <t>FONSECA CABANA ANDREA DEL ROSARIO</t>
  </si>
  <si>
    <t>FON**** CAB*** AND*** DEL ROS****</t>
  </si>
  <si>
    <t>36554102</t>
  </si>
  <si>
    <t>BENAVIDES MIRANDA MARIA DEL PILAR</t>
  </si>
  <si>
    <t>BEN****** MIR**** MAR** DEL PIL**</t>
  </si>
  <si>
    <t>36554310</t>
  </si>
  <si>
    <t>MOLINA VASQUEZ MARELVIS DE JESUS</t>
  </si>
  <si>
    <t>MOL*** VAS**** MAR***** DE JES**</t>
  </si>
  <si>
    <t>36554661</t>
  </si>
  <si>
    <t>ZAPATA CABALLERO MARIVEL DEL SOCORRO</t>
  </si>
  <si>
    <t>ZAP*** CAB****** MAR**** DEL SOC****</t>
  </si>
  <si>
    <t>36554854</t>
  </si>
  <si>
    <t>CHARRIS BORJA RITA LEONOR</t>
  </si>
  <si>
    <t>CHA**** BOR** RIT* LEO***</t>
  </si>
  <si>
    <t>36555544</t>
  </si>
  <si>
    <t>CHARRIS VELASCO SIDA LUZ</t>
  </si>
  <si>
    <t>CHA**** VEL**** SID* LUZ</t>
  </si>
  <si>
    <t>36555614</t>
  </si>
  <si>
    <t>TERNERA PABON SARA LUZ</t>
  </si>
  <si>
    <t>TER**** PAB** SAR* LUZ</t>
  </si>
  <si>
    <t>36555642</t>
  </si>
  <si>
    <t>GONZALEZ FONTALVO CATALINA JOSEFA</t>
  </si>
  <si>
    <t>GON***** FON***** CAT***** JOS***</t>
  </si>
  <si>
    <t>36555677</t>
  </si>
  <si>
    <t>MARTINEZ ACOSTA LUZ MARINA</t>
  </si>
  <si>
    <t>MAR***** ACO*** LUZ MAR***</t>
  </si>
  <si>
    <t>36556237</t>
  </si>
  <si>
    <t>CASTAÑEDA DE LA CRUZ ESTHER MARIA</t>
  </si>
  <si>
    <t>CAS****** DE LA CRU* EST*** MAR**</t>
  </si>
  <si>
    <t>36556408</t>
  </si>
  <si>
    <t>RUA QUINTERO MARIA DE LOURDES</t>
  </si>
  <si>
    <t>RUA QUI***** MAR** DE LOU****</t>
  </si>
  <si>
    <t>36556525</t>
  </si>
  <si>
    <t>ACUÑA CAMARGO ANA MARIA</t>
  </si>
  <si>
    <t>ACU** CAM**** ANA MAR**</t>
  </si>
  <si>
    <t>36556584</t>
  </si>
  <si>
    <t>ZABALA VILORIA NANCY ESTER</t>
  </si>
  <si>
    <t>ZAB*** VIL**** NAN** EST**</t>
  </si>
  <si>
    <t>36556858</t>
  </si>
  <si>
    <t>CUELLO RIOS AMALBIS ROSA</t>
  </si>
  <si>
    <t>CUE*** RIO* AMA**** ROS*</t>
  </si>
  <si>
    <t>36557006</t>
  </si>
  <si>
    <t>SILVA RIBAUTT LEISLY MARINA</t>
  </si>
  <si>
    <t>SIL** RIB**** LEI*** MAR***</t>
  </si>
  <si>
    <t>36557552</t>
  </si>
  <si>
    <t>PALACIO LOBATO AGUSTINA ESTHER</t>
  </si>
  <si>
    <t>PAL**** LOB*** AGU***** EST***</t>
  </si>
  <si>
    <t>36557799</t>
  </si>
  <si>
    <t>ZAMBRANO OJEDA MARTHA OTILIA</t>
  </si>
  <si>
    <t>ZAM***** OJE** MAR*** OTI***</t>
  </si>
  <si>
    <t>36557818</t>
  </si>
  <si>
    <t>OSPINO RANGEL MANUELA</t>
  </si>
  <si>
    <t>OSP*** RAN*** MAN****</t>
  </si>
  <si>
    <t>36558169</t>
  </si>
  <si>
    <t>PEREZ CHARRIS ARELIS ASCENETH</t>
  </si>
  <si>
    <t>PER** CHA**** ARE*** ASC*****</t>
  </si>
  <si>
    <t>36558292</t>
  </si>
  <si>
    <t>YEPES ORTIZ BETSY MARIA</t>
  </si>
  <si>
    <t>YEP** ORT** BET** MAR**</t>
  </si>
  <si>
    <t>36558547</t>
  </si>
  <si>
    <t>LIDUEÑAS HERNANDEZ ISABEL SEGUNDA</t>
  </si>
  <si>
    <t>LID***** HER****** ISA*** SEG****</t>
  </si>
  <si>
    <t>36558574</t>
  </si>
  <si>
    <t>GAMARRA GUTIERREZ ELBA ROSA</t>
  </si>
  <si>
    <t>GAM**** GUT****** ELB* ROS*</t>
  </si>
  <si>
    <t>36558602</t>
  </si>
  <si>
    <t>AMADOR FERNANDEZ ESPERANZA ISABEL</t>
  </si>
  <si>
    <t>AMA*** FER****** ESP****** ISA***</t>
  </si>
  <si>
    <t>36558612</t>
  </si>
  <si>
    <t>LASTRA FONSECA LAUDITH ESTHER</t>
  </si>
  <si>
    <t>LAS*** FON**** LAU**** EST***</t>
  </si>
  <si>
    <t>36558676</t>
  </si>
  <si>
    <t>GUTIERREZ CAUSADO NELIS DEL CARMEN</t>
  </si>
  <si>
    <t>GUT****** CAU**** NEL** DEL CAR***</t>
  </si>
  <si>
    <t>36558688</t>
  </si>
  <si>
    <t>GRANADOS GONZALEZ ROSALBA ANTONIA</t>
  </si>
  <si>
    <t>GRA***** GON***** ROS**** ANT****</t>
  </si>
  <si>
    <t>36558767</t>
  </si>
  <si>
    <t>CERA LOZANO MARIA EUGENIA</t>
  </si>
  <si>
    <t>CER* LOZ*** MAR** EUG****</t>
  </si>
  <si>
    <t>36559208</t>
  </si>
  <si>
    <t>MARTINEZ MERCADO MERCEDES</t>
  </si>
  <si>
    <t>MAR***** MER**** MER*****</t>
  </si>
  <si>
    <t>36559233</t>
  </si>
  <si>
    <t>ARQUEZ MACHADO CARMEN</t>
  </si>
  <si>
    <t>ARQ*** MAC**** CAR***</t>
  </si>
  <si>
    <t>36559516</t>
  </si>
  <si>
    <t>MARQUEZ YURANIS ELISA</t>
  </si>
  <si>
    <t>MAR**** YUR**** ELI**</t>
  </si>
  <si>
    <t>36559665</t>
  </si>
  <si>
    <t>BELEÑO CONTRERAS AMALIA BEATRIZ</t>
  </si>
  <si>
    <t>BEL*** CON****** AMA*** BEA****</t>
  </si>
  <si>
    <t>36559757</t>
  </si>
  <si>
    <t>DIAZGRANADOS MUÑOZ YOMAIRA</t>
  </si>
  <si>
    <t>DIA********* MUÑ** YOM****</t>
  </si>
  <si>
    <t>36559945</t>
  </si>
  <si>
    <t>DELGADO NIÑO DORIS ESTHER</t>
  </si>
  <si>
    <t>DEL**** NIÑ* DOR** EST***</t>
  </si>
  <si>
    <t>36560024</t>
  </si>
  <si>
    <t>PADILLA ROMERO LUZ MARINA</t>
  </si>
  <si>
    <t>PAD**** ROM*** LUZ MAR***</t>
  </si>
  <si>
    <t>36560106</t>
  </si>
  <si>
    <t>ROMO SALAS MARCIA PATRICIA</t>
  </si>
  <si>
    <t>ROM* SAL** MAR*** PAT*****</t>
  </si>
  <si>
    <t>36560229</t>
  </si>
  <si>
    <t>MENDOZA SANTANDER MARIA GUADALUPE</t>
  </si>
  <si>
    <t>MEN**** SAN****** MAR** GUA******</t>
  </si>
  <si>
    <t>36560342</t>
  </si>
  <si>
    <t>DE LA ROSA SALGADO LUZ MARIA</t>
  </si>
  <si>
    <t>DE LA ROS* SAL**** LUZ MAR**</t>
  </si>
  <si>
    <t>36560534</t>
  </si>
  <si>
    <t>GARCIA CHEU MARTHA IVONNE</t>
  </si>
  <si>
    <t>GAR*** CHE* MAR*** IVO***</t>
  </si>
  <si>
    <t>36560799</t>
  </si>
  <si>
    <t>JIMENEZ GARCIA ERLIS BETTY</t>
  </si>
  <si>
    <t>JIM**** GAR*** ERL** BET**</t>
  </si>
  <si>
    <t>36560839</t>
  </si>
  <si>
    <t>HERNANDEZ RODRIGUEZ ROSA EMILIA</t>
  </si>
  <si>
    <t>HER****** ROD****** ROS* EMI***</t>
  </si>
  <si>
    <t>36561203</t>
  </si>
  <si>
    <t>ALMAZO PERDOMO BISELIS DEL ROSARIO</t>
  </si>
  <si>
    <t>ALM*** PER**** BIS**** DEL ROS****</t>
  </si>
  <si>
    <t>36561481</t>
  </si>
  <si>
    <t>ROSENSTIEHL PACHECO LENIS MARIA</t>
  </si>
  <si>
    <t>ROS******** PAC**** LEN** MAR**</t>
  </si>
  <si>
    <t>36561567</t>
  </si>
  <si>
    <t>YANCY OROZCO NEILA MARIA</t>
  </si>
  <si>
    <t>YAN** ORO*** NEI** MAR**</t>
  </si>
  <si>
    <t>36561668</t>
  </si>
  <si>
    <t>CHICA LARIOS EVERILDES</t>
  </si>
  <si>
    <t>CHI** LAR*** EVE******</t>
  </si>
  <si>
    <t>36562077</t>
  </si>
  <si>
    <t>CANTILLO OROZCO ANA CARMEN</t>
  </si>
  <si>
    <t>CAN***** ORO*** ANA CAR***</t>
  </si>
  <si>
    <t>36562243</t>
  </si>
  <si>
    <t>LUQUEZ CONTRERAS LUCELY ESTHER</t>
  </si>
  <si>
    <t>LUQ*** CON****** LUC*** EST***</t>
  </si>
  <si>
    <t>36562417</t>
  </si>
  <si>
    <t>DE LA HOZ VILLA ELVIRA ROSA</t>
  </si>
  <si>
    <t>DE LA HOZ VIL** ELV*** ROS*</t>
  </si>
  <si>
    <t>36562575</t>
  </si>
  <si>
    <t>MORALES FONTALVO LOURDES MERCEDES</t>
  </si>
  <si>
    <t>MOR**** FON***** LOU**** MER*****</t>
  </si>
  <si>
    <t>36563056</t>
  </si>
  <si>
    <t>MULFORD GOMEZ MONICA PATRICIA</t>
  </si>
  <si>
    <t>MUL**** GOM** MON*** PAT*****</t>
  </si>
  <si>
    <t>36563089</t>
  </si>
  <si>
    <t>PERTUZ RETAMOZO DUBIS MARINA</t>
  </si>
  <si>
    <t>PER*** RET***** DUB** MAR***</t>
  </si>
  <si>
    <t>36563090</t>
  </si>
  <si>
    <t>MANJARRES VILLAMIZAR CLARA INES</t>
  </si>
  <si>
    <t>MAN****** VIL******* CLA** INE*</t>
  </si>
  <si>
    <t>36563209</t>
  </si>
  <si>
    <t>VARGAS ZAPATA ANGELA MARCELINA</t>
  </si>
  <si>
    <t>VAR*** ZAP*** ANG*** MAR******</t>
  </si>
  <si>
    <t>36563286</t>
  </si>
  <si>
    <t>LUNA TOVAR INGRID LISBETH</t>
  </si>
  <si>
    <t>LUN* TOV** ING*** LIS****</t>
  </si>
  <si>
    <t>36563328</t>
  </si>
  <si>
    <t>PELAEZ ROBLES JULIANA MARCELA</t>
  </si>
  <si>
    <t>PEL*** ROB*** JUL**** MAR****</t>
  </si>
  <si>
    <t>36563487</t>
  </si>
  <si>
    <t>LOPEZ BOLAÑO MILADIS ELVIRA</t>
  </si>
  <si>
    <t>LOP** BOL*** MIL**** ELV***</t>
  </si>
  <si>
    <t>36564035</t>
  </si>
  <si>
    <t>GUTIERREZ VERGEL OSMALIA</t>
  </si>
  <si>
    <t>GUT****** VER*** OSM****</t>
  </si>
  <si>
    <t>36564081</t>
  </si>
  <si>
    <t>ORTEGA MANJARRES LUCELLY LILIAM</t>
  </si>
  <si>
    <t>ORT*** MAN****** LUC**** LIL***</t>
  </si>
  <si>
    <t>36564490</t>
  </si>
  <si>
    <t>GONZALEZ PERTUZ LUZ MARINA</t>
  </si>
  <si>
    <t>GON***** PER*** LUZ MAR***</t>
  </si>
  <si>
    <t>36564646</t>
  </si>
  <si>
    <t>SANCHEZ RIVADENEIRA YUDYS BEATRIZ</t>
  </si>
  <si>
    <t>SAN**** RIV******** YUD** BEA****</t>
  </si>
  <si>
    <t>36564759</t>
  </si>
  <si>
    <t>ROJAS FONSECA BEVERLY SALOME</t>
  </si>
  <si>
    <t>ROJ** FON**** BEV**** SAL***</t>
  </si>
  <si>
    <t>36564911</t>
  </si>
  <si>
    <t>SANDOVAL ACOSTA JENNY MARIA</t>
  </si>
  <si>
    <t>SAN***** ACO*** JEN** MAR**</t>
  </si>
  <si>
    <t>36565778</t>
  </si>
  <si>
    <t>RETAMOZO ORELLANO ELIZABETH MARIA</t>
  </si>
  <si>
    <t>RET***** ORE***** ELI****** MAR**</t>
  </si>
  <si>
    <t>36565809</t>
  </si>
  <si>
    <t>NIEBLES AYOLA BELKIS JANET</t>
  </si>
  <si>
    <t>NIE**** AYO** BEL*** JAN**</t>
  </si>
  <si>
    <t>36565863</t>
  </si>
  <si>
    <t>HURTADO SANTANDER ANA MARIA</t>
  </si>
  <si>
    <t>HUR**** SAN****** ANA MAR**</t>
  </si>
  <si>
    <t>36565929</t>
  </si>
  <si>
    <t>DIAZA RONDON PATRICIA</t>
  </si>
  <si>
    <t>DIA** RON*** PAT*****</t>
  </si>
  <si>
    <t>36566068</t>
  </si>
  <si>
    <t>GUTIERREZ BERDUGO JUANA BAUTISTA</t>
  </si>
  <si>
    <t>GUT****** BER**** JUA** BAU*****</t>
  </si>
  <si>
    <t>36566137</t>
  </si>
  <si>
    <t>GUTIERREZ VERGEL GENNY ESTELA</t>
  </si>
  <si>
    <t>GUT****** VER*** GEN** EST***</t>
  </si>
  <si>
    <t>36566231</t>
  </si>
  <si>
    <t>MARTINEZ CHARRIS DAYSI PATRICIA</t>
  </si>
  <si>
    <t>MAR***** CHA**** DAY** PAT*****</t>
  </si>
  <si>
    <t>36575188</t>
  </si>
  <si>
    <t>ROJAS MORALES NELSY</t>
  </si>
  <si>
    <t>ROJ** MOR**** NEL**</t>
  </si>
  <si>
    <t>36575230</t>
  </si>
  <si>
    <t>LOPEZ AMADOR LIBIA ESTHER</t>
  </si>
  <si>
    <t>LOP** AMA*** LIB** EST***</t>
  </si>
  <si>
    <t>36575326</t>
  </si>
  <si>
    <t>AREVALO FONSECA CRISTINA</t>
  </si>
  <si>
    <t>ARE**** FON**** CRI*****</t>
  </si>
  <si>
    <t>36575371</t>
  </si>
  <si>
    <t>AMADOR BARRAZA FARINA</t>
  </si>
  <si>
    <t>AMA*** BAR**** FAR***</t>
  </si>
  <si>
    <t>36575419</t>
  </si>
  <si>
    <t>GONZALES BELEÑO ALICIA DEL CARMEN</t>
  </si>
  <si>
    <t>GON***** BEL*** ALI*** DEL CAR***</t>
  </si>
  <si>
    <t>36575486</t>
  </si>
  <si>
    <t>OSPINO ALVARADO LESBIA</t>
  </si>
  <si>
    <t>OSP*** ALV***** LES***</t>
  </si>
  <si>
    <t>36575490</t>
  </si>
  <si>
    <t>ATENCIA MONTERO HEIDY</t>
  </si>
  <si>
    <t>ATE**** MON**** HEI**</t>
  </si>
  <si>
    <t>36575513</t>
  </si>
  <si>
    <t>HERNANDEZ CARO DALGIS ESTHER</t>
  </si>
  <si>
    <t>HER****** CAR* DAL*** EST***</t>
  </si>
  <si>
    <t>36575555</t>
  </si>
  <si>
    <t>MARTINEZ PASTRAN IDALIA</t>
  </si>
  <si>
    <t>MAR***** PAS**** IDA***</t>
  </si>
  <si>
    <t>36575811</t>
  </si>
  <si>
    <t>GUTIERREZ MORALES WINNY</t>
  </si>
  <si>
    <t>GUT****** MOR**** WIN**</t>
  </si>
  <si>
    <t>36575980</t>
  </si>
  <si>
    <t>NAJERA MONTES BETTY JUDITH</t>
  </si>
  <si>
    <t>NAJ*** MON*** BET** JUD***</t>
  </si>
  <si>
    <t>36576001</t>
  </si>
  <si>
    <t>GUTIERREZ OSPINO TERCILIA</t>
  </si>
  <si>
    <t>GUT****** OSP*** TER*****</t>
  </si>
  <si>
    <t>36576021</t>
  </si>
  <si>
    <t>TORRES MARTINEZ ORLAIDA</t>
  </si>
  <si>
    <t>TOR*** MAR***** ORL****</t>
  </si>
  <si>
    <t>36576047</t>
  </si>
  <si>
    <t>FUENTES JIMENEZ IGNACIA</t>
  </si>
  <si>
    <t>FUE**** JIM**** IGN****</t>
  </si>
  <si>
    <t>36576088</t>
  </si>
  <si>
    <t>VELAIDEZ VILLAMIZAR MIRIAN ESTHER</t>
  </si>
  <si>
    <t>VEL***** VIL******* MIR*** EST***</t>
  </si>
  <si>
    <t>36576124</t>
  </si>
  <si>
    <t>VELAIDEZ VILLAMIZAR IRENE MARIA</t>
  </si>
  <si>
    <t>VEL***** VIL******* IRE** MAR**</t>
  </si>
  <si>
    <t>36576147</t>
  </si>
  <si>
    <t>ARANGO GUTIERREZ MONICA MARCELA</t>
  </si>
  <si>
    <t>ARA*** GUT****** MON*** MAR****</t>
  </si>
  <si>
    <t>36576267</t>
  </si>
  <si>
    <t>PABA MONTERO NORYS</t>
  </si>
  <si>
    <t>PAB* MON**** NOR**</t>
  </si>
  <si>
    <t>36576293</t>
  </si>
  <si>
    <t>CUETO ZAMBRANO IRIDIS</t>
  </si>
  <si>
    <t>CUE** ZAM***** IRI***</t>
  </si>
  <si>
    <t>36576331</t>
  </si>
  <si>
    <t>LOPEZ BORDETH JENNIS</t>
  </si>
  <si>
    <t>LOP** BOR**** JEN***</t>
  </si>
  <si>
    <t>36576333</t>
  </si>
  <si>
    <t>GARCIA PATIÑO DIANA BERNARDA</t>
  </si>
  <si>
    <t>GAR*** PAT*** DIA** BER*****</t>
  </si>
  <si>
    <t>36576367</t>
  </si>
  <si>
    <t>GARCES MEJIA EDNA</t>
  </si>
  <si>
    <t>GAR*** MEJ** EDN*</t>
  </si>
  <si>
    <t>36576396</t>
  </si>
  <si>
    <t>MORALES PATIÑO ENA DE JESUS</t>
  </si>
  <si>
    <t>MOR**** PAT*** ENA DE JES**</t>
  </si>
  <si>
    <t>36576442</t>
  </si>
  <si>
    <t>PIANETA ORTIZ ROSIRIS</t>
  </si>
  <si>
    <t>PIA**** ORT** ROS****</t>
  </si>
  <si>
    <t>36576495</t>
  </si>
  <si>
    <t>FERREIRA TINOCO ERIKA</t>
  </si>
  <si>
    <t>FER***** TIN*** ERI**</t>
  </si>
  <si>
    <t>36576514</t>
  </si>
  <si>
    <t>FUENTES CHAVEZ MODESTINA</t>
  </si>
  <si>
    <t>FUE**** CHA*** MOD******</t>
  </si>
  <si>
    <t>36576534</t>
  </si>
  <si>
    <t>LANDABUR PADILLA YESENIA</t>
  </si>
  <si>
    <t>LAN***** PAD**** YES****</t>
  </si>
  <si>
    <t>36576597</t>
  </si>
  <si>
    <t>PABA MEJIA OBDULIA</t>
  </si>
  <si>
    <t>PAB* MEJ** OBD****</t>
  </si>
  <si>
    <t>36576632</t>
  </si>
  <si>
    <t>MEJIA MEZA MERCY</t>
  </si>
  <si>
    <t>MEJ** MEZ* MER**</t>
  </si>
  <si>
    <t>36576648</t>
  </si>
  <si>
    <t>GARCES MEJIA YOMAIRA</t>
  </si>
  <si>
    <t>GAR*** MEJ** YOM****</t>
  </si>
  <si>
    <t>36576655</t>
  </si>
  <si>
    <t>MEJIA BAÑOS XIOMARA</t>
  </si>
  <si>
    <t>MEJ** BAÑ** XIO****</t>
  </si>
  <si>
    <t>36576799</t>
  </si>
  <si>
    <t>OSPINO LOPEZ YAIRA</t>
  </si>
  <si>
    <t>OSP*** LOP** YAI**</t>
  </si>
  <si>
    <t>36576929</t>
  </si>
  <si>
    <t>GARCES ACUÑA MAIRA</t>
  </si>
  <si>
    <t>GAR*** ACU** MAI**</t>
  </si>
  <si>
    <t>36577141</t>
  </si>
  <si>
    <t>FUENTES MONTERO CELSA JULIA</t>
  </si>
  <si>
    <t>FUE**** MON**** CEL** JUL**</t>
  </si>
  <si>
    <t>36577192</t>
  </si>
  <si>
    <t>CORRALES PABA ADRIANA CECILIA</t>
  </si>
  <si>
    <t>COR***** PAB* ADR**** CEC****</t>
  </si>
  <si>
    <t>36577220</t>
  </si>
  <si>
    <t>FERREIRA TINOCO ISAURA</t>
  </si>
  <si>
    <t>FER***** TIN*** ISA***</t>
  </si>
  <si>
    <t>36577289</t>
  </si>
  <si>
    <t>GUTIERREZ RODRIGUEZ YORLADYS</t>
  </si>
  <si>
    <t>GUT****** ROD****** YOR*****</t>
  </si>
  <si>
    <t>36577312</t>
  </si>
  <si>
    <t>ROJAS RODRIGUEZ MARIA EDITH</t>
  </si>
  <si>
    <t>ROJ** ROD****** MAR** EDI**</t>
  </si>
  <si>
    <t>36577730</t>
  </si>
  <si>
    <t>BA¿OS MIELES IVONNE</t>
  </si>
  <si>
    <t>BA¿** MIE*** IVO***</t>
  </si>
  <si>
    <t>36590887</t>
  </si>
  <si>
    <t>SOCARRAS RADA RUTH</t>
  </si>
  <si>
    <t>SOC***** RAD* RUT*</t>
  </si>
  <si>
    <t>36592296</t>
  </si>
  <si>
    <t>NUÑEZ SIERRA GENNY ROCIO</t>
  </si>
  <si>
    <t>NUÑ** SIE*** GEN** ROC**</t>
  </si>
  <si>
    <t>36592308</t>
  </si>
  <si>
    <t>ESPITIA HERNANDEZ CARMEN ALICIA</t>
  </si>
  <si>
    <t>ESP**** HER****** CAR*** ALI***</t>
  </si>
  <si>
    <t>36592967</t>
  </si>
  <si>
    <t>ACUÑA DE LA ROSA YUDIS ELVIRA</t>
  </si>
  <si>
    <t>ACU** DE LA ROS* YUD** ELV***</t>
  </si>
  <si>
    <t>36592985</t>
  </si>
  <si>
    <t>ROMERO DAZA YAGNIDYS DE LIBIA</t>
  </si>
  <si>
    <t>ROM*** DAZ* YAG***** DE LIB**</t>
  </si>
  <si>
    <t>36594836</t>
  </si>
  <si>
    <t>GONZALEZ BAZA ERIKA PATRICIA</t>
  </si>
  <si>
    <t>GON***** BAZ* ERI** PAT*****</t>
  </si>
  <si>
    <t>36620859</t>
  </si>
  <si>
    <t>MOSQUERA MUÑOZ EDITH MAGOLA</t>
  </si>
  <si>
    <t>MOS***** MUÑ** EDI** MAG***</t>
  </si>
  <si>
    <t>36621197</t>
  </si>
  <si>
    <t>MENDOZA BARRIOS LIBIA ROSA</t>
  </si>
  <si>
    <t>MEN**** BAR**** LIB** ROS*</t>
  </si>
  <si>
    <t>36622227</t>
  </si>
  <si>
    <t>MORALES SANCHEZ MONICA ROCIO</t>
  </si>
  <si>
    <t>MOR**** SAN**** MON*** ROC**</t>
  </si>
  <si>
    <t>36622754</t>
  </si>
  <si>
    <t>GARCIA PEREZ DEISY JAIDITH</t>
  </si>
  <si>
    <t>GAR*** PER** DEI** JAI****</t>
  </si>
  <si>
    <t>36622987</t>
  </si>
  <si>
    <t>MOSQUERA MEJIA MARIBEL</t>
  </si>
  <si>
    <t>MOS***** MEJ** MAR****</t>
  </si>
  <si>
    <t>36623128</t>
  </si>
  <si>
    <t>VEGA JULIO ESMERALDA</t>
  </si>
  <si>
    <t>VEG* JUL** ESM******</t>
  </si>
  <si>
    <t>36623953</t>
  </si>
  <si>
    <t>VASQUEZ CASTILLA ALIDIS</t>
  </si>
  <si>
    <t>VAS**** CAS***** ALI***</t>
  </si>
  <si>
    <t>36624454</t>
  </si>
  <si>
    <t>MENDOZA LOBATO LEA MARIA</t>
  </si>
  <si>
    <t>MEN**** LOB*** LEA MAR**</t>
  </si>
  <si>
    <t>36624793</t>
  </si>
  <si>
    <t>BENITEZ TOVAR EVERLIDES ESTHER</t>
  </si>
  <si>
    <t>BEN**** TOV** EVE****** EST***</t>
  </si>
  <si>
    <t>36624795</t>
  </si>
  <si>
    <t>DE LA HOZ MARTINEZ MARINELA</t>
  </si>
  <si>
    <t>DE LA HOZ MAR***** MAR*****</t>
  </si>
  <si>
    <t>36640271</t>
  </si>
  <si>
    <t>RODRIGUEZ VILLAFAÑE ROCIO PATRICIA</t>
  </si>
  <si>
    <t>ROD****** VIL****** ROC** PAT*****</t>
  </si>
  <si>
    <t>36640282</t>
  </si>
  <si>
    <t>BARROS FERNANDEZ ROSALIS</t>
  </si>
  <si>
    <t>BAR*** FER****** ROS****</t>
  </si>
  <si>
    <t>36640317</t>
  </si>
  <si>
    <t>SAUCEDO PABA MABEL</t>
  </si>
  <si>
    <t>SAU**** PAB* MAB**</t>
  </si>
  <si>
    <t>36640438</t>
  </si>
  <si>
    <t>PEDROZO MEJIA MILAGROS DE LA CRUZ</t>
  </si>
  <si>
    <t>PED**** MEJ** MIL***** DE LA CRU*</t>
  </si>
  <si>
    <t>36640503</t>
  </si>
  <si>
    <t>DIAZ ALFARO MARLY</t>
  </si>
  <si>
    <t>DIA* ALF*** MAR**</t>
  </si>
  <si>
    <t>36640523</t>
  </si>
  <si>
    <t>FONSECA RUIDIAZ EVERLIDYS</t>
  </si>
  <si>
    <t>FON**** RUI**** EVE******</t>
  </si>
  <si>
    <t>36640747</t>
  </si>
  <si>
    <t>OSPINO VILLARUEL YAJAIRA</t>
  </si>
  <si>
    <t>OSP*** VIL****** YAJ****</t>
  </si>
  <si>
    <t>36640822</t>
  </si>
  <si>
    <t>SANCHEZ ALFARO SOL FANNY</t>
  </si>
  <si>
    <t>SAN**** ALF*** SOL FAN**</t>
  </si>
  <si>
    <t>36640878</t>
  </si>
  <si>
    <t>FUENTES NARVAEZ NINCY</t>
  </si>
  <si>
    <t>FUE**** NAR**** NIN**</t>
  </si>
  <si>
    <t>36641156</t>
  </si>
  <si>
    <t>MORENO ARDILA MILENA</t>
  </si>
  <si>
    <t>MOR*** ARD*** MIL***</t>
  </si>
  <si>
    <t>36641330</t>
  </si>
  <si>
    <t>CHIQUILLO ZAMBRANO MELINA</t>
  </si>
  <si>
    <t>CHI****** ZAM***** MEL***</t>
  </si>
  <si>
    <t>36641522</t>
  </si>
  <si>
    <t>MUÑOZ PEREZ FANY MILENA</t>
  </si>
  <si>
    <t>MUÑ** PER** FAN* MIL***</t>
  </si>
  <si>
    <t>36641620</t>
  </si>
  <si>
    <t>LUQUETTA LOPEZ PEGGY ROSALI</t>
  </si>
  <si>
    <t>LUQ***** LOP** PEG** ROS***</t>
  </si>
  <si>
    <t>36641622</t>
  </si>
  <si>
    <t>ORTEGA BORREGO NILDRE PAOLA</t>
  </si>
  <si>
    <t>ORT*** BOR**** NIL*** PAO**</t>
  </si>
  <si>
    <t>36641641</t>
  </si>
  <si>
    <t>NARVAEZ GUTIERREZ ANGELA MARIA</t>
  </si>
  <si>
    <t>NAR**** GUT****** ANG*** MAR**</t>
  </si>
  <si>
    <t>36641880</t>
  </si>
  <si>
    <t>URAN RUIDIAZ ZULEIMA</t>
  </si>
  <si>
    <t>URA* RUI**** ZUL****</t>
  </si>
  <si>
    <t>36641892</t>
  </si>
  <si>
    <t>BALLESTAS CUBIDES SUJEIBI JOHANNA</t>
  </si>
  <si>
    <t>BAL****** CUB**** SUJ**** JOH****</t>
  </si>
  <si>
    <t>36641983</t>
  </si>
  <si>
    <t>CHIQUILLO ZAMBRANO ANA ELENA</t>
  </si>
  <si>
    <t>CHI****** ZAM***** ANA ELE**</t>
  </si>
  <si>
    <t>36642027</t>
  </si>
  <si>
    <t>VILLALOBOS ROJAS MARIA PATRICIA</t>
  </si>
  <si>
    <t>VIL******* ROJ** MAR** PAT*****</t>
  </si>
  <si>
    <t>36642088</t>
  </si>
  <si>
    <t>QUIROZ VILLALOBOS YINA PAOLA</t>
  </si>
  <si>
    <t>QUI*** VIL******* YIN* PAO**</t>
  </si>
  <si>
    <t>36642289</t>
  </si>
  <si>
    <t>AGUILAR PEREZ JOANA</t>
  </si>
  <si>
    <t>AGU**** PER** JOA**</t>
  </si>
  <si>
    <t>36642427</t>
  </si>
  <si>
    <t>GULLOSO RUIDIAZ VIVIANA PATRICIA</t>
  </si>
  <si>
    <t>GUL**** RUI**** VIV**** PAT*****</t>
  </si>
  <si>
    <t>36642579</t>
  </si>
  <si>
    <t>FLOREZ CENTENO ISAURA</t>
  </si>
  <si>
    <t>FLO*** CEN**** ISA***</t>
  </si>
  <si>
    <t>36642657</t>
  </si>
  <si>
    <t>NARVAEZ AVILA INDIRA</t>
  </si>
  <si>
    <t>NAR**** AVI** IND***</t>
  </si>
  <si>
    <t>36642776</t>
  </si>
  <si>
    <t>BARROS FERREIRA MABIS ESTHER</t>
  </si>
  <si>
    <t>BAR*** FER***** MAB** EST***</t>
  </si>
  <si>
    <t>36665623</t>
  </si>
  <si>
    <t>GOMEZ PADILLA MARBEL ESTHER</t>
  </si>
  <si>
    <t>GOM** PAD**** MAR*** EST***</t>
  </si>
  <si>
    <t>36665718</t>
  </si>
  <si>
    <t>LOPEZ CARRETERO MARLENE ESTER</t>
  </si>
  <si>
    <t>LOP** CAR****** MAR**** EST**</t>
  </si>
  <si>
    <t>36665789</t>
  </si>
  <si>
    <t>CUADRADO PARDO FANNY MERCEDES</t>
  </si>
  <si>
    <t>CUA***** PAR** FAN** MER*****</t>
  </si>
  <si>
    <t>36665819</t>
  </si>
  <si>
    <t>HENRIQUEZ ROMERO AMALIA BEATRIZ</t>
  </si>
  <si>
    <t>HEN****** ROM*** AMA*** BEA****</t>
  </si>
  <si>
    <t>36665974</t>
  </si>
  <si>
    <t>CHARRIS MATUTE LUZDARYS</t>
  </si>
  <si>
    <t>CHA**** MAT*** LUZ*****</t>
  </si>
  <si>
    <t>36665986</t>
  </si>
  <si>
    <t>PEREZ MENDOZA MONICA PATRICIA</t>
  </si>
  <si>
    <t>PER** MEN**** MON*** PAT*****</t>
  </si>
  <si>
    <t>36666009</t>
  </si>
  <si>
    <t>SALTAREN CAMPO KARINA ESTHER</t>
  </si>
  <si>
    <t>SAL***** CAM** KAR*** EST***</t>
  </si>
  <si>
    <t>36666140</t>
  </si>
  <si>
    <t>MELENDEZ CARRILLO ARCADIA DE JESUS</t>
  </si>
  <si>
    <t>MEL***** CAR***** ARC**** DE JES**</t>
  </si>
  <si>
    <t>36666574</t>
  </si>
  <si>
    <t>MACHADO RIPOLL ADRIA ESTER</t>
  </si>
  <si>
    <t>MAC**** RIP*** ADR** EST**</t>
  </si>
  <si>
    <t>36667312</t>
  </si>
  <si>
    <t>COLPAS POLO KATRI LUZ</t>
  </si>
  <si>
    <t>COL*** POL* KAT** LUZ</t>
  </si>
  <si>
    <t>36667459</t>
  </si>
  <si>
    <t>VESGA BLANCO JANETH MILENA</t>
  </si>
  <si>
    <t>VES** BLA*** JAN*** MIL***</t>
  </si>
  <si>
    <t>36667557</t>
  </si>
  <si>
    <t>GUERRA DE LA ROSA MIREYA DEL CARMEN</t>
  </si>
  <si>
    <t>GUE*** DE LA ROS* MIR*** DEL CAR***</t>
  </si>
  <si>
    <t>36667719</t>
  </si>
  <si>
    <t>CASTILLO CAMARGO ANA DELIA</t>
  </si>
  <si>
    <t>CAS***** CAM**** ANA DEL**</t>
  </si>
  <si>
    <t>36668098</t>
  </si>
  <si>
    <t>RICO YEPES JULIETH DEL SOCORRO</t>
  </si>
  <si>
    <t>RIC* YEP** JUL**** DEL SOC****</t>
  </si>
  <si>
    <t>36668211</t>
  </si>
  <si>
    <t>HENRIQUEZ HENRIQUEZ OLGA LUZ</t>
  </si>
  <si>
    <t>HEN****** HEN****** OLG* LUZ</t>
  </si>
  <si>
    <t>36668244</t>
  </si>
  <si>
    <t>OROZCO RADA YULEIMA</t>
  </si>
  <si>
    <t>ORO*** RAD* YUL****</t>
  </si>
  <si>
    <t>36668297</t>
  </si>
  <si>
    <t>CEBALLOS REDONDO ANTONIA ISABEL</t>
  </si>
  <si>
    <t>CEB***** RED**** ANT**** ISA***</t>
  </si>
  <si>
    <t>36668302</t>
  </si>
  <si>
    <t>RUDAS MENDOZA LUZ DARI</t>
  </si>
  <si>
    <t>RUD** MEN**** LUZ DAR*</t>
  </si>
  <si>
    <t>36668461</t>
  </si>
  <si>
    <t>CARRILLO CONDE ALEJANDRA DE JESUS</t>
  </si>
  <si>
    <t>CAR***** CON** ALE****** DE JES**</t>
  </si>
  <si>
    <t>36668597</t>
  </si>
  <si>
    <t>DEL PRADO CERCHAR JUDITH MASIEL</t>
  </si>
  <si>
    <t>DEL PRA** CER**** JUD*** MAS***</t>
  </si>
  <si>
    <t>36668797</t>
  </si>
  <si>
    <t>DE LA ROSA VASQUEZ GIOVANNA CONSUELO</t>
  </si>
  <si>
    <t>DE LA ROS* VAS**** GIO***** CON*****</t>
  </si>
  <si>
    <t>36668877</t>
  </si>
  <si>
    <t>LEIVA MATENZO ANYELITH PAOLA</t>
  </si>
  <si>
    <t>LEI** MAT**** ANY***** PAO**</t>
  </si>
  <si>
    <t>36668902</t>
  </si>
  <si>
    <t>GIL VILLAR LAURA MARCELA</t>
  </si>
  <si>
    <t>GIL VIL*** LAU** MAR****</t>
  </si>
  <si>
    <t>36668930</t>
  </si>
  <si>
    <t>HERNANDEZ DURAN MILENA PATRICIA</t>
  </si>
  <si>
    <t>HER****** DUR** MIL*** PAT*****</t>
  </si>
  <si>
    <t>36669431</t>
  </si>
  <si>
    <t>ALVEAR TORRES IDALMIS LAUDIT</t>
  </si>
  <si>
    <t>ALV*** TOR*** IDA**** LAU***</t>
  </si>
  <si>
    <t>36676105</t>
  </si>
  <si>
    <t>TORRES MUÑOZ HEIDYS YANETH</t>
  </si>
  <si>
    <t>TOR*** MUÑ** HEI*** YAN***</t>
  </si>
  <si>
    <t>36678398</t>
  </si>
  <si>
    <t>GONZALEZ OROZCO MARGARITA EUGENIA</t>
  </si>
  <si>
    <t>GON***** ORO*** MAR****** EUG****</t>
  </si>
  <si>
    <t>36693421</t>
  </si>
  <si>
    <t>RODRIGUEZ DELGHAMS SARA BEATRIZ</t>
  </si>
  <si>
    <t>ROD****** DEL***** SAR* BEA****</t>
  </si>
  <si>
    <t>36693951</t>
  </si>
  <si>
    <t>OSPINO OSPINO MARELBIS ESTER</t>
  </si>
  <si>
    <t>OSP*** OSP*** MAR***** EST**</t>
  </si>
  <si>
    <t>36694053</t>
  </si>
  <si>
    <t>JIMENEZ ORTIZ MARCELA MARIA</t>
  </si>
  <si>
    <t>JIM**** ORT** MAR**** MAR**</t>
  </si>
  <si>
    <t>36694391</t>
  </si>
  <si>
    <t>PEREZ RIVERA LUZ MERIELI</t>
  </si>
  <si>
    <t>PER** RIV*** LUZ MER****</t>
  </si>
  <si>
    <t>36694591</t>
  </si>
  <si>
    <t>BELMONTE JIMENEZ SANDRA CAROLINA</t>
  </si>
  <si>
    <t>BEL***** JIM**** SAN*** CAR*****</t>
  </si>
  <si>
    <t>36694775</t>
  </si>
  <si>
    <t>FERNANDEZ QUINTERO JOHANA MARIA</t>
  </si>
  <si>
    <t>FER****** QUI***** JOH*** MAR**</t>
  </si>
  <si>
    <t>36695069</t>
  </si>
  <si>
    <t>FLOREZ ALVAREZ KELLY YOHANA</t>
  </si>
  <si>
    <t>FLO*** ALV**** KEL** YOH***</t>
  </si>
  <si>
    <t>36695184</t>
  </si>
  <si>
    <t>GUTIERREZ PINZON NADIA LEONOR</t>
  </si>
  <si>
    <t>GUT****** PIN*** NAD** LEO***</t>
  </si>
  <si>
    <t>36695339</t>
  </si>
  <si>
    <t>JULIO BERDUGO INGRID MILENA</t>
  </si>
  <si>
    <t>JUL** BER**** ING*** MIL***</t>
  </si>
  <si>
    <t>36695394</t>
  </si>
  <si>
    <t>VEGA FORERO JOHANA ISABEL</t>
  </si>
  <si>
    <t>VEG* FOR*** JOH*** ISA***</t>
  </si>
  <si>
    <t>36695429</t>
  </si>
  <si>
    <t>ARIZA ACOSTA LILA ESTHER</t>
  </si>
  <si>
    <t>ARI** ACO*** LIL* EST***</t>
  </si>
  <si>
    <t>36695580</t>
  </si>
  <si>
    <t>LANDINEZ PADILLA FAYSSULLY ORSSY</t>
  </si>
  <si>
    <t>LAN***** PAD**** FAY****** ORS**</t>
  </si>
  <si>
    <t>36696540</t>
  </si>
  <si>
    <t>DURAN GUERRERO RUTH MIREYA</t>
  </si>
  <si>
    <t>DUR** GUE***** RUT* MIR***</t>
  </si>
  <si>
    <t>36697113</t>
  </si>
  <si>
    <t>VIDES FRAGOZO YANETH JUDITH</t>
  </si>
  <si>
    <t>VID** FRA**** YAN*** JUD***</t>
  </si>
  <si>
    <t>36697797</t>
  </si>
  <si>
    <t>RIVAS LOPEZ GINA MARCELA</t>
  </si>
  <si>
    <t>RIV** LOP** GIN* MAR****</t>
  </si>
  <si>
    <t>36709881</t>
  </si>
  <si>
    <t>BONILLA SANCHEZ MARIA SEGUNDA</t>
  </si>
  <si>
    <t>BON**** SAN**** MAR** SEG****</t>
  </si>
  <si>
    <t>36710231</t>
  </si>
  <si>
    <t>ALVARADO VANEGAS DALIDA ESTER</t>
  </si>
  <si>
    <t>ALV***** VAN**** DAL*** EST**</t>
  </si>
  <si>
    <t>36710288</t>
  </si>
  <si>
    <t>NAVARRO JIMENEZ LIVETH GLAFIR</t>
  </si>
  <si>
    <t>NAV**** JIM**** LIV*** GLA***</t>
  </si>
  <si>
    <t>36710358</t>
  </si>
  <si>
    <t>ECHEVERRIA VASQUEZ CLAUDIA DOMINGA</t>
  </si>
  <si>
    <t>ECH******* VAS**** CLA**** DOM****</t>
  </si>
  <si>
    <t>36710504</t>
  </si>
  <si>
    <t>LARA RUIZ DELFINA DEL CARMEN</t>
  </si>
  <si>
    <t>LAR* RUI* DEL**** DEL CAR***</t>
  </si>
  <si>
    <t>36710515</t>
  </si>
  <si>
    <t>CONTRERAS TABARES MABEL CENIT</t>
  </si>
  <si>
    <t>CON****** TAB**** MAB** CEN**</t>
  </si>
  <si>
    <t>36718365</t>
  </si>
  <si>
    <t>DE LA HOZ GUTIERREZ LILIANA ESTHER</t>
  </si>
  <si>
    <t>DE LA HOZ GUT****** LIL**** EST***</t>
  </si>
  <si>
    <t>36718410</t>
  </si>
  <si>
    <t>LEMUS SALGADO LIZETH ALEXANDRA</t>
  </si>
  <si>
    <t>LEM** SAL**** LIZ*** ALE******</t>
  </si>
  <si>
    <t>36718628</t>
  </si>
  <si>
    <t>NUÑEZ SARMIENTO YALEIDIS ISABEL</t>
  </si>
  <si>
    <t>NUÑ** SAR****** YAL***** ISA***</t>
  </si>
  <si>
    <t>36719598</t>
  </si>
  <si>
    <t>ANAYA DIPE EVIS JOHANA</t>
  </si>
  <si>
    <t>5A1</t>
  </si>
  <si>
    <t>ANA** DIP* EVI* JOH***</t>
  </si>
  <si>
    <t>36719799</t>
  </si>
  <si>
    <t>PEÑA IBAÑE ALVEIRIS PAOLA</t>
  </si>
  <si>
    <t>PEÑ* IBA** ALV***** PAO**</t>
  </si>
  <si>
    <t>36719862</t>
  </si>
  <si>
    <t>MEJIA SANCHEZ PATRICIA ISABEL</t>
  </si>
  <si>
    <t>MEJ** SAN**** PAT***** ISA***</t>
  </si>
  <si>
    <t>36720069</t>
  </si>
  <si>
    <t>MONTERO MORENO CARMEN TEODORA</t>
  </si>
  <si>
    <t>MON**** MOR*** CAR*** TEO****</t>
  </si>
  <si>
    <t>36720104</t>
  </si>
  <si>
    <t>ALVAREZ DE LA ROSA MONICA PATRICIA</t>
  </si>
  <si>
    <t>ALV**** DE LA ROS* MON*** PAT*****</t>
  </si>
  <si>
    <t>36720590</t>
  </si>
  <si>
    <t>NIEVES RIVERA RUBY ELOISA</t>
  </si>
  <si>
    <t>NIE*** RIV*** RUB* ELO***</t>
  </si>
  <si>
    <t>36721096</t>
  </si>
  <si>
    <t>RUIZ PEREZ NIYERETH SHIRLEY</t>
  </si>
  <si>
    <t>RUI* PER** NIY***** SHI****</t>
  </si>
  <si>
    <t>36721166</t>
  </si>
  <si>
    <t>CHAVES OBREGON LAURA MILENA</t>
  </si>
  <si>
    <t>CHA*** OBR**** LAU** MIL***</t>
  </si>
  <si>
    <t>36721450</t>
  </si>
  <si>
    <t>RODRIGUEZ GRANADOS LILIBETH</t>
  </si>
  <si>
    <t>ROD****** GRA***** LIL*****</t>
  </si>
  <si>
    <t>36721955</t>
  </si>
  <si>
    <t>HENRY PEREZ LIZETH YANITH</t>
  </si>
  <si>
    <t>HEN** PER** LIZ*** YAN***</t>
  </si>
  <si>
    <t>36723377</t>
  </si>
  <si>
    <t>VEGA SUAREZ NUBIA ESTER</t>
  </si>
  <si>
    <t>VEG* SUA*** NUB** EST**</t>
  </si>
  <si>
    <t>36723389</t>
  </si>
  <si>
    <t>HERNANDEZ ZABALETA MARIA JOSE</t>
  </si>
  <si>
    <t>HER****** ZAB***** MAR** JOS*</t>
  </si>
  <si>
    <t>36723451</t>
  </si>
  <si>
    <t>HERNANDEZ HERNANDEZ NURIS</t>
  </si>
  <si>
    <t>HER****** HER****** NUR**</t>
  </si>
  <si>
    <t>36723784</t>
  </si>
  <si>
    <t>TAPIAS MONTENEGRO DUGEINYS LUCIA</t>
  </si>
  <si>
    <t>TAP*** MON******* DUG***** LUC**</t>
  </si>
  <si>
    <t>36723973</t>
  </si>
  <si>
    <t>CURIEUX ARENDS RACHELL DAYANA</t>
  </si>
  <si>
    <t>CUR**** ARE*** RAC**** DAY***</t>
  </si>
  <si>
    <t>36724362</t>
  </si>
  <si>
    <t>OJEDA RUIZ OMERIS</t>
  </si>
  <si>
    <t>OJE** RUI* OME***</t>
  </si>
  <si>
    <t>36724446</t>
  </si>
  <si>
    <t>VARON MONTERO LINA MARCELA</t>
  </si>
  <si>
    <t>VAR** MON**** LIN* MAR****</t>
  </si>
  <si>
    <t>36724512</t>
  </si>
  <si>
    <t>SANABRIA TORRES YOLIMA CECILIA</t>
  </si>
  <si>
    <t>SAN***** TOR*** YOL*** CEC****</t>
  </si>
  <si>
    <t>36724710</t>
  </si>
  <si>
    <t>JIMENEZ PREN DIANA PATRICIA</t>
  </si>
  <si>
    <t>JIM**** PRE* DIA** PAT*****</t>
  </si>
  <si>
    <t>36724837</t>
  </si>
  <si>
    <t>OLARTE FAILLACE ELAINE PATRICIA</t>
  </si>
  <si>
    <t>OLA*** FAI***** ELA*** PAT*****</t>
  </si>
  <si>
    <t>36725484</t>
  </si>
  <si>
    <t>VASQUEZ MANIGUA KATIA DEL ROSARIO</t>
  </si>
  <si>
    <t>VAS**** MAN**** KAT** DEL ROS****</t>
  </si>
  <si>
    <t>36725499</t>
  </si>
  <si>
    <t>ROBLES CHARRIS MARTHA SUSANA</t>
  </si>
  <si>
    <t>ROB*** CHA**** MAR*** SUS***</t>
  </si>
  <si>
    <t>36726043</t>
  </si>
  <si>
    <t>DELGADO PAREJA SANDRA MILENA</t>
  </si>
  <si>
    <t>DEL**** PAR*** SAN*** MIL***</t>
  </si>
  <si>
    <t>36726601</t>
  </si>
  <si>
    <t>GONZALEZ CONSUEGRA MARTHA LUCY</t>
  </si>
  <si>
    <t>GON***** CON****** MAR*** LUC*</t>
  </si>
  <si>
    <t>36727094</t>
  </si>
  <si>
    <t>PEÑA DE ANDREIS KATHERINE JULIANA</t>
  </si>
  <si>
    <t>PEÑ* DE AND**** KAT****** JUL****</t>
  </si>
  <si>
    <t>36727145</t>
  </si>
  <si>
    <t>MAFLA SALCEDO ELIANA MARIA</t>
  </si>
  <si>
    <t>MAF** SAL**** ELI*** MAR**</t>
  </si>
  <si>
    <t>36727304</t>
  </si>
  <si>
    <t>ROMERO CHARRIS KAREN LORENA</t>
  </si>
  <si>
    <t>ROM*** CHA**** KAR** LOR***</t>
  </si>
  <si>
    <t>36727594</t>
  </si>
  <si>
    <t>MIRANDA SARMIENTO AIMETH YANETH</t>
  </si>
  <si>
    <t>MIR**** SAR****** AIM*** YAN***</t>
  </si>
  <si>
    <t>36727732</t>
  </si>
  <si>
    <t>MARTINEZ PEREZ GISELLE PATRICIA</t>
  </si>
  <si>
    <t>MAR***** PER** GIS**** PAT*****</t>
  </si>
  <si>
    <t>36727744</t>
  </si>
  <si>
    <t>NEYRA PEREZ ANGELICA MARIA</t>
  </si>
  <si>
    <t>NEY** PER** ANG***** MAR**</t>
  </si>
  <si>
    <t>36727796</t>
  </si>
  <si>
    <t>JIMENEZ LISBETH</t>
  </si>
  <si>
    <t>JIM**** LIS****</t>
  </si>
  <si>
    <t>36727804</t>
  </si>
  <si>
    <t>PEDROZO CONEDO ZAIRA ESTHER</t>
  </si>
  <si>
    <t>PED**** CON*** ZAI** EST***</t>
  </si>
  <si>
    <t>36727923</t>
  </si>
  <si>
    <t>GOMEZ MEZA ALEXIA JOHANA</t>
  </si>
  <si>
    <t>GOM** MEZ* ALE*** JOH***</t>
  </si>
  <si>
    <t>36728527</t>
  </si>
  <si>
    <t>VANSTRAHLEN MARTINEZ ELVIRANA</t>
  </si>
  <si>
    <t>VAN******** MAR***** ELV*****</t>
  </si>
  <si>
    <t>36728534</t>
  </si>
  <si>
    <t>DE LA HOZ TRAPERO LUZ SUGHEY</t>
  </si>
  <si>
    <t>DE LA HOZ TRA**** LUZ SUG***</t>
  </si>
  <si>
    <t>36728553</t>
  </si>
  <si>
    <t>MORENO VILLAMIL ZAMIRA EMPERATRIZ</t>
  </si>
  <si>
    <t>MOR*** VIL***** ZAM*** EMP*******</t>
  </si>
  <si>
    <t>36728616</t>
  </si>
  <si>
    <t>ALVAREZ GUTIERREZ ROSSETH VSTHERINE</t>
  </si>
  <si>
    <t>ALV**** GUT****** ROS**** VST******</t>
  </si>
  <si>
    <t>36728647</t>
  </si>
  <si>
    <t>MERCADO PEREZ MARELVIS</t>
  </si>
  <si>
    <t>MER**** PER** MAR*****</t>
  </si>
  <si>
    <t>36728921</t>
  </si>
  <si>
    <t>LOBELO THOMAS JARIETH</t>
  </si>
  <si>
    <t>LOB*** THO*** JAR****</t>
  </si>
  <si>
    <t>36728935</t>
  </si>
  <si>
    <t>LOPEZ POLO NINI JOHANA</t>
  </si>
  <si>
    <t>LOP** POL* NIN* JOH***</t>
  </si>
  <si>
    <t>36728964</t>
  </si>
  <si>
    <t>CASTILLA ARIAS KATHERINE ALEJANDRA</t>
  </si>
  <si>
    <t>CAS***** ARI** KAT****** ALE******</t>
  </si>
  <si>
    <t>36729006</t>
  </si>
  <si>
    <t>CARRILLO ROJANO MARINELA</t>
  </si>
  <si>
    <t>CAR***** ROJ*** MAR*****</t>
  </si>
  <si>
    <t>36729034</t>
  </si>
  <si>
    <t>VAN STRAHLEN MARTINEZ ESMERALDA</t>
  </si>
  <si>
    <t>VAN STR***** MAR***** ESM******</t>
  </si>
  <si>
    <t>36729473</t>
  </si>
  <si>
    <t>GOMEZ SUAREZ JULIETH ELVIRA</t>
  </si>
  <si>
    <t>GOM** SUA*** JUL**** ELV***</t>
  </si>
  <si>
    <t>36733622</t>
  </si>
  <si>
    <t>BENAVIDES LUQUE LIZETT</t>
  </si>
  <si>
    <t>BEN****** LUQ** LIZ***</t>
  </si>
  <si>
    <t>37178175</t>
  </si>
  <si>
    <t>GARCIA MENDOZA RUDELIA</t>
  </si>
  <si>
    <t>GAR*** MEN**** RUD****</t>
  </si>
  <si>
    <t>37510524</t>
  </si>
  <si>
    <t>ACEVEDO GARZON DAMARY</t>
  </si>
  <si>
    <t>ACE**** GAR*** DAM***</t>
  </si>
  <si>
    <t>37651492</t>
  </si>
  <si>
    <t>GOMEZ ARIAS SANDRA MILENA</t>
  </si>
  <si>
    <t>GOM** ARI** SAN*** MIL***</t>
  </si>
  <si>
    <t>37652652</t>
  </si>
  <si>
    <t>ALBARRACIN HERNANDEZ LUZ DARY</t>
  </si>
  <si>
    <t>ALB******* HER****** LUZ DAR*</t>
  </si>
  <si>
    <t>37671221</t>
  </si>
  <si>
    <t>PACHECO QUINTO ESTHER PAOLA</t>
  </si>
  <si>
    <t>6C2</t>
  </si>
  <si>
    <t>PAC**** QUI*** EST*** PAO**</t>
  </si>
  <si>
    <t>37842153</t>
  </si>
  <si>
    <t>PARRA POLO KETTY JHOJANA</t>
  </si>
  <si>
    <t>PAR** POL* KET** JHO****</t>
  </si>
  <si>
    <t>37888929</t>
  </si>
  <si>
    <t>ARENAS ARENAS MAGDALENA</t>
  </si>
  <si>
    <t>ARE*** ARE*** MAG******</t>
  </si>
  <si>
    <t>37897330</t>
  </si>
  <si>
    <t>VARGAS BARAJAS SANDRA JOHANA</t>
  </si>
  <si>
    <t>VAR*** BAR**** SAN*** JOH***</t>
  </si>
  <si>
    <t>37933067</t>
  </si>
  <si>
    <t>NIETO OVIEDO YANETH</t>
  </si>
  <si>
    <t>NIE** OVI*** YAN***</t>
  </si>
  <si>
    <t>37936081</t>
  </si>
  <si>
    <t>JIMENEZ PALOMINO VILMA</t>
  </si>
  <si>
    <t>JIM**** PAL***** VIL**</t>
  </si>
  <si>
    <t>37942117</t>
  </si>
  <si>
    <t>RIVERA RIVERA NELSI</t>
  </si>
  <si>
    <t>RIV*** RIV*** NEL**</t>
  </si>
  <si>
    <t>39000527</t>
  </si>
  <si>
    <t>DEL VALLE ZAPATA NANCY ISABEL</t>
  </si>
  <si>
    <t>DEL VAL** ZAP*** NAN** ISA***</t>
  </si>
  <si>
    <t>39000591</t>
  </si>
  <si>
    <t>MARTINEZ DE GARCIA MISALIA ALBERTINA</t>
  </si>
  <si>
    <t>MAR***** DE GAR*** MIS**** ALB******</t>
  </si>
  <si>
    <t>39000918</t>
  </si>
  <si>
    <t>GUTIERREZ RADA MARIA ISABEL</t>
  </si>
  <si>
    <t>GUT****** RAD* MAR** ISA***</t>
  </si>
  <si>
    <t>39000967</t>
  </si>
  <si>
    <t>ZAPATA DEL RIO HEMILSE ESTHER</t>
  </si>
  <si>
    <t>ZAP*** DEL RIO HEM**** EST***</t>
  </si>
  <si>
    <t>39001036</t>
  </si>
  <si>
    <t>ESCOBAR ACUÑA LAINE ALEXANDRA</t>
  </si>
  <si>
    <t>ESC**** ACU** LAI** ALE******</t>
  </si>
  <si>
    <t>39001207</t>
  </si>
  <si>
    <t>VILLAMIL ECHEVERRIA MERY MARIA</t>
  </si>
  <si>
    <t>VIL***** ECH******* MER* MAR**</t>
  </si>
  <si>
    <t>39001246</t>
  </si>
  <si>
    <t>ZAPATA DEL RIO IVONNY DE JESUS</t>
  </si>
  <si>
    <t>ZAP*** DEL RIO IVO*** DE JES**</t>
  </si>
  <si>
    <t>39001415</t>
  </si>
  <si>
    <t>RADA VARGAS ONARIS ISABEL</t>
  </si>
  <si>
    <t>RAD* VAR*** ONA*** ISA***</t>
  </si>
  <si>
    <t>39001529</t>
  </si>
  <si>
    <t>ACOSTA SIERRA KATIA PATRICIA</t>
  </si>
  <si>
    <t>ACO*** SIE*** KAT** PAT*****</t>
  </si>
  <si>
    <t>39001848</t>
  </si>
  <si>
    <t>JUVINAO GUETTE ALEXANDRA JAHEL</t>
  </si>
  <si>
    <t>JUV**** GUE*** ALE****** JAH**</t>
  </si>
  <si>
    <t>39001859</t>
  </si>
  <si>
    <t>CHARRIS SOLANO PATRICIA DEL CARMEN</t>
  </si>
  <si>
    <t>CHA**** SOL*** PAT***** DEL CAR***</t>
  </si>
  <si>
    <t>39002195</t>
  </si>
  <si>
    <t>CASTAÑEDA NIGRINIS CELENE MARGARITA</t>
  </si>
  <si>
    <t>CAS****** NIG***** CEL*** MAR******</t>
  </si>
  <si>
    <t>39002277</t>
  </si>
  <si>
    <t>RAMIREZ FERNANDEZ DAMARIS</t>
  </si>
  <si>
    <t>RAM**** FER****** DAM****</t>
  </si>
  <si>
    <t>39002327</t>
  </si>
  <si>
    <t>CALABRIA PILAR DE JESUS</t>
  </si>
  <si>
    <t>CAL***** PIL** DE JES**</t>
  </si>
  <si>
    <t>39002686</t>
  </si>
  <si>
    <t>FREYTTER TAPIA SANDRA PATRICIA</t>
  </si>
  <si>
    <t>FRE***** TAP** SAN*** PAT*****</t>
  </si>
  <si>
    <t>39002709</t>
  </si>
  <si>
    <t>COLON CAMACHO BERENICE</t>
  </si>
  <si>
    <t>COL** CAM**** BER*****</t>
  </si>
  <si>
    <t>39002739</t>
  </si>
  <si>
    <t>HERNANDEZ RAMIREZ MARISELA ISABEL</t>
  </si>
  <si>
    <t>HER****** RAM**** MAR***** ISA***</t>
  </si>
  <si>
    <t>39002797</t>
  </si>
  <si>
    <t>VILLANUEVA CAICEDO FARIDES CECILIA</t>
  </si>
  <si>
    <t>VIL******* CAI**** FAR**** CEC****</t>
  </si>
  <si>
    <t>39002912</t>
  </si>
  <si>
    <t>GONZALEZ BERNAL NILCY PATRICIA</t>
  </si>
  <si>
    <t>GON***** BER*** NIL** PAT*****</t>
  </si>
  <si>
    <t>39002951</t>
  </si>
  <si>
    <t>BAENA VIDES INES MARIA</t>
  </si>
  <si>
    <t>BAE** VID** INE* MAR**</t>
  </si>
  <si>
    <t>39002981</t>
  </si>
  <si>
    <t>VANEGAS MONSALV O CELINA ESTHER</t>
  </si>
  <si>
    <t>VAN**** MON**** O CEL*** EST***</t>
  </si>
  <si>
    <t>39003006</t>
  </si>
  <si>
    <t>BLANQUILLO FERNANDEZ YOWANA MARGARITA</t>
  </si>
  <si>
    <t>BLA******* FER****** YOW*** MAR******</t>
  </si>
  <si>
    <t>39003044</t>
  </si>
  <si>
    <t>GARCIA RAMIREZ GIZZELA DEL PILAR</t>
  </si>
  <si>
    <t>GAR*** RAM**** GIZ**** DEL PIL**</t>
  </si>
  <si>
    <t>39003079</t>
  </si>
  <si>
    <t>LOPEZ FONTALVO LUCI MARIA</t>
  </si>
  <si>
    <t>LOP** FON***** LUC* MAR**</t>
  </si>
  <si>
    <t>39003178</t>
  </si>
  <si>
    <t>LINERO FELIPE HELENA CECILIA</t>
  </si>
  <si>
    <t>LIN*** FEL*** HEL*** CEC****</t>
  </si>
  <si>
    <t>39003271</t>
  </si>
  <si>
    <t>BOLAÑO MERIÑO TANIA PATRICIA</t>
  </si>
  <si>
    <t>BOL*** MER*** TAN** PAT*****</t>
  </si>
  <si>
    <t>39003321</t>
  </si>
  <si>
    <t>PEDRAZA MONTAÑO LETICIA ESTHER</t>
  </si>
  <si>
    <t>PED**** MON**** LET**** EST***</t>
  </si>
  <si>
    <t>39003326</t>
  </si>
  <si>
    <t>POLO CARRILLO LEYSLE BEATRIZ</t>
  </si>
  <si>
    <t>POL* CAR***** LEY*** BEA****</t>
  </si>
  <si>
    <t>39003476</t>
  </si>
  <si>
    <t>GUETE PADILLA ELIZABETH MARIA</t>
  </si>
  <si>
    <t>GUE** PAD**** ELI****** MAR**</t>
  </si>
  <si>
    <t>39003512</t>
  </si>
  <si>
    <t>MELENDEZ CANTILLO ARELIS ESTER</t>
  </si>
  <si>
    <t>MEL***** CAN***** ARE*** EST**</t>
  </si>
  <si>
    <t>39003536</t>
  </si>
  <si>
    <t>GARCIA BERMUDEZ MARILUZ</t>
  </si>
  <si>
    <t>GAR*** BER***** MAR****</t>
  </si>
  <si>
    <t>39003594</t>
  </si>
  <si>
    <t>SARMIENTO LEAL ROSA ELVIRA</t>
  </si>
  <si>
    <t>SAR****** LEA* ROS* ELV***</t>
  </si>
  <si>
    <t>39003829</t>
  </si>
  <si>
    <t>DE ARMAS BARRIOS HELENA FANNY</t>
  </si>
  <si>
    <t>DE ARM** BAR**** HEL*** FAN**</t>
  </si>
  <si>
    <t>39003833</t>
  </si>
  <si>
    <t>LOPEZ FONTALVO MARIA DEL SOCORRO</t>
  </si>
  <si>
    <t>LOP** FON***** MAR** DEL SOC****</t>
  </si>
  <si>
    <t>39004092</t>
  </si>
  <si>
    <t>RAMIREZ POLO LUZ MARY</t>
  </si>
  <si>
    <t>RAM**** POL* LUZ MAR*</t>
  </si>
  <si>
    <t>39004135</t>
  </si>
  <si>
    <t>MELENDREZ NAVARRO ALEIDA MARIA</t>
  </si>
  <si>
    <t>MEL****** NAV**** ALE*** MAR**</t>
  </si>
  <si>
    <t>39004163</t>
  </si>
  <si>
    <t>SIERRA NAVARRO YENIX YANETH</t>
  </si>
  <si>
    <t>SIE*** NAV**** YEN** YAN***</t>
  </si>
  <si>
    <t>39004262</t>
  </si>
  <si>
    <t>CANDELARIO SANCHEZ LIGIA SOFIA</t>
  </si>
  <si>
    <t>CAN******* SAN**** LIG** SOF**</t>
  </si>
  <si>
    <t>39004391</t>
  </si>
  <si>
    <t>ARIZA TORRES ARELIS</t>
  </si>
  <si>
    <t>ARI** TOR*** ARE***</t>
  </si>
  <si>
    <t>39004533</t>
  </si>
  <si>
    <t>ESTRADA AMARANTO BLANCA LUZ</t>
  </si>
  <si>
    <t>EST**** AMA***** BLA*** LUZ</t>
  </si>
  <si>
    <t>39004645</t>
  </si>
  <si>
    <t>ABUABARA ANCHILA JUDITH MARIA</t>
  </si>
  <si>
    <t>ABU***** ANC**** JUD*** MAR**</t>
  </si>
  <si>
    <t>39004689</t>
  </si>
  <si>
    <t>CARRILLO ALTAMAR MARISELA LUCIA</t>
  </si>
  <si>
    <t>CAR***** ALT**** MAR***** LUC**</t>
  </si>
  <si>
    <t>39004741</t>
  </si>
  <si>
    <t>SANCHEZ ACOSTA ELISANA MARGARITA</t>
  </si>
  <si>
    <t>SAN**** ACO*** ELI**** MAR******</t>
  </si>
  <si>
    <t>39004798</t>
  </si>
  <si>
    <t>VILLAMIL ROJAS LEILA MILENA</t>
  </si>
  <si>
    <t>VIL***** ROJ** LEI** MIL***</t>
  </si>
  <si>
    <t>39004858</t>
  </si>
  <si>
    <t>FERNANDEZ CANTILLO SUGEY MILENA</t>
  </si>
  <si>
    <t>FER****** CAN***** SUG** MIL***</t>
  </si>
  <si>
    <t>39004959</t>
  </si>
  <si>
    <t>MONTES LAMBRAÑO IRIS MARIA</t>
  </si>
  <si>
    <t>MON*** LAM***** IRI* MAR**</t>
  </si>
  <si>
    <t>39004995</t>
  </si>
  <si>
    <t>MOLINA URUETA YAQUELINE YOHANA</t>
  </si>
  <si>
    <t>MOL*** URU*** YAQ****** YOH***</t>
  </si>
  <si>
    <t>39004997</t>
  </si>
  <si>
    <t>GONZALEZ GUERRERO PLUTARCA CECILIA</t>
  </si>
  <si>
    <t>GON***** GUE***** PLU***** CEC****</t>
  </si>
  <si>
    <t>39007615</t>
  </si>
  <si>
    <t>GIL SABALLETH ALBA LUZ</t>
  </si>
  <si>
    <t>GIL SAB****** ALB* LUZ</t>
  </si>
  <si>
    <t>39007916</t>
  </si>
  <si>
    <t>REYES SANTOS ISABEL</t>
  </si>
  <si>
    <t>REY** SAN*** ISA***</t>
  </si>
  <si>
    <t>39008133</t>
  </si>
  <si>
    <t>FERNANDEZ VILLALOBOS BENILDA</t>
  </si>
  <si>
    <t>FER****** VIL******* BEN****</t>
  </si>
  <si>
    <t>39008438</t>
  </si>
  <si>
    <t>ORTIZ PUERTA ANNY REBECA</t>
  </si>
  <si>
    <t>ORT** PUE*** ANN* REB***</t>
  </si>
  <si>
    <t>39008527</t>
  </si>
  <si>
    <t>VIDES LECHUGA GINA</t>
  </si>
  <si>
    <t>VID** LEC**** GIN*</t>
  </si>
  <si>
    <t>39008540</t>
  </si>
  <si>
    <t>RANGEL VILLAFAÑE NEIVIS</t>
  </si>
  <si>
    <t>RAN*** VIL****** NEI***</t>
  </si>
  <si>
    <t>39008935</t>
  </si>
  <si>
    <t>MUÑOZ ROBLES BERLIDES</t>
  </si>
  <si>
    <t>MUÑ** ROB*** BER*****</t>
  </si>
  <si>
    <t>39009353</t>
  </si>
  <si>
    <t>CANAVATE DIAZ LENA RUTH</t>
  </si>
  <si>
    <t>CAN***** DIA* LEN* RUT*</t>
  </si>
  <si>
    <t>39009360</t>
  </si>
  <si>
    <t>CARPIO VASQUEZ NIDYA ESTHER</t>
  </si>
  <si>
    <t>CAR*** VAS**** NID** EST***</t>
  </si>
  <si>
    <t>39009411</t>
  </si>
  <si>
    <t>ARANGO SANCHEZ CELINA DE JESUS</t>
  </si>
  <si>
    <t>ARA*** SAN**** CEL*** DE JES**</t>
  </si>
  <si>
    <t>39009432</t>
  </si>
  <si>
    <t>MANSBACH TORRES ALICIA</t>
  </si>
  <si>
    <t>MAN***** TOR*** ALI***</t>
  </si>
  <si>
    <t>39009457</t>
  </si>
  <si>
    <t>CANTILLO MARTINEZ ELVIRA</t>
  </si>
  <si>
    <t>CAN***** MAR***** ELV***</t>
  </si>
  <si>
    <t>39009951</t>
  </si>
  <si>
    <t>ROSADO OSPINO ROSAURA</t>
  </si>
  <si>
    <t>ROS*** OSP*** ROS****</t>
  </si>
  <si>
    <t>39010034</t>
  </si>
  <si>
    <t>QUIROZ GONZALEZ ERLADYS</t>
  </si>
  <si>
    <t>QUI*** GON***** ERL****</t>
  </si>
  <si>
    <t>39010108</t>
  </si>
  <si>
    <t>TEHERAN MEZA ASTRID DEL CARMEN</t>
  </si>
  <si>
    <t>TEH**** MEZ* AST*** DEL CAR***</t>
  </si>
  <si>
    <t>39010112</t>
  </si>
  <si>
    <t>MOZO NAVARRO LUCILA</t>
  </si>
  <si>
    <t>MOZ* NAV**** LUC***</t>
  </si>
  <si>
    <t>39010113</t>
  </si>
  <si>
    <t>GUERRERO DE BAENA NELLY</t>
  </si>
  <si>
    <t>GUE***** DE BAE** NEL**</t>
  </si>
  <si>
    <t>39010150</t>
  </si>
  <si>
    <t>ROJAS DE SANCHEZ NANCY</t>
  </si>
  <si>
    <t>ROJ** DE SAN**** NAN**</t>
  </si>
  <si>
    <t>39010159</t>
  </si>
  <si>
    <t>MORALES DIAZ ADIS MERCEDES</t>
  </si>
  <si>
    <t>MOR**** DIA* ADI* MER*****</t>
  </si>
  <si>
    <t>39010161</t>
  </si>
  <si>
    <t>KING ANGULO DIVA ISABEL</t>
  </si>
  <si>
    <t>KIN* ANG*** DIV* ISA***</t>
  </si>
  <si>
    <t>39010287</t>
  </si>
  <si>
    <t>SEPULVEDA DE MORALES ALBA ROSA</t>
  </si>
  <si>
    <t>SEP****** DE MOR**** ALB* ROS*</t>
  </si>
  <si>
    <t>39010370</t>
  </si>
  <si>
    <t>AGAMEZ RANGEL OSLAIDA MARIA</t>
  </si>
  <si>
    <t>AGA*** RAN*** OSL**** MAR**</t>
  </si>
  <si>
    <t>39010471</t>
  </si>
  <si>
    <t>SANCHEZ LOPEZ MIREYA COROMOTO</t>
  </si>
  <si>
    <t>SAN**** LOP** MIR*** COR*****</t>
  </si>
  <si>
    <t>39010486</t>
  </si>
  <si>
    <t>RICO MOYA ELODIA</t>
  </si>
  <si>
    <t>RIC* MOY* ELO***</t>
  </si>
  <si>
    <t>39010524</t>
  </si>
  <si>
    <t>RANGEL RODRIGUEZ ELIZABETH</t>
  </si>
  <si>
    <t>RAN*** ROD****** ELI******</t>
  </si>
  <si>
    <t>39010555</t>
  </si>
  <si>
    <t>CARO TORRES MYRIAM DEL CARMEN</t>
  </si>
  <si>
    <t>CAR* TOR*** MYR*** DEL CAR***</t>
  </si>
  <si>
    <t>39010583</t>
  </si>
  <si>
    <t>HERNANDEZ MARTINEZ DOMINGA</t>
  </si>
  <si>
    <t>HER****** MAR***** DOM****</t>
  </si>
  <si>
    <t>39010595</t>
  </si>
  <si>
    <t>CARDENAS MARTINEZ BEATRIZ</t>
  </si>
  <si>
    <t>CAR***** MAR***** BEA****</t>
  </si>
  <si>
    <t>39010694</t>
  </si>
  <si>
    <t>AVILA PEINADO MARIA DE LAS NIEVES</t>
  </si>
  <si>
    <t>AVI** PEI**** MAR** DE LAS NIE***</t>
  </si>
  <si>
    <t>39010757</t>
  </si>
  <si>
    <t>FONSECA CRESPO OLIVA</t>
  </si>
  <si>
    <t>FON**** CRE*** OLI**</t>
  </si>
  <si>
    <t>39010823</t>
  </si>
  <si>
    <t>RADA VILLEGAS LUZ ESTELA</t>
  </si>
  <si>
    <t>RAD* VIL***** LUZ EST***</t>
  </si>
  <si>
    <t>39010862</t>
  </si>
  <si>
    <t>RODRIGUEZ RANGEL EMELITH</t>
  </si>
  <si>
    <t>ROD****** RAN*** EME****</t>
  </si>
  <si>
    <t>39010870</t>
  </si>
  <si>
    <t>LOPEZ AREVALO JANETH</t>
  </si>
  <si>
    <t>LOP** ARE**** JAN***</t>
  </si>
  <si>
    <t>39010941</t>
  </si>
  <si>
    <t>ACONCHA PACHECO MARILIN</t>
  </si>
  <si>
    <t>ACO**** PAC**** MAR****</t>
  </si>
  <si>
    <t>39010986</t>
  </si>
  <si>
    <t>HERNANDEZ SALAZAR VILMA RUTH</t>
  </si>
  <si>
    <t>HER****** SAL**** VIL** RUT*</t>
  </si>
  <si>
    <t>39011028</t>
  </si>
  <si>
    <t>DIAZ APARICIO CECILIA ESTHER</t>
  </si>
  <si>
    <t>DIA* APA***** CEC**** EST***</t>
  </si>
  <si>
    <t>39011100</t>
  </si>
  <si>
    <t>NARVAEZ ARANGO NUBIS ONEIDA</t>
  </si>
  <si>
    <t>NAR**** ARA*** NUB** ONE***</t>
  </si>
  <si>
    <t>39011132</t>
  </si>
  <si>
    <t>PISCIOTTI CHINCHILLA IRASEMA INES</t>
  </si>
  <si>
    <t>PIS****** CHI******* IRA**** INE*</t>
  </si>
  <si>
    <t>39011172</t>
  </si>
  <si>
    <t>VILARDY ZULUAGA JACKELINE DEL ROSARIO</t>
  </si>
  <si>
    <t>VIL**** ZUL**** JAC****** DEL ROS****</t>
  </si>
  <si>
    <t>39011180</t>
  </si>
  <si>
    <t>CANAVATE DIAZ GALIA ISABEL</t>
  </si>
  <si>
    <t>CAN***** DIA* GAL** ISA***</t>
  </si>
  <si>
    <t>39011197</t>
  </si>
  <si>
    <t>VIDES LECHUGA SONIA</t>
  </si>
  <si>
    <t>VID** LEC**** SON**</t>
  </si>
  <si>
    <t>39011211</t>
  </si>
  <si>
    <t>MARTINEZ PEREZ ANA DOLORES</t>
  </si>
  <si>
    <t>MAR***** PER** ANA DOL****</t>
  </si>
  <si>
    <t>39011303</t>
  </si>
  <si>
    <t>VILLALOBOS LAGUNA MARIA DEL CARMEN</t>
  </si>
  <si>
    <t>VIL******* LAG*** MAR** DEL CAR***</t>
  </si>
  <si>
    <t>39011305</t>
  </si>
  <si>
    <t>PORTILLO DE RANGEL NANCY</t>
  </si>
  <si>
    <t>POR***** DE RAN*** NAN**</t>
  </si>
  <si>
    <t>39011352</t>
  </si>
  <si>
    <t>RICAURTE ROMERO MAREYRA</t>
  </si>
  <si>
    <t>RIC***** ROM*** MAR****</t>
  </si>
  <si>
    <t>39011417</t>
  </si>
  <si>
    <t>PEREZ MARTINEZ MIDIAM</t>
  </si>
  <si>
    <t>PER** MAR***** MID***</t>
  </si>
  <si>
    <t>39011434</t>
  </si>
  <si>
    <t>RADA RODRIGUEZ CASIMIRA</t>
  </si>
  <si>
    <t>RAD* ROD****** CAS*****</t>
  </si>
  <si>
    <t>39011436</t>
  </si>
  <si>
    <t>HERRERA AMARIS ERENDIRA</t>
  </si>
  <si>
    <t>HER**** AMA*** ERE*****</t>
  </si>
  <si>
    <t>39011489</t>
  </si>
  <si>
    <t>PABA PEINADO ROSMERY CECILIA</t>
  </si>
  <si>
    <t>PAB* PEI**** ROS**** CEC****</t>
  </si>
  <si>
    <t>39011498</t>
  </si>
  <si>
    <t>LEON SANCHEZ YORLANI MARIA</t>
  </si>
  <si>
    <t>LEO* SAN**** YOR**** MAR**</t>
  </si>
  <si>
    <t>39011531</t>
  </si>
  <si>
    <t>VARGAS RAMIREZ MARINI</t>
  </si>
  <si>
    <t>VAR*** RAM**** MAR***</t>
  </si>
  <si>
    <t>39011553</t>
  </si>
  <si>
    <t>FERNANDEZ MULET CECILIA</t>
  </si>
  <si>
    <t>FER****** MUL** CEC****</t>
  </si>
  <si>
    <t>39011605</t>
  </si>
  <si>
    <t>TRILLOS GONZALEZ MABEL</t>
  </si>
  <si>
    <t>TRI**** GON***** MAB**</t>
  </si>
  <si>
    <t>39011796</t>
  </si>
  <si>
    <t>RANGEL LOPEZ CELINA</t>
  </si>
  <si>
    <t>RAN*** LOP** CEL***</t>
  </si>
  <si>
    <t>39011988</t>
  </si>
  <si>
    <t>SUAREZ RANGEL LESVIA MARIA</t>
  </si>
  <si>
    <t>SUA*** RAN*** LES*** MAR**</t>
  </si>
  <si>
    <t>39012004</t>
  </si>
  <si>
    <t>SIERRA PIANETA IRINA</t>
  </si>
  <si>
    <t>SIE*** PIA**** IRI**</t>
  </si>
  <si>
    <t>39012049</t>
  </si>
  <si>
    <t>ANGULO MARTINEZ DELFA ROSA</t>
  </si>
  <si>
    <t>ANG*** MAR***** DEL** ROS*</t>
  </si>
  <si>
    <t>39012054</t>
  </si>
  <si>
    <t>BRUGES MUÑOZ MARLENE</t>
  </si>
  <si>
    <t>BRU*** MUÑ** MAR****</t>
  </si>
  <si>
    <t>39012072</t>
  </si>
  <si>
    <t>BELEÑO RAMOS ASTRID</t>
  </si>
  <si>
    <t>BEL*** RAM** AST***</t>
  </si>
  <si>
    <t>39012077</t>
  </si>
  <si>
    <t>ALVAREZ ARANGO OLGA SOFIA</t>
  </si>
  <si>
    <t>ALV**** ARA*** OLG* SOF**</t>
  </si>
  <si>
    <t>39012084</t>
  </si>
  <si>
    <t>PEÑALOZA BARRIOS MARIA EUGENIA</t>
  </si>
  <si>
    <t>PEÑ***** BAR**** MAR** EUG****</t>
  </si>
  <si>
    <t>39012240</t>
  </si>
  <si>
    <t>BELTRAN LOPEZ ENILSE</t>
  </si>
  <si>
    <t>BEL**** LOP** ENI***</t>
  </si>
  <si>
    <t>39012324</t>
  </si>
  <si>
    <t>VALDES PALACIOS GEMA EMPERATRIZ</t>
  </si>
  <si>
    <t>VAL*** PAL***** GEM* EMP*******</t>
  </si>
  <si>
    <t>39012328</t>
  </si>
  <si>
    <t>JIMENEZ ANA BEATRIZ</t>
  </si>
  <si>
    <t>JIM**** ANA BEA****</t>
  </si>
  <si>
    <t>39012410</t>
  </si>
  <si>
    <t>CASTAÑO CHAJIN MARIA EMPERATRIZ</t>
  </si>
  <si>
    <t>CAS**** CHA*** MAR** EMP*******</t>
  </si>
  <si>
    <t>39012411</t>
  </si>
  <si>
    <t>CABAS FIGUEROA MARTHA CECILIA</t>
  </si>
  <si>
    <t>CAB** FIG***** MAR*** CEC****</t>
  </si>
  <si>
    <t>39012431</t>
  </si>
  <si>
    <t>ZUÑIGA ARGUELLES LILIANA</t>
  </si>
  <si>
    <t>ZUÑ*** ARG****** LIL****</t>
  </si>
  <si>
    <t>39012435</t>
  </si>
  <si>
    <t>CADENA RANGEL ALBANIS DE JESUS</t>
  </si>
  <si>
    <t>CAD*** RAN*** ALB**** DE JES**</t>
  </si>
  <si>
    <t>39012516</t>
  </si>
  <si>
    <t>ARMENTA SANCHEZ MARGARITA EUGENIA</t>
  </si>
  <si>
    <t>ARM**** SAN**** MAR****** EUG****</t>
  </si>
  <si>
    <t>39012538</t>
  </si>
  <si>
    <t>FLOREZ MARTINEZ DIANA</t>
  </si>
  <si>
    <t>FLO*** MAR***** DIA**</t>
  </si>
  <si>
    <t>39012626</t>
  </si>
  <si>
    <t>SIERRA PIANETA YADIRA</t>
  </si>
  <si>
    <t>SIE*** PIA**** YAD***</t>
  </si>
  <si>
    <t>39012668</t>
  </si>
  <si>
    <t>NIETO MONTERO DANILSE</t>
  </si>
  <si>
    <t>NIE** MON**** DAN****</t>
  </si>
  <si>
    <t>39012678</t>
  </si>
  <si>
    <t>TRUJILLO QUIROZ LEONOR</t>
  </si>
  <si>
    <t>TRU***** QUI*** LEO***</t>
  </si>
  <si>
    <t>39012987</t>
  </si>
  <si>
    <t>PADILLA GUERRERO FLOR MARIA</t>
  </si>
  <si>
    <t>PAD**** GUE***** FLO* MAR**</t>
  </si>
  <si>
    <t>39012990</t>
  </si>
  <si>
    <t>ROCHA MERIÑO ENEIDA MARIA</t>
  </si>
  <si>
    <t>ROC** MER*** ENE*** MAR**</t>
  </si>
  <si>
    <t>39013056</t>
  </si>
  <si>
    <t>MERCADO GALEZO LYDA</t>
  </si>
  <si>
    <t>MER**** GAL*** LYD*</t>
  </si>
  <si>
    <t>39013115</t>
  </si>
  <si>
    <t>LOPEZ BALLESTEROS LUZ ELENA</t>
  </si>
  <si>
    <t>LOP** BAL******** LUZ ELE**</t>
  </si>
  <si>
    <t>39013117</t>
  </si>
  <si>
    <t>CAMARGO MACIAS EMIRIS</t>
  </si>
  <si>
    <t>CAM**** MAC*** EMI***</t>
  </si>
  <si>
    <t>39013122</t>
  </si>
  <si>
    <t>CADENA CERPA ELIZABETH</t>
  </si>
  <si>
    <t>CAD*** CER** ELI******</t>
  </si>
  <si>
    <t>39013134</t>
  </si>
  <si>
    <t>ARGOTE VANEGAS MARLENE</t>
  </si>
  <si>
    <t>ARG*** VAN**** MAR****</t>
  </si>
  <si>
    <t>39013144</t>
  </si>
  <si>
    <t>PACHECO BARRIOSNUEVO ALIX MARIA</t>
  </si>
  <si>
    <t>PAC**** BAR********* ALI* MAR**</t>
  </si>
  <si>
    <t>39013236</t>
  </si>
  <si>
    <t>MUÑOZ CHAJIN ANGELICA MARIA</t>
  </si>
  <si>
    <t>MUÑ** CHA*** ANG***** MAR**</t>
  </si>
  <si>
    <t>39013292</t>
  </si>
  <si>
    <t>RANGEL LOPEZ ROCIO ELENA</t>
  </si>
  <si>
    <t>RAN*** LOP** ROC** ELE**</t>
  </si>
  <si>
    <t>39013357</t>
  </si>
  <si>
    <t>PUELLO OSPINO LIRIDA</t>
  </si>
  <si>
    <t>PUE*** OSP*** LIR***</t>
  </si>
  <si>
    <t>39013471</t>
  </si>
  <si>
    <t>VASQUEZ EPALZA MEYBI</t>
  </si>
  <si>
    <t>VAS**** EPA*** MEY**</t>
  </si>
  <si>
    <t>39013481</t>
  </si>
  <si>
    <t>QUIROZ GONZALEZ MARLENE</t>
  </si>
  <si>
    <t>QUI*** GON***** MAR****</t>
  </si>
  <si>
    <t>39013705</t>
  </si>
  <si>
    <t>CADENA VILARDY ROSMIRA</t>
  </si>
  <si>
    <t>CAD*** VIL**** ROS****</t>
  </si>
  <si>
    <t>39013780</t>
  </si>
  <si>
    <t>VANEGAS PALOMINO ADUNIA ESTHER</t>
  </si>
  <si>
    <t>VAN**** PAL***** ADU*** EST***</t>
  </si>
  <si>
    <t>39013799</t>
  </si>
  <si>
    <t>DIZEO PATIÑO YOMAIRA</t>
  </si>
  <si>
    <t>DIZ** PAT*** YOM****</t>
  </si>
  <si>
    <t>39013855</t>
  </si>
  <si>
    <t>LINARES BARRIOS MERCEDES MARIA</t>
  </si>
  <si>
    <t>LIN**** BAR**** MER***** MAR**</t>
  </si>
  <si>
    <t>39013900</t>
  </si>
  <si>
    <t>ALVARADO SANTANDER ENELDA</t>
  </si>
  <si>
    <t>ALV***** SAN****** ENE***</t>
  </si>
  <si>
    <t>39013904</t>
  </si>
  <si>
    <t>MARTINEZ MARTINEZ ANA ORFELINA</t>
  </si>
  <si>
    <t>MAR***** MAR***** ANA ORF*****</t>
  </si>
  <si>
    <t>39013910</t>
  </si>
  <si>
    <t>CAÑAS PADILLA LINA ISABEL</t>
  </si>
  <si>
    <t>CAÑ** PAD**** LIN* ISA***</t>
  </si>
  <si>
    <t>39014043</t>
  </si>
  <si>
    <t>FLOREZ FLOREZ DELIA MARIA</t>
  </si>
  <si>
    <t>FLO*** FLO*** DEL** MAR**</t>
  </si>
  <si>
    <t>39014102</t>
  </si>
  <si>
    <t>RAMOS BARRAZA MAGALIS</t>
  </si>
  <si>
    <t>RAM** BAR**** MAG****</t>
  </si>
  <si>
    <t>39014109</t>
  </si>
  <si>
    <t>PUELLO OSPINO EMELINA</t>
  </si>
  <si>
    <t>PUE*** OSP*** EME****</t>
  </si>
  <si>
    <t>39014202</t>
  </si>
  <si>
    <t>RANGEL ORTIZ YANIA FELICIA</t>
  </si>
  <si>
    <t>RAN*** ORT** YAN** FEL****</t>
  </si>
  <si>
    <t>39014226</t>
  </si>
  <si>
    <t>VALENCIA MORA JOHANNA MARIA</t>
  </si>
  <si>
    <t>VAL***** MOR* JOH**** MAR**</t>
  </si>
  <si>
    <t>39014374</t>
  </si>
  <si>
    <t>RANGEL ORTIZ MILDRED</t>
  </si>
  <si>
    <t>RAN*** ORT** MIL****</t>
  </si>
  <si>
    <t>39014501</t>
  </si>
  <si>
    <t>ROCHA PELAEZ GLADYS</t>
  </si>
  <si>
    <t>ROC** PEL*** GLA***</t>
  </si>
  <si>
    <t>39014509</t>
  </si>
  <si>
    <t>BASTIDAS MIRANDA NERIS</t>
  </si>
  <si>
    <t>BAS***** MIR**** NER**</t>
  </si>
  <si>
    <t>39014526</t>
  </si>
  <si>
    <t>DAZA CADENA FARIS</t>
  </si>
  <si>
    <t>DAZ* CAD*** FAR**</t>
  </si>
  <si>
    <t>39014530</t>
  </si>
  <si>
    <t>ARANGO PORTILLO YADIRA</t>
  </si>
  <si>
    <t>ARA*** POR***** YAD***</t>
  </si>
  <si>
    <t>39014537</t>
  </si>
  <si>
    <t>TOLOZA OSPINO LEYNA</t>
  </si>
  <si>
    <t>TOL*** OSP*** LEY**</t>
  </si>
  <si>
    <t>39014553</t>
  </si>
  <si>
    <t>RIOS COLORADO MARTHA LUZ</t>
  </si>
  <si>
    <t>RIO* COL***** MAR*** LUZ</t>
  </si>
  <si>
    <t>39014573</t>
  </si>
  <si>
    <t>CARRETERO GOMEZ LENIS CENITH</t>
  </si>
  <si>
    <t>CAR****** GOM** LEN** CEN***</t>
  </si>
  <si>
    <t>39014638</t>
  </si>
  <si>
    <t>PIÑA ARENILLA SAMILE</t>
  </si>
  <si>
    <t>PIÑ* ARE***** SAM***</t>
  </si>
  <si>
    <t>39014891</t>
  </si>
  <si>
    <t>ROCHA PELAEZ MARIELA</t>
  </si>
  <si>
    <t>ROC** PEL*** MAR****</t>
  </si>
  <si>
    <t>39014927</t>
  </si>
  <si>
    <t>AMARIS MARTINEZ ARACELLYS</t>
  </si>
  <si>
    <t>AMA*** MAR***** ARA******</t>
  </si>
  <si>
    <t>39014964</t>
  </si>
  <si>
    <t>QUINTANA GUERRERO RUBY MARIA</t>
  </si>
  <si>
    <t>QUI***** GUE***** RUB* MAR**</t>
  </si>
  <si>
    <t>39014986</t>
  </si>
  <si>
    <t>DIAZ TRESPALACIOS ISMARY</t>
  </si>
  <si>
    <t>DIA* TRE********* ISM***</t>
  </si>
  <si>
    <t>39015046</t>
  </si>
  <si>
    <t>OVIEDO CELSA YOMELY</t>
  </si>
  <si>
    <t>OVI*** CEL** YOM***</t>
  </si>
  <si>
    <t>39015091</t>
  </si>
  <si>
    <t>VASQUEZ VIADERO NIVIA</t>
  </si>
  <si>
    <t>VAS**** VIA**** NIV**</t>
  </si>
  <si>
    <t>39015219</t>
  </si>
  <si>
    <t>RODRIGUEZ SERRANO ROSANA</t>
  </si>
  <si>
    <t>ROD****** SER**** ROS***</t>
  </si>
  <si>
    <t>39015322</t>
  </si>
  <si>
    <t>FLOREZ PALOMINO CLAUDIA</t>
  </si>
  <si>
    <t>FLO*** PAL***** CLA****</t>
  </si>
  <si>
    <t>39015370</t>
  </si>
  <si>
    <t>CADENA LOPEZ MARIELA</t>
  </si>
  <si>
    <t>CAD*** LOP** MAR****</t>
  </si>
  <si>
    <t>39015497</t>
  </si>
  <si>
    <t>OSPINO TOLOZA EILEEN MARGARITA</t>
  </si>
  <si>
    <t>OSP*** TOL*** EIL*** MAR******</t>
  </si>
  <si>
    <t>39015509</t>
  </si>
  <si>
    <t>CARO SEMIRAMIS NEREIDA</t>
  </si>
  <si>
    <t>CAR* SEM****** NER****</t>
  </si>
  <si>
    <t>39015598</t>
  </si>
  <si>
    <t>VIADERO ZAMBRANO NUPSERI</t>
  </si>
  <si>
    <t>VIA**** ZAM***** NUP****</t>
  </si>
  <si>
    <t>39015615</t>
  </si>
  <si>
    <t>PIÑA ARENILLA ISABEL</t>
  </si>
  <si>
    <t>PIÑ* ARE***** ISA***</t>
  </si>
  <si>
    <t>39015733</t>
  </si>
  <si>
    <t>JIMENEZ RAMOS NAYIBE</t>
  </si>
  <si>
    <t>JIM**** RAM** NAY***</t>
  </si>
  <si>
    <t>39015850</t>
  </si>
  <si>
    <t>MACHUCA RODRIGUEZ FADID</t>
  </si>
  <si>
    <t>MAC**** ROD****** FAD**</t>
  </si>
  <si>
    <t>39016016</t>
  </si>
  <si>
    <t>VASQUEZ GARCIA LUZ MINELLYS</t>
  </si>
  <si>
    <t>VAS**** GAR*** LUZ MIN*****</t>
  </si>
  <si>
    <t>39016060</t>
  </si>
  <si>
    <t>MARTINEZ GUTIERREZ DIGNA</t>
  </si>
  <si>
    <t>MAR***** GUT****** DIG**</t>
  </si>
  <si>
    <t>39016151</t>
  </si>
  <si>
    <t>PEDROZO OSPINO CAROLINA CECILIA</t>
  </si>
  <si>
    <t>PED**** OSP*** CAR***** CEC****</t>
  </si>
  <si>
    <t>39016373</t>
  </si>
  <si>
    <t>FIERRO ULLOQUE MARELVIS</t>
  </si>
  <si>
    <t>FIE*** ULL**** MAR*****</t>
  </si>
  <si>
    <t>39016394</t>
  </si>
  <si>
    <t>VASQUEZ CORTES ROCIO AMPARO</t>
  </si>
  <si>
    <t>VAS**** COR*** ROC** AMP***</t>
  </si>
  <si>
    <t>39016404</t>
  </si>
  <si>
    <t>MORALES RODELO IDALIDES</t>
  </si>
  <si>
    <t>MOR**** ROD*** IDA*****</t>
  </si>
  <si>
    <t>39016501</t>
  </si>
  <si>
    <t>FLOREZ MALDONADO MAIDA SOFIA</t>
  </si>
  <si>
    <t>FLO*** MAL****** MAI** SOF**</t>
  </si>
  <si>
    <t>39016567</t>
  </si>
  <si>
    <t>TORRES ROMERO YASMIN</t>
  </si>
  <si>
    <t>TOR*** ROM*** YAS***</t>
  </si>
  <si>
    <t>39016777</t>
  </si>
  <si>
    <t>RANGEL OSPINO LEODITH</t>
  </si>
  <si>
    <t>RAN*** OSP*** LEO****</t>
  </si>
  <si>
    <t>39016857</t>
  </si>
  <si>
    <t>TOLOZA OSPINO SELENE</t>
  </si>
  <si>
    <t>TOL*** OSP*** SEL***</t>
  </si>
  <si>
    <t>39016883</t>
  </si>
  <si>
    <t>SANCHEZ NORIEGA MERCEDES</t>
  </si>
  <si>
    <t>SAN**** NOR**** MER*****</t>
  </si>
  <si>
    <t>39017127</t>
  </si>
  <si>
    <t>DIAZ PINZON MARTHA LUCIA</t>
  </si>
  <si>
    <t>DIA* PIN*** MAR*** LUC**</t>
  </si>
  <si>
    <t>39017156</t>
  </si>
  <si>
    <t>CABARCAS GOMEZ ANAELIS</t>
  </si>
  <si>
    <t>CAB***** GOM** ANA****</t>
  </si>
  <si>
    <t>39017159</t>
  </si>
  <si>
    <t>ARDILA SIMANCA DENNYS ROSARIO</t>
  </si>
  <si>
    <t>ARD*** SIM**** DEN*** ROS****</t>
  </si>
  <si>
    <t>39017179</t>
  </si>
  <si>
    <t>MIER CHAJIN YARIDES</t>
  </si>
  <si>
    <t>MIE* CHA*** YAR****</t>
  </si>
  <si>
    <t>39017181</t>
  </si>
  <si>
    <t>ESTRADA TOVAR MEIRA</t>
  </si>
  <si>
    <t>EST**** TOV** MEI**</t>
  </si>
  <si>
    <t>39017191</t>
  </si>
  <si>
    <t>RODRIGUEZ PEREZ ISABEL</t>
  </si>
  <si>
    <t>ROD****** PER** ISA***</t>
  </si>
  <si>
    <t>39017258</t>
  </si>
  <si>
    <t>BLANCO ALEMAN MARGARITA</t>
  </si>
  <si>
    <t>BLA*** ALE*** MAR******</t>
  </si>
  <si>
    <t>39017293</t>
  </si>
  <si>
    <t>JARABA AMARIS KATIUSKA</t>
  </si>
  <si>
    <t>JAR*** AMA*** KAT*****</t>
  </si>
  <si>
    <t>39017377</t>
  </si>
  <si>
    <t>AMARIS CABRERA MILAGRO MILEIDA</t>
  </si>
  <si>
    <t>AMA*** CAB**** MIL**** MIL****</t>
  </si>
  <si>
    <t>39017378</t>
  </si>
  <si>
    <t>YEPEZ HERRERA MIRTA</t>
  </si>
  <si>
    <t>YEP** HER**** MIR**</t>
  </si>
  <si>
    <t>39017625</t>
  </si>
  <si>
    <t>RODRIGUEZ PEREZ GLORIA</t>
  </si>
  <si>
    <t>ROD****** PER** GLO***</t>
  </si>
  <si>
    <t>39017626</t>
  </si>
  <si>
    <t>GALEZO CARDENAS NORELA</t>
  </si>
  <si>
    <t>GAL*** CAR***** NOR***</t>
  </si>
  <si>
    <t>39017647</t>
  </si>
  <si>
    <t>PUERTA CAAMAÑO GLENYS</t>
  </si>
  <si>
    <t>PUE*** CAA**** GLE***</t>
  </si>
  <si>
    <t>39017869</t>
  </si>
  <si>
    <t>RIOS GARCIA YASMINE</t>
  </si>
  <si>
    <t>RIO* GAR*** YAS****</t>
  </si>
  <si>
    <t>39017889</t>
  </si>
  <si>
    <t>ROCHA PELAEZ MARIA DEL CARMEN</t>
  </si>
  <si>
    <t>ROC** PEL*** MAR** DEL CAR***</t>
  </si>
  <si>
    <t>39017928</t>
  </si>
  <si>
    <t>RANGEL CAMPO ORIANA PATRICIA</t>
  </si>
  <si>
    <t>RAN*** CAM** ORI*** PAT*****</t>
  </si>
  <si>
    <t>39017938</t>
  </si>
  <si>
    <t>ORTIZ HOYOS ROSA MARIA</t>
  </si>
  <si>
    <t>ORT** HOY** ROS* MAR**</t>
  </si>
  <si>
    <t>39018064</t>
  </si>
  <si>
    <t>DIAZ SEPULVEDA MARGI</t>
  </si>
  <si>
    <t>DIA* SEP****** MAR**</t>
  </si>
  <si>
    <t>39018123</t>
  </si>
  <si>
    <t>MERIÑO ROCHA ANA MARIA</t>
  </si>
  <si>
    <t>MER*** ROC** ANA MAR**</t>
  </si>
  <si>
    <t>39018124</t>
  </si>
  <si>
    <t>TORRES CANTILLO VIRGINIA</t>
  </si>
  <si>
    <t>TOR*** CAN***** VIR*****</t>
  </si>
  <si>
    <t>39018210</t>
  </si>
  <si>
    <t>VIDES SANCHEZ LEDYS</t>
  </si>
  <si>
    <t>VID** SAN**** LED**</t>
  </si>
  <si>
    <t>39018305</t>
  </si>
  <si>
    <t>BAYTER GARCIA NEGGIE ZAMIRA</t>
  </si>
  <si>
    <t>BAY*** GAR*** NEG*** ZAM***</t>
  </si>
  <si>
    <t>39018437</t>
  </si>
  <si>
    <t>RANGEL RODRIGUEZ ROSALYN</t>
  </si>
  <si>
    <t>RAN*** ROD****** ROS****</t>
  </si>
  <si>
    <t>39018479</t>
  </si>
  <si>
    <t>CARO OSPINO ANGELA MARIA</t>
  </si>
  <si>
    <t>CAR* OSP*** ANG*** MAR**</t>
  </si>
  <si>
    <t>39018517</t>
  </si>
  <si>
    <t>VALENCIA MACHADO NELY ESTHER</t>
  </si>
  <si>
    <t>VAL***** MAC**** NEL* EST***</t>
  </si>
  <si>
    <t>39018535</t>
  </si>
  <si>
    <t>ROJAS SANCHEZ MARIA DEL SOCORRO</t>
  </si>
  <si>
    <t>ROJ** SAN**** MAR** DEL SOC****</t>
  </si>
  <si>
    <t>39018589</t>
  </si>
  <si>
    <t>LUQUE PICALUA MARIA CONCEPCION</t>
  </si>
  <si>
    <t>LUQ** PIC**** MAR** CON*******</t>
  </si>
  <si>
    <t>39018607</t>
  </si>
  <si>
    <t>RUIDIAZ RAMOS RAQUEL</t>
  </si>
  <si>
    <t>RUI**** RAM** RAQ***</t>
  </si>
  <si>
    <t>39018612</t>
  </si>
  <si>
    <t>VIDES SANCHEZ BEATRIZ HELENA</t>
  </si>
  <si>
    <t>VID** SAN**** BEA**** HEL***</t>
  </si>
  <si>
    <t>39018753</t>
  </si>
  <si>
    <t>PEREZ PISCIOTTI ANA SOFIA</t>
  </si>
  <si>
    <t>PER** PIS****** ANA SOF**</t>
  </si>
  <si>
    <t>39018839</t>
  </si>
  <si>
    <t>CADENA CARO RAQUEL MERCEDES</t>
  </si>
  <si>
    <t>CAD*** CAR* RAQ*** MER*****</t>
  </si>
  <si>
    <t>39019010</t>
  </si>
  <si>
    <t>ROMERO BORRE NOHELIA</t>
  </si>
  <si>
    <t>ROM*** BOR** NOH****</t>
  </si>
  <si>
    <t>39019127</t>
  </si>
  <si>
    <t>MORENO RIOS ERMELINDA</t>
  </si>
  <si>
    <t>MOR*** RIO* ERM******</t>
  </si>
  <si>
    <t>39019165</t>
  </si>
  <si>
    <t>OSPINO OLIVELLA EBLIN ANTONIA</t>
  </si>
  <si>
    <t>OSP*** OLI***** EBL** ANT****</t>
  </si>
  <si>
    <t>39019338</t>
  </si>
  <si>
    <t>ALVAREZ SANCHEZ NELLY ISABEL</t>
  </si>
  <si>
    <t>ALV**** SAN**** NEL** ISA***</t>
  </si>
  <si>
    <t>39019380</t>
  </si>
  <si>
    <t>SALINA CANABATE ENEY</t>
  </si>
  <si>
    <t>SAL*** CAN***** ENE*</t>
  </si>
  <si>
    <t>39019783</t>
  </si>
  <si>
    <t>MISAS CABRALES ANA MARIS</t>
  </si>
  <si>
    <t>MIS** CAB***** ANA MAR**</t>
  </si>
  <si>
    <t>39019829</t>
  </si>
  <si>
    <t>GALEZO NARVAEZ GUIDIS NOHELIS</t>
  </si>
  <si>
    <t>GAL*** NAR**** GUI*** NOH****</t>
  </si>
  <si>
    <t>39019831</t>
  </si>
  <si>
    <t>PAYARES SERRANO NERISSA ALEJANDRA</t>
  </si>
  <si>
    <t>PAY**** SER**** NER**** ALE******</t>
  </si>
  <si>
    <t>39019850</t>
  </si>
  <si>
    <t>LOPEZ SANCHEZ YULIBETH</t>
  </si>
  <si>
    <t>LOP** SAN**** YUL*****</t>
  </si>
  <si>
    <t>39019960</t>
  </si>
  <si>
    <t>JIMENEZ RAMOS MARCELA</t>
  </si>
  <si>
    <t>JIM**** RAM** MAR****</t>
  </si>
  <si>
    <t>39019982</t>
  </si>
  <si>
    <t>TORRES FUENTES DIANA</t>
  </si>
  <si>
    <t>TOR*** FUE**** DIA**</t>
  </si>
  <si>
    <t>39020017</t>
  </si>
  <si>
    <t>SANCHEZ NARVAEZ MELVIS</t>
  </si>
  <si>
    <t>SAN**** NAR**** MEL***</t>
  </si>
  <si>
    <t>39020031</t>
  </si>
  <si>
    <t>QUINTERO OSPINO LILIA AMPARO</t>
  </si>
  <si>
    <t>QUI***** OSP*** LIL** AMP***</t>
  </si>
  <si>
    <t>39020204</t>
  </si>
  <si>
    <t>TORRES MARTINEZ CANDELARIA</t>
  </si>
  <si>
    <t>TOR*** MAR***** CAN*******</t>
  </si>
  <si>
    <t>39020216</t>
  </si>
  <si>
    <t>RANGEL ORTIZ LISBETH MILENA</t>
  </si>
  <si>
    <t>RAN*** ORT** LIS**** MIL***</t>
  </si>
  <si>
    <t>39020340</t>
  </si>
  <si>
    <t>CAMARGO CABRERA MARELVIS YOLANDA</t>
  </si>
  <si>
    <t>CAM**** CAB**** MAR***** YOL****</t>
  </si>
  <si>
    <t>39020356</t>
  </si>
  <si>
    <t>ROJAS MARTINEZ MIREYA</t>
  </si>
  <si>
    <t>ROJ** MAR***** MIR***</t>
  </si>
  <si>
    <t>39020379</t>
  </si>
  <si>
    <t>MENDOZA RANGEL ANA ISABEL</t>
  </si>
  <si>
    <t>MEN**** RAN*** ANA ISA***</t>
  </si>
  <si>
    <t>39020458</t>
  </si>
  <si>
    <t>RICO CHAVEZ OFELIA</t>
  </si>
  <si>
    <t>RIC* CHA*** OFE***</t>
  </si>
  <si>
    <t>39020462</t>
  </si>
  <si>
    <t>POLO PEÑA DIANA LUZ</t>
  </si>
  <si>
    <t>POL* PEÑ* DIA** LUZ</t>
  </si>
  <si>
    <t>39020491</t>
  </si>
  <si>
    <t>TORRES ROJAS MAURA</t>
  </si>
  <si>
    <t>TOR*** ROJ** MAU**</t>
  </si>
  <si>
    <t>39020565</t>
  </si>
  <si>
    <t>RANGEL PAYAN LAURA PATRICIA</t>
  </si>
  <si>
    <t>RAN*** PAY** LAU** PAT*****</t>
  </si>
  <si>
    <t>39020637</t>
  </si>
  <si>
    <t>GALVIS ROCHA IRIS MARIA</t>
  </si>
  <si>
    <t>GAL*** ROC** IRI* MAR**</t>
  </si>
  <si>
    <t>39020883</t>
  </si>
  <si>
    <t>ALVAREZ SANCHEZ YEINNYS</t>
  </si>
  <si>
    <t>ALV**** SAN**** YEI****</t>
  </si>
  <si>
    <t>39020890</t>
  </si>
  <si>
    <t>RADA OLIVEROS ROCIO</t>
  </si>
  <si>
    <t>RAD* OLI***** ROC**</t>
  </si>
  <si>
    <t>39020939</t>
  </si>
  <si>
    <t>MENDOZA BELEÑO BERLEDIZ</t>
  </si>
  <si>
    <t>MEN**** BEL*** BER*****</t>
  </si>
  <si>
    <t>39020947</t>
  </si>
  <si>
    <t>BASTIDAS FLOREZ ROSIRIS</t>
  </si>
  <si>
    <t>BAS***** FLO*** ROS****</t>
  </si>
  <si>
    <t>39020983</t>
  </si>
  <si>
    <t>ALVEAR HIDALGO DINEYS KATIUSKA</t>
  </si>
  <si>
    <t>ALV*** HID**** DIN*** KAT*****</t>
  </si>
  <si>
    <t>39021003</t>
  </si>
  <si>
    <t>HERNANDEZ VEGA EDITH YOJANA</t>
  </si>
  <si>
    <t>HER****** VEG* EDI** YOJ***</t>
  </si>
  <si>
    <t>39021008</t>
  </si>
  <si>
    <t>ESTRADA MARTINEZ LEDYS PATRICIA</t>
  </si>
  <si>
    <t>EST**** MAR***** LED** PAT*****</t>
  </si>
  <si>
    <t>39021090</t>
  </si>
  <si>
    <t>DE LA PEÑA MANRIQUE YOHANA</t>
  </si>
  <si>
    <t>DE LA PEÑ* MAN***** YOH***</t>
  </si>
  <si>
    <t>39021359</t>
  </si>
  <si>
    <t>CAMELO LEIVA AMLEYVI BEATRIZ</t>
  </si>
  <si>
    <t>CAM*** LEI** AML**** BEA****</t>
  </si>
  <si>
    <t>39021541</t>
  </si>
  <si>
    <t>RODRIGUEZ SIMANCA NIDIA ESTHER</t>
  </si>
  <si>
    <t>ROD****** SIM**** NID** EST***</t>
  </si>
  <si>
    <t>39021616</t>
  </si>
  <si>
    <t>PEDROZO PEDROZO MARYORIS</t>
  </si>
  <si>
    <t>PED**** PED**** MAR*****</t>
  </si>
  <si>
    <t>39021670</t>
  </si>
  <si>
    <t>FLOREZ MARMOL YANETH</t>
  </si>
  <si>
    <t>FLO*** MAR*** YAN***</t>
  </si>
  <si>
    <t>39022390</t>
  </si>
  <si>
    <t>SEGOVIA CHAVEZ MERLY</t>
  </si>
  <si>
    <t>SEG**** CHA*** MER**</t>
  </si>
  <si>
    <t>39022541</t>
  </si>
  <si>
    <t>ALQUERQUE ALVEAR EVERLINDA</t>
  </si>
  <si>
    <t>ALQ****** ALV*** EVE******</t>
  </si>
  <si>
    <t>39022821</t>
  </si>
  <si>
    <t>NIETO VEGA ANA MARIA</t>
  </si>
  <si>
    <t>NIE** VEG* ANA MAR**</t>
  </si>
  <si>
    <t>39022915</t>
  </si>
  <si>
    <t>VIDES SANCHEZ MILENA</t>
  </si>
  <si>
    <t>VID** SAN**** MIL***</t>
  </si>
  <si>
    <t>39023291</t>
  </si>
  <si>
    <t>CUELLO RUIZ WENDYS SOFIA</t>
  </si>
  <si>
    <t>CUE*** RUI* WEN*** SOF**</t>
  </si>
  <si>
    <t>39023557</t>
  </si>
  <si>
    <t>DURAN GUTIERREZ RUBIS ESTHER</t>
  </si>
  <si>
    <t>DUR** GUT****** RUB** EST***</t>
  </si>
  <si>
    <t>39023787</t>
  </si>
  <si>
    <t>OLIVEROS OLIVEROS YOHANA</t>
  </si>
  <si>
    <t>OLI***** OLI***** YOH***</t>
  </si>
  <si>
    <t>39024002</t>
  </si>
  <si>
    <t>AMARIS MORENO ERIKA PAOLA</t>
  </si>
  <si>
    <t>AMA*** MOR*** ERI** PAO**</t>
  </si>
  <si>
    <t>39024015</t>
  </si>
  <si>
    <t>PUELLO GONZALEZ ILENA PATRICIA</t>
  </si>
  <si>
    <t>PUE*** GON***** ILE** PAT*****</t>
  </si>
  <si>
    <t>39029325</t>
  </si>
  <si>
    <t>BORNACHERA ALTAMAR MARINA ISABEL</t>
  </si>
  <si>
    <t>BOR******* ALT**** MAR*** ISA***</t>
  </si>
  <si>
    <t>39029332</t>
  </si>
  <si>
    <t>JIMENO ORTIZ RAFAELA</t>
  </si>
  <si>
    <t>JIM*** ORT** RAF****</t>
  </si>
  <si>
    <t>39029357</t>
  </si>
  <si>
    <t>DE LA CRUZ CANDANOZA ELENA MERCEDES</t>
  </si>
  <si>
    <t>DE LA CRU* CAN****** ELE** MER*****</t>
  </si>
  <si>
    <t>39029626</t>
  </si>
  <si>
    <t>BORREGO SALAS MARGARITA SOFIA</t>
  </si>
  <si>
    <t>BOR**** SAL** MAR****** SOF**</t>
  </si>
  <si>
    <t>39029778</t>
  </si>
  <si>
    <t>CUELLO GAMEZ CARMEN ALICIA</t>
  </si>
  <si>
    <t>CUE*** GAM** CAR*** ALI***</t>
  </si>
  <si>
    <t>39030072</t>
  </si>
  <si>
    <t>ARRIETA CHARRIS GEMA DEL CARMEN</t>
  </si>
  <si>
    <t>ARR**** CHA**** GEM* DEL CAR***</t>
  </si>
  <si>
    <t>39030308</t>
  </si>
  <si>
    <t>GRANADOS URIELES PAULINA MERCEDES</t>
  </si>
  <si>
    <t>GRA***** URI**** PAU**** MER*****</t>
  </si>
  <si>
    <t>39030329</t>
  </si>
  <si>
    <t>GOMEZ VELASCO GLADYS AMANDA</t>
  </si>
  <si>
    <t>GOM** VEL**** GLA*** AMA***</t>
  </si>
  <si>
    <t>39030364</t>
  </si>
  <si>
    <t>TORREGROSA ARMELLA EDITH CECILIA</t>
  </si>
  <si>
    <t>TOR******* ARM**** EDI** CEC****</t>
  </si>
  <si>
    <t>39030494</t>
  </si>
  <si>
    <t>DIAZ MONTESINO IRIS ESTHER</t>
  </si>
  <si>
    <t>DIA* MON****** IRI* EST***</t>
  </si>
  <si>
    <t>39030522</t>
  </si>
  <si>
    <t>BERMUDEZ GARCIA ANA ELISA</t>
  </si>
  <si>
    <t>BER***** GAR*** ANA ELI**</t>
  </si>
  <si>
    <t>39030529</t>
  </si>
  <si>
    <t>GALUE BERMUDEZ ANA BERTHA</t>
  </si>
  <si>
    <t>GAL** BER***** ANA BER***</t>
  </si>
  <si>
    <t>39030598</t>
  </si>
  <si>
    <t>CAHUANA FONTALVO JUDITH ESTHER</t>
  </si>
  <si>
    <t>CAH**** FON***** JUD*** EST***</t>
  </si>
  <si>
    <t>39030703</t>
  </si>
  <si>
    <t>HERNANDEZ TETE KATIA PATRICIA</t>
  </si>
  <si>
    <t>HER****** TET* KAT** PAT*****</t>
  </si>
  <si>
    <t>39030842</t>
  </si>
  <si>
    <t>MOZO RACINES MARIA DEL ROSARIO</t>
  </si>
  <si>
    <t>MOZ* RAC**** MAR** DEL ROS****</t>
  </si>
  <si>
    <t>39030850</t>
  </si>
  <si>
    <t>DURAN FORNARIS AMIRA ALICIA</t>
  </si>
  <si>
    <t>DUR** FOR***** AMI** ALI***</t>
  </si>
  <si>
    <t>39031157</t>
  </si>
  <si>
    <t>RAAD PEDROZO LIDSIA MARIA</t>
  </si>
  <si>
    <t>RAA* PED**** LID*** MAR**</t>
  </si>
  <si>
    <t>39031216</t>
  </si>
  <si>
    <t>LOPEZ BORJA JOSEFINA</t>
  </si>
  <si>
    <t>LOP** BOR** JOS*****</t>
  </si>
  <si>
    <t>39031331</t>
  </si>
  <si>
    <t>PEREA DIAZ GRANADOS ANA DOLORES</t>
  </si>
  <si>
    <t>PER** DIA* GRA***** ANA DOL****</t>
  </si>
  <si>
    <t>39031518</t>
  </si>
  <si>
    <t>MARQUEZ GUERRERO MYRIAM MIREYA</t>
  </si>
  <si>
    <t>MAR**** GUE***** MYR*** MIR***</t>
  </si>
  <si>
    <t>39031680</t>
  </si>
  <si>
    <t>PEÑA DEL VALLE BEATRIZ ELENA</t>
  </si>
  <si>
    <t>PEÑ* DEL VAL** BEA**** ELE**</t>
  </si>
  <si>
    <t>39031749</t>
  </si>
  <si>
    <t>JUVINAO GARCIA GLORIA ESTHER</t>
  </si>
  <si>
    <t>JUV**** GAR*** GLO*** EST***</t>
  </si>
  <si>
    <t>39031752</t>
  </si>
  <si>
    <t>LOCARNO RODRIGUEZ ALEJANDRINA MERCEDES</t>
  </si>
  <si>
    <t>LOC**** ROD****** ALE******** MER*****</t>
  </si>
  <si>
    <t>39031856</t>
  </si>
  <si>
    <t>CANCHANO DE RAMIREZ JUANA DE DIOS</t>
  </si>
  <si>
    <t>CAN***** DE RAM**** JUA** DE DIO*</t>
  </si>
  <si>
    <t>39031860</t>
  </si>
  <si>
    <t>BALLEN ESPAÑA NELLYS CECILIA</t>
  </si>
  <si>
    <t>BAL*** ESP*** NEL*** CEC****</t>
  </si>
  <si>
    <t>39031891</t>
  </si>
  <si>
    <t>URIELES DE CAMARGO MIRIAN</t>
  </si>
  <si>
    <t>URI**** DE CAM**** MIR***</t>
  </si>
  <si>
    <t>39031965</t>
  </si>
  <si>
    <t>LOPEZ GOMEZ PIEDAD DEL ROSARIO</t>
  </si>
  <si>
    <t>LOP** GOM** PIE*** DEL ROS****</t>
  </si>
  <si>
    <t>39032168</t>
  </si>
  <si>
    <t>MOLINA REDONDO XIOMARA de jesus</t>
  </si>
  <si>
    <t>MOL*** RED**** XIO**** de jes**</t>
  </si>
  <si>
    <t>39032181</t>
  </si>
  <si>
    <t>HERRERA REALES SARA JULIA</t>
  </si>
  <si>
    <t>HER**** REA*** SAR* JUL**</t>
  </si>
  <si>
    <t>39032241</t>
  </si>
  <si>
    <t>NIGRINIS IRREÑO URSULA MARIA</t>
  </si>
  <si>
    <t>NIG***** IRR*** URS*** MAR**</t>
  </si>
  <si>
    <t>39032347</t>
  </si>
  <si>
    <t>POMARICO MIER LICEDT MARIA</t>
  </si>
  <si>
    <t>POM***** MIE* LIC*** MAR**</t>
  </si>
  <si>
    <t>39032377</t>
  </si>
  <si>
    <t>RAMIREZ EGUIS EDITH</t>
  </si>
  <si>
    <t>RAM**** EGU** EDI**</t>
  </si>
  <si>
    <t>39032389</t>
  </si>
  <si>
    <t>NUÑEZ SUAREZ AGUSTINA ELOISA</t>
  </si>
  <si>
    <t>NUÑ** SUA*** AGU***** ELO***</t>
  </si>
  <si>
    <t>39032465</t>
  </si>
  <si>
    <t>BERDUGO GARCIA MARITZA ESTHER</t>
  </si>
  <si>
    <t>BER**** GAR*** MAR**** EST***</t>
  </si>
  <si>
    <t>39032712</t>
  </si>
  <si>
    <t>ROMERO DE PEÑA LUZ AURORA</t>
  </si>
  <si>
    <t>ROM*** DE PEÑ* LUZ AUR***</t>
  </si>
  <si>
    <t>39033005</t>
  </si>
  <si>
    <t>HERNANDEZ CANTILLO LIBIA ESTHER</t>
  </si>
  <si>
    <t>HER****** CAN***** LIB** EST***</t>
  </si>
  <si>
    <t>39033040</t>
  </si>
  <si>
    <t>OROZCO RACINES JANETH BEATRIZ</t>
  </si>
  <si>
    <t>ORO*** RAC**** JAN*** BEA****</t>
  </si>
  <si>
    <t>39033073</t>
  </si>
  <si>
    <t>PERALTA SALAMANCA MARTHA LIGIA</t>
  </si>
  <si>
    <t>PER**** SAL****** MAR*** LIG**</t>
  </si>
  <si>
    <t>39033175</t>
  </si>
  <si>
    <t>CABALLERO NORIEGA SILVIA ROSA</t>
  </si>
  <si>
    <t>CAB****** NOR**** SIL*** ROS*</t>
  </si>
  <si>
    <t>39033190</t>
  </si>
  <si>
    <t>DEAZ VASQUEZ ADIVES</t>
  </si>
  <si>
    <t>DEA* VAS**** ADI***</t>
  </si>
  <si>
    <t>39033230</t>
  </si>
  <si>
    <t>ORTEGA BOLAÑO DOLORES MARIA</t>
  </si>
  <si>
    <t>ORT*** BOL*** DOL**** MAR**</t>
  </si>
  <si>
    <t>39033546</t>
  </si>
  <si>
    <t>TORRES SIERRA DIVINA ESTHER</t>
  </si>
  <si>
    <t>TOR*** SIE*** DIV*** EST***</t>
  </si>
  <si>
    <t>39033626</t>
  </si>
  <si>
    <t>ECHENIQUE NUÑEZ HEYLEEN PATRICIA</t>
  </si>
  <si>
    <t>ECH****** NUÑ** HEY**** PAT*****</t>
  </si>
  <si>
    <t>39033949</t>
  </si>
  <si>
    <t>ACOSTA CASTILLO FARIDES MERCEDES</t>
  </si>
  <si>
    <t>ACO*** CAS***** FAR**** MER*****</t>
  </si>
  <si>
    <t>39033952</t>
  </si>
  <si>
    <t>PAZ INFANTE ARACELYS CECILIA</t>
  </si>
  <si>
    <t>PAZ INF**** ARA***** CEC****</t>
  </si>
  <si>
    <t>39033963</t>
  </si>
  <si>
    <t>AVENDAÑO CASTRO BEATRIZ ELENA</t>
  </si>
  <si>
    <t>AVE***** CAS*** BEA**** ELE**</t>
  </si>
  <si>
    <t>39034081</t>
  </si>
  <si>
    <t>URIELES ARAUJO MIRIAN MARIA</t>
  </si>
  <si>
    <t>URI**** ARA*** MIR*** MAR**</t>
  </si>
  <si>
    <t>39034093</t>
  </si>
  <si>
    <t>JIMENO THOMAS YANETH CECILIA</t>
  </si>
  <si>
    <t>JIM*** THO*** YAN*** CEC****</t>
  </si>
  <si>
    <t>39034094</t>
  </si>
  <si>
    <t>CRESPO PONCE OMAIRA JESUS</t>
  </si>
  <si>
    <t>CRE*** PON** OMA*** JES**</t>
  </si>
  <si>
    <t>39034151</t>
  </si>
  <si>
    <t>DE LA ASUNCION CASTRO AURA CELINA</t>
  </si>
  <si>
    <t>DE LA ASU***** CAS*** AUR* CEL***</t>
  </si>
  <si>
    <t>39034189</t>
  </si>
  <si>
    <t>GONZALEZ MONSALVO ROSINA EDITH</t>
  </si>
  <si>
    <t>GON***** MON***** ROS*** EDI**</t>
  </si>
  <si>
    <t>39034398</t>
  </si>
  <si>
    <t>RUIZ BELEÑO MARITZA BEATRIZ</t>
  </si>
  <si>
    <t>RUI* BEL*** MAR**** BEA****</t>
  </si>
  <si>
    <t>39034568</t>
  </si>
  <si>
    <t>ROBLES PEREA MARTHA CECILIA</t>
  </si>
  <si>
    <t>ROB*** PER** MAR*** CEC****</t>
  </si>
  <si>
    <t>39034708</t>
  </si>
  <si>
    <t>ALGARIN GREGORI CENET DEL ROSARIO</t>
  </si>
  <si>
    <t>ALG**** GRE**** CEN** DEL ROS****</t>
  </si>
  <si>
    <t>39034714</t>
  </si>
  <si>
    <t>HERNANDEZ ZARATE AIXA</t>
  </si>
  <si>
    <t>HER****** ZAR*** AIX*</t>
  </si>
  <si>
    <t>39034715</t>
  </si>
  <si>
    <t>IBARRA MALDONADO ROSMERY MARIA</t>
  </si>
  <si>
    <t>IBA*** MAL****** ROS**** MAR**</t>
  </si>
  <si>
    <t>39034721</t>
  </si>
  <si>
    <t>SANDOVAL SANCHEZ LEONOR DEL SOCORRO</t>
  </si>
  <si>
    <t>SAN***** SAN**** LEO*** DEL SOC****</t>
  </si>
  <si>
    <t>39034737</t>
  </si>
  <si>
    <t>CELEDON GOMEZ CIDIA CECILIA</t>
  </si>
  <si>
    <t>CEL**** GOM** CID** CEC****</t>
  </si>
  <si>
    <t>39034892</t>
  </si>
  <si>
    <t>SILVA GOMEZ XIOMARA AMPARO</t>
  </si>
  <si>
    <t>SIL** GOM** XIO**** AMP***</t>
  </si>
  <si>
    <t>39045354</t>
  </si>
  <si>
    <t>HERNANDEZ BLANCO ROSA MARIA</t>
  </si>
  <si>
    <t>HER****** BLA*** ROS* MAR**</t>
  </si>
  <si>
    <t>39045445</t>
  </si>
  <si>
    <t>ARANGO JARAMILLO KEYLA PATRICIA</t>
  </si>
  <si>
    <t>ARA*** JAR****** KEY** PAT*****</t>
  </si>
  <si>
    <t>39045514</t>
  </si>
  <si>
    <t>ANDRADE RAMOS ANGELICA MARIA</t>
  </si>
  <si>
    <t>AND**** RAM** ANG***** MAR**</t>
  </si>
  <si>
    <t>39045893</t>
  </si>
  <si>
    <t>PINEDA CASTILLO KATIANA MARTHA</t>
  </si>
  <si>
    <t>PIN*** CAS***** KAT**** MAR***</t>
  </si>
  <si>
    <t>39046273</t>
  </si>
  <si>
    <t>SALGADO MENDOZA CARMEN JULIA</t>
  </si>
  <si>
    <t>SAL**** MEN**** CAR*** JUL**</t>
  </si>
  <si>
    <t>39046332</t>
  </si>
  <si>
    <t>PONZON RODRIGUEZ ROSA LINDA</t>
  </si>
  <si>
    <t>PON*** ROD****** ROS* LIN**</t>
  </si>
  <si>
    <t>39047042</t>
  </si>
  <si>
    <t>ARIZA GUTIERREZ YENNIS MARIA</t>
  </si>
  <si>
    <t>ARI** GUT****** YEN*** MAR**</t>
  </si>
  <si>
    <t>39047399</t>
  </si>
  <si>
    <t>SUAREZ GOMEZ MARIA ELIZABETH</t>
  </si>
  <si>
    <t>SUA*** GOM** MAR** ELI******</t>
  </si>
  <si>
    <t>39047614</t>
  </si>
  <si>
    <t>DIAZ OLMOS KATIUSKA LAUDITH</t>
  </si>
  <si>
    <t>DIA* OLM** KAT***** LAU****</t>
  </si>
  <si>
    <t>39048141</t>
  </si>
  <si>
    <t>TRONCOSO FREYLE SULERYS MILENA</t>
  </si>
  <si>
    <t>TRO***** FRE*** SUL**** MIL***</t>
  </si>
  <si>
    <t>39048699</t>
  </si>
  <si>
    <t>MIRANDA REYES SINDY PATRICIA</t>
  </si>
  <si>
    <t>MIR**** REY** SIN** PAT*****</t>
  </si>
  <si>
    <t>39049001</t>
  </si>
  <si>
    <t>MORENO GARCIA DANITH</t>
  </si>
  <si>
    <t>MOR*** GAR*** DAN***</t>
  </si>
  <si>
    <t>39049331</t>
  </si>
  <si>
    <t>ARRIETA PRADO MARIA VICTORIA</t>
  </si>
  <si>
    <t>ARR**** PRA** MAR** VIC*****</t>
  </si>
  <si>
    <t>39049353</t>
  </si>
  <si>
    <t>LOPEZ MOZO KAREN SAMARA</t>
  </si>
  <si>
    <t>LOP** MOZ* KAR** SAM***</t>
  </si>
  <si>
    <t>39049927</t>
  </si>
  <si>
    <t>HERNANDEZ FRANCO MILENA PATRICIA</t>
  </si>
  <si>
    <t>HER****** FRA*** MIL*** PAT*****</t>
  </si>
  <si>
    <t>39050097</t>
  </si>
  <si>
    <t>GUTIERREZ MERIÑO OSIRIS</t>
  </si>
  <si>
    <t>GUT****** MER*** OSI***</t>
  </si>
  <si>
    <t>39055303</t>
  </si>
  <si>
    <t>BARROS MENDOZA TULIA ROSA</t>
  </si>
  <si>
    <t>BAR*** MEN**** TUL** ROS*</t>
  </si>
  <si>
    <t>39055411</t>
  </si>
  <si>
    <t>DE LA HOZ ESCOBAR LILIA ELVIRA</t>
  </si>
  <si>
    <t>DE LA HOZ ESC**** LIL** ELV***</t>
  </si>
  <si>
    <t>39055633</t>
  </si>
  <si>
    <t>PEÑALOZA MARTES FABIOLA ESTHER</t>
  </si>
  <si>
    <t>PEÑ***** MAR*** FAB**** EST***</t>
  </si>
  <si>
    <t>39055730</t>
  </si>
  <si>
    <t>FRAGOSO IGLESIAS MARIA TERESA</t>
  </si>
  <si>
    <t>FRA**** IGL***** MAR** TER***</t>
  </si>
  <si>
    <t>39055775</t>
  </si>
  <si>
    <t>TILANO MOLINA MARIA LUISA</t>
  </si>
  <si>
    <t>TIL*** MOL*** MAR** LUI**</t>
  </si>
  <si>
    <t>39056201</t>
  </si>
  <si>
    <t>DURAN CASTAÑEDA HILARIA PATRICIA</t>
  </si>
  <si>
    <t>DUR** CAS****** HIL**** PAT*****</t>
  </si>
  <si>
    <t>39056246</t>
  </si>
  <si>
    <t>POLO PALOMINO YAMILETH BETSALI</t>
  </si>
  <si>
    <t>POL* PAL***** YAM***** BET****</t>
  </si>
  <si>
    <t>39056294</t>
  </si>
  <si>
    <t>CHARRIS WEFFER ISIDONIA DOLORES</t>
  </si>
  <si>
    <t>CHA**** WEF*** ISI***** DOL****</t>
  </si>
  <si>
    <t>39056367</t>
  </si>
  <si>
    <t>NARVAEZ CORRO GLENIS ESTHER</t>
  </si>
  <si>
    <t>NAR**** COR** GLE*** EST***</t>
  </si>
  <si>
    <t>39056505</t>
  </si>
  <si>
    <t>PABON RICO ROSALBA</t>
  </si>
  <si>
    <t>PAB** RIC* ROS****</t>
  </si>
  <si>
    <t>39056661</t>
  </si>
  <si>
    <t>GONZALEZ ARGOTA LIA MARGARITA</t>
  </si>
  <si>
    <t>GON***** ARG*** LIA MAR******</t>
  </si>
  <si>
    <t>39056870</t>
  </si>
  <si>
    <t>CASTILLO GONZALEZ GENOVEVA ROSA</t>
  </si>
  <si>
    <t>CAS***** GON***** GEN***** ROS*</t>
  </si>
  <si>
    <t>39056893</t>
  </si>
  <si>
    <t>CONSUEGRA FERNANDEZ ANGELICA MARIA</t>
  </si>
  <si>
    <t>CON****** FER****** ANG***** MAR**</t>
  </si>
  <si>
    <t>39057017</t>
  </si>
  <si>
    <t>LOPEZ PEÑA GABRIELA ISABEL</t>
  </si>
  <si>
    <t>LOP** PEÑ* GAB***** ISA***</t>
  </si>
  <si>
    <t>39057321</t>
  </si>
  <si>
    <t>DURAN FONTANILLA ROCIO DEL CARMEN</t>
  </si>
  <si>
    <t>DUR** FON******* ROC** DEL CAR***</t>
  </si>
  <si>
    <t>39057328</t>
  </si>
  <si>
    <t>FONTALVO FANDIÑO ANA ROSA</t>
  </si>
  <si>
    <t>FON***** FAN**** ANA ROS*</t>
  </si>
  <si>
    <t>39057341</t>
  </si>
  <si>
    <t>HERNANDEZ IBARRA GINNA PAOLA</t>
  </si>
  <si>
    <t>HER****** IBA*** GIN** PAO**</t>
  </si>
  <si>
    <t>39057599</t>
  </si>
  <si>
    <t>PABON RICO SUREY MARIA</t>
  </si>
  <si>
    <t>PAB** RIC* SUR** MAR**</t>
  </si>
  <si>
    <t>39057613</t>
  </si>
  <si>
    <t>HENRIQUEZ SALTAREN MARTA KARINA</t>
  </si>
  <si>
    <t>HEN****** SAL***** MAR** KAR***</t>
  </si>
  <si>
    <t>39057656</t>
  </si>
  <si>
    <t>ESCALANTE GIL KAREN MARGARITA</t>
  </si>
  <si>
    <t>ESC****** GIL KAR** MAR******</t>
  </si>
  <si>
    <t>39057679</t>
  </si>
  <si>
    <t>BARROS PEREZ ROSILIN</t>
  </si>
  <si>
    <t>BAR*** PER** ROS****</t>
  </si>
  <si>
    <t>39057796</t>
  </si>
  <si>
    <t>ESTRADA BARCELO YINA PATRICIA</t>
  </si>
  <si>
    <t>EST**** BAR**** YIN* PAT*****</t>
  </si>
  <si>
    <t>39057932</t>
  </si>
  <si>
    <t>ARREGOCES MALDONADO KATY REGINA</t>
  </si>
  <si>
    <t>ARR****** MAL****** KAT* REG***</t>
  </si>
  <si>
    <t>39057963</t>
  </si>
  <si>
    <t>LUNA LOPEZ ANDREA MARIA</t>
  </si>
  <si>
    <t>LUN* LOP** AND*** MAR**</t>
  </si>
  <si>
    <t>39058025</t>
  </si>
  <si>
    <t>RADA BARRIOS SAMIRA DE LA CONCEPCION</t>
  </si>
  <si>
    <t>RAD* BAR**** SAM*** DE LA CON*******</t>
  </si>
  <si>
    <t>39058096</t>
  </si>
  <si>
    <t>CLEVES JIMENEZ ADRIANA</t>
  </si>
  <si>
    <t>CLE*** JIM**** ADR****</t>
  </si>
  <si>
    <t>39058140</t>
  </si>
  <si>
    <t>PACHECO MARTINEZ PRISCILA MARIA</t>
  </si>
  <si>
    <t>PAC**** MAR***** PRI***** MAR**</t>
  </si>
  <si>
    <t>39058176</t>
  </si>
  <si>
    <t>ALTAHONA LOPEZ MARIJOSE</t>
  </si>
  <si>
    <t>ALT***** LOP** MAR*****</t>
  </si>
  <si>
    <t>39058252</t>
  </si>
  <si>
    <t>VALDERRAMA POLO SHIRLY ELENA</t>
  </si>
  <si>
    <t>VAL******* POL* SHI*** ELE**</t>
  </si>
  <si>
    <t>39058406</t>
  </si>
  <si>
    <t>MELENDRES NAVARRO MARIA DEL CARMEN</t>
  </si>
  <si>
    <t>MEL****** NAV**** MAR** DEL CAR***</t>
  </si>
  <si>
    <t>39058570</t>
  </si>
  <si>
    <t>MARTINEZ ALBUS EDELFA JOHANA</t>
  </si>
  <si>
    <t>MAR***** ALB** EDE*** JOH***</t>
  </si>
  <si>
    <t>39058658</t>
  </si>
  <si>
    <t>PINILLO PAREJO MARYOLYS ELENA</t>
  </si>
  <si>
    <t>PIN**** PAR*** MAR***** ELE**</t>
  </si>
  <si>
    <t>39058741</t>
  </si>
  <si>
    <t>LAVALLE DURAN LIZETH JOHANA</t>
  </si>
  <si>
    <t>LAV**** DUR** LIZ*** JOH***</t>
  </si>
  <si>
    <t>39058878</t>
  </si>
  <si>
    <t>CALA QUINTERO OLGA</t>
  </si>
  <si>
    <t>CAL* QUI***** OLG*</t>
  </si>
  <si>
    <t>39058886</t>
  </si>
  <si>
    <t>MELENDREZ POLO INGRIS JOHANA</t>
  </si>
  <si>
    <t>MEL****** POL* ING*** JOH***</t>
  </si>
  <si>
    <t>39058995</t>
  </si>
  <si>
    <t>FELIPE VILLALOBOS LILIANA MARGARITA</t>
  </si>
  <si>
    <t>FEL*** VIL******* LIL**** MAR******</t>
  </si>
  <si>
    <t>39059001</t>
  </si>
  <si>
    <t>IBARRA OROZCO LUZDARY ISABEL</t>
  </si>
  <si>
    <t>IBA*** ORO*** LUZ**** ISA***</t>
  </si>
  <si>
    <t>39059086</t>
  </si>
  <si>
    <t>CONRADO ACOSTA YANETH JUDITH</t>
  </si>
  <si>
    <t>CON**** ACO*** YAN*** JUD***</t>
  </si>
  <si>
    <t>39059104</t>
  </si>
  <si>
    <t>BERMUDEZ OROZCO ADRIANA PATRICIA</t>
  </si>
  <si>
    <t>BER***** ORO*** ADR**** PAT*****</t>
  </si>
  <si>
    <t>39059130</t>
  </si>
  <si>
    <t>TOSCANO NORIEGA YAZMIN DEL PILAR</t>
  </si>
  <si>
    <t>TOS**** NOR**** YAZ*** DEL PIL**</t>
  </si>
  <si>
    <t>39059239</t>
  </si>
  <si>
    <t>SEVILLA DE LA ROSA KORINA ISABEL</t>
  </si>
  <si>
    <t>SEV**** DE LA ROS* KOR*** ISA***</t>
  </si>
  <si>
    <t>39059325</t>
  </si>
  <si>
    <t>LEAL AVILA MARISOL ELENA</t>
  </si>
  <si>
    <t>LEA* AVI** MAR**** ELE**</t>
  </si>
  <si>
    <t>39059369</t>
  </si>
  <si>
    <t>MORA VELASQUEZ ALICIA DEL SOCORRO</t>
  </si>
  <si>
    <t>MOR* VEL****** ALI*** DEL SOC****</t>
  </si>
  <si>
    <t>39059432</t>
  </si>
  <si>
    <t>ESCOBAR ALVAREZ INGRID YOLIMA</t>
  </si>
  <si>
    <t>ESC**** ALV**** ING*** YOL***</t>
  </si>
  <si>
    <t>39059442</t>
  </si>
  <si>
    <t>OJITO DUARTE OLGA LUCIA</t>
  </si>
  <si>
    <t>OJI** DUA*** OLG* LUC**</t>
  </si>
  <si>
    <t>39059557</t>
  </si>
  <si>
    <t>TORREGROZA MELENDEZ DEIVYS MARIA</t>
  </si>
  <si>
    <t>TOR******* MEL***** DEI*** MAR**</t>
  </si>
  <si>
    <t>39059612</t>
  </si>
  <si>
    <t>SIRTORY ARONNA MARINELLA DE JESUS</t>
  </si>
  <si>
    <t>SIR**** ARO*** MAR****** DE JES**</t>
  </si>
  <si>
    <t>39059654</t>
  </si>
  <si>
    <t>HERNANDEZ SARMIENTO SANDRA MILENA</t>
  </si>
  <si>
    <t>HER****** SAR****** SAN*** MIL***</t>
  </si>
  <si>
    <t>39059686</t>
  </si>
  <si>
    <t>MIRANDA OCHOA DIDIMA MARGARITA</t>
  </si>
  <si>
    <t>MIR**** OCH** DID*** MAR******</t>
  </si>
  <si>
    <t>39059698</t>
  </si>
  <si>
    <t>CANTILLO PEREIRA MARTA CECILIA</t>
  </si>
  <si>
    <t>CAN***** PER**** MAR** CEC****</t>
  </si>
  <si>
    <t>39059705</t>
  </si>
  <si>
    <t>PEREZ RINCON DALIA ROSA</t>
  </si>
  <si>
    <t>PER** RIN*** DAL** ROS*</t>
  </si>
  <si>
    <t>39059752</t>
  </si>
  <si>
    <t>MENDOZA ROJAS ANAIS MARIA</t>
  </si>
  <si>
    <t>MEN**** ROJ** ANA** MAR**</t>
  </si>
  <si>
    <t>39059859</t>
  </si>
  <si>
    <t>BOLIVAR PAREDES OMAIRA SEGUNDA</t>
  </si>
  <si>
    <t>BOL**** PAR**** OMA*** SEG****</t>
  </si>
  <si>
    <t>39066113</t>
  </si>
  <si>
    <t>OSPINO TOVAR LILIA DE JESUS</t>
  </si>
  <si>
    <t>OSP*** TOV** LIL** DE JES**</t>
  </si>
  <si>
    <t>39066143</t>
  </si>
  <si>
    <t>BARRIOS RADA ESMERALDA MARIA</t>
  </si>
  <si>
    <t>BAR**** RAD* ESM****** MAR**</t>
  </si>
  <si>
    <t>39066314</t>
  </si>
  <si>
    <t>PACHECO MUGNO VILMA BEATRIZ</t>
  </si>
  <si>
    <t>PAC**** MUG** VIL** BEA****</t>
  </si>
  <si>
    <t>39066319</t>
  </si>
  <si>
    <t>GAMEZ SILVA NELLY EDITH</t>
  </si>
  <si>
    <t>GAM** SIL** NEL** EDI**</t>
  </si>
  <si>
    <t>39066392</t>
  </si>
  <si>
    <t>OSPINO GAMEZ DIVA EDITH</t>
  </si>
  <si>
    <t>OSP*** GAM** DIV* EDI**</t>
  </si>
  <si>
    <t>39066457</t>
  </si>
  <si>
    <t>HERRERA LOBO LUZ MARINA</t>
  </si>
  <si>
    <t>HER**** LOB* LUZ MAR***</t>
  </si>
  <si>
    <t>39066485</t>
  </si>
  <si>
    <t>FONSECA ROJAS LEILA GUILLERMINA</t>
  </si>
  <si>
    <t>FON**** ROJ** LEI** GUI********</t>
  </si>
  <si>
    <t>39066500</t>
  </si>
  <si>
    <t>PACHECO ROJAS GILMA CECILIA</t>
  </si>
  <si>
    <t>PAC**** ROJ** GIL** CEC****</t>
  </si>
  <si>
    <t>39066613</t>
  </si>
  <si>
    <t>OSPINO PEÑA CARMEN DE JESUS</t>
  </si>
  <si>
    <t>OSP*** PEÑ* CAR*** DE JES**</t>
  </si>
  <si>
    <t>39066649</t>
  </si>
  <si>
    <t>HERNANDEZ RANGEL NELLY</t>
  </si>
  <si>
    <t>HER****** RAN*** NEL**</t>
  </si>
  <si>
    <t>39066718</t>
  </si>
  <si>
    <t>PEÑA SANCHEZ PIEDAD DE JESUS</t>
  </si>
  <si>
    <t>PEÑ* SAN**** PIE*** DE JES**</t>
  </si>
  <si>
    <t>39066739</t>
  </si>
  <si>
    <t>ORTIZ ESPAÑA LILIA MARINA</t>
  </si>
  <si>
    <t>ORT** ESP*** LIL** MAR***</t>
  </si>
  <si>
    <t>39066882</t>
  </si>
  <si>
    <t>PEREZ VERGARA FARIDIS ESTHER</t>
  </si>
  <si>
    <t>PER** VER**** FAR**** EST***</t>
  </si>
  <si>
    <t>39066936</t>
  </si>
  <si>
    <t>MARRIAGA FIGUEROA ISABEL MARIA</t>
  </si>
  <si>
    <t>MAR***** FIG***** ISA*** MAR**</t>
  </si>
  <si>
    <t>39066963</t>
  </si>
  <si>
    <t>ANDRADE BARRIOS MAYELYS MARIA</t>
  </si>
  <si>
    <t>AND**** BAR**** MAY**** MAR**</t>
  </si>
  <si>
    <t>39067001</t>
  </si>
  <si>
    <t>ANDRADE PIZARRO YANETH CECILIA</t>
  </si>
  <si>
    <t>AND**** PIZ**** YAN*** CEC****</t>
  </si>
  <si>
    <t>39067074</t>
  </si>
  <si>
    <t>GAMEZ SILVA YENNYS DEL CARMEN</t>
  </si>
  <si>
    <t>GAM** SIL** YEN*** DEL CAR***</t>
  </si>
  <si>
    <t>39067093</t>
  </si>
  <si>
    <t>OSPINO JIMENEZ LUZMILA</t>
  </si>
  <si>
    <t>OSP*** JIM**** LUZ****</t>
  </si>
  <si>
    <t>39067105</t>
  </si>
  <si>
    <t>BARRIOS BARRIOS ELIDIS DEL CARMEN</t>
  </si>
  <si>
    <t>BAR**** BAR**** ELI*** DEL CAR***</t>
  </si>
  <si>
    <t>39067126</t>
  </si>
  <si>
    <t>CASTRO ESCOBAR LUZ ESTHER</t>
  </si>
  <si>
    <t>CAS*** ESC**** LUZ EST***</t>
  </si>
  <si>
    <t>39067162</t>
  </si>
  <si>
    <t>ANAYA MACIAS DEYSI DEL CARMEN</t>
  </si>
  <si>
    <t>ANA** MAC*** DEY** DEL CAR***</t>
  </si>
  <si>
    <t>39067214</t>
  </si>
  <si>
    <t>ARIAS PASOS MARELLYS ESTHER</t>
  </si>
  <si>
    <t>ARI** PAS** MAR***** EST***</t>
  </si>
  <si>
    <t>39067217</t>
  </si>
  <si>
    <t>RIVERA OSPINO ROCIO DE JESUS</t>
  </si>
  <si>
    <t>RIV*** OSP*** ROC** DE JES**</t>
  </si>
  <si>
    <t>39067219</t>
  </si>
  <si>
    <t>TAMARA PONTON YANIRIS CRISTINA</t>
  </si>
  <si>
    <t>TAM*** PON*** YAN**** CRI*****</t>
  </si>
  <si>
    <t>39067235</t>
  </si>
  <si>
    <t>TORRES DIAZ ZORAIDA ESTHER</t>
  </si>
  <si>
    <t>TOR*** DIA* ZOR**** EST***</t>
  </si>
  <si>
    <t>39067269</t>
  </si>
  <si>
    <t>MERIÑO OSPINO ESPERANZA DE JESUS</t>
  </si>
  <si>
    <t>MER*** OSP*** ESP****** DE JES**</t>
  </si>
  <si>
    <t>39067275</t>
  </si>
  <si>
    <t>BLANCO POSADA MARIA DELSOCORRO</t>
  </si>
  <si>
    <t>BLA*** POS*** MAR** DEL*******</t>
  </si>
  <si>
    <t>39067278</t>
  </si>
  <si>
    <t>OJEDA RICAURTE EUSEBIA ASTRID</t>
  </si>
  <si>
    <t>OJE** RIC***** EUS**** AST***</t>
  </si>
  <si>
    <t>39067279</t>
  </si>
  <si>
    <t>PICALUA HERRERA MARIA BERNARDA</t>
  </si>
  <si>
    <t>PIC**** HER**** MAR** BER*****</t>
  </si>
  <si>
    <t>39067300</t>
  </si>
  <si>
    <t>TOVAR GARCIA LUZ DARIS</t>
  </si>
  <si>
    <t>TOV** GAR*** LUZ DAR**</t>
  </si>
  <si>
    <t>39067324</t>
  </si>
  <si>
    <t>ANDRADE PIZARRO ROSMERY</t>
  </si>
  <si>
    <t>AND**** PIZ**** ROS****</t>
  </si>
  <si>
    <t>39067348</t>
  </si>
  <si>
    <t>CORTINA BATISTA ASTRID DEL ROCIO</t>
  </si>
  <si>
    <t>COR**** BAT**** AST*** DEL ROC**</t>
  </si>
  <si>
    <t>39067375</t>
  </si>
  <si>
    <t>PEREZ GARCIA MARY LUZ</t>
  </si>
  <si>
    <t>PER** GAR*** MAR* LUZ</t>
  </si>
  <si>
    <t>39067379</t>
  </si>
  <si>
    <t>RADA MOLINARES ROSA ESTHER</t>
  </si>
  <si>
    <t>RAD* MOL****** ROS* EST***</t>
  </si>
  <si>
    <t>39067385</t>
  </si>
  <si>
    <t>MUGNO ANDRADE GISELA DE JESUS</t>
  </si>
  <si>
    <t>MUG** AND**** GIS*** DE JES**</t>
  </si>
  <si>
    <t>39067405</t>
  </si>
  <si>
    <t>JIMENEZ OSPINO MINELBA DEL SOCORRO</t>
  </si>
  <si>
    <t>JIM**** OSP*** MIN**** DEL SOC****</t>
  </si>
  <si>
    <t>39067457</t>
  </si>
  <si>
    <t>QUIROZ CAMPOS YINETH CECILIA</t>
  </si>
  <si>
    <t>QUI*** CAM*** YIN*** CEC****</t>
  </si>
  <si>
    <t>39067509</t>
  </si>
  <si>
    <t>ARIAS PASSO NORYS LUZ</t>
  </si>
  <si>
    <t>ARI** PAS** NOR** LUZ</t>
  </si>
  <si>
    <t>39067544</t>
  </si>
  <si>
    <t>OROZCO DE ANGEL MARELBYS ESTHER</t>
  </si>
  <si>
    <t>ORO*** DE ANG** MAR***** EST***</t>
  </si>
  <si>
    <t>39067583</t>
  </si>
  <si>
    <t>VISBAL TOVAR DELIA ROSA</t>
  </si>
  <si>
    <t>VIS*** TOV** DEL** ROS*</t>
  </si>
  <si>
    <t>39067593</t>
  </si>
  <si>
    <t>TORRES ARAGON AMIRA ISABEL</t>
  </si>
  <si>
    <t>TOR*** ARA*** AMI** ISA***</t>
  </si>
  <si>
    <t>39067626</t>
  </si>
  <si>
    <t>TOVAR GARCIA ENA ESTHER</t>
  </si>
  <si>
    <t>TOV** GAR*** ENA EST***</t>
  </si>
  <si>
    <t>39067764</t>
  </si>
  <si>
    <t>ANDRADE PIZARRO SANDRA ZENITH</t>
  </si>
  <si>
    <t>AND**** PIZ**** SAN*** ZEN***</t>
  </si>
  <si>
    <t>39067782</t>
  </si>
  <si>
    <t>FIGUEROA RADA FRANCIA ELENA</t>
  </si>
  <si>
    <t>FIG***** RAD* FRA**** ELE**</t>
  </si>
  <si>
    <t>39067799</t>
  </si>
  <si>
    <t>OSPINO SANCHEZ YADIRA MARIA</t>
  </si>
  <si>
    <t>OSP*** SAN**** YAD*** MAR**</t>
  </si>
  <si>
    <t>39067802</t>
  </si>
  <si>
    <t>PADILLA CABARCAS MARELVIS ESTHER</t>
  </si>
  <si>
    <t>PAD**** CAB***** MAR***** EST***</t>
  </si>
  <si>
    <t>39067845</t>
  </si>
  <si>
    <t>ANAYA TAPIAS JUANA ESTHER</t>
  </si>
  <si>
    <t>ANA** TAP*** JUA** EST***</t>
  </si>
  <si>
    <t>39067871</t>
  </si>
  <si>
    <t>BARRIOS DELGADO DANIS JUDITH</t>
  </si>
  <si>
    <t>BAR**** DEL**** DAN** JUD***</t>
  </si>
  <si>
    <t>39067872</t>
  </si>
  <si>
    <t>DIAZ TORRES RUBIELA ESTHER</t>
  </si>
  <si>
    <t>DIA* TOR*** RUB**** EST***</t>
  </si>
  <si>
    <t>39067882</t>
  </si>
  <si>
    <t>GARCIA BUSTAMANTE CONSUELO YANETH</t>
  </si>
  <si>
    <t>GAR*** BUS******* CON***** YAN***</t>
  </si>
  <si>
    <t>39067903</t>
  </si>
  <si>
    <t>TORRES TERAN GLORIA INES</t>
  </si>
  <si>
    <t>TOR*** TER** GLO*** INE*</t>
  </si>
  <si>
    <t>39067904</t>
  </si>
  <si>
    <t>HERNANDEZ NIETO MARLY DE JESUS</t>
  </si>
  <si>
    <t>HER****** NIE** MAR** DE JES**</t>
  </si>
  <si>
    <t>39067910</t>
  </si>
  <si>
    <t>BARRIOS PALACIN ADALGIZA LUZ</t>
  </si>
  <si>
    <t>BAR**** PAL**** ADA***** LUZ</t>
  </si>
  <si>
    <t>39067931</t>
  </si>
  <si>
    <t>FONSECA CHARRIS PRESENTACION</t>
  </si>
  <si>
    <t>FON**** CHA**** PRE*********</t>
  </si>
  <si>
    <t>39067938</t>
  </si>
  <si>
    <t>OSPINO CASTILLO LUZ ESTELLA</t>
  </si>
  <si>
    <t>OSP*** CAS***** LUZ EST****</t>
  </si>
  <si>
    <t>39067940</t>
  </si>
  <si>
    <t>CHIQUILLO MARTINEZ MITZI YENITH</t>
  </si>
  <si>
    <t>CHI****** MAR***** MIT** YEN***</t>
  </si>
  <si>
    <t>39068015</t>
  </si>
  <si>
    <t>PEÑA CAMPO MARIDUBIS</t>
  </si>
  <si>
    <t>PEÑ* CAM** MAR******</t>
  </si>
  <si>
    <t>39068017</t>
  </si>
  <si>
    <t>ARAGON BAENA LUZ MARINA</t>
  </si>
  <si>
    <t>ARA*** BAE** LUZ MAR***</t>
  </si>
  <si>
    <t>39068146</t>
  </si>
  <si>
    <t>CUGIA PEÑA JANETH PATRICIA</t>
  </si>
  <si>
    <t>CUG** PEÑ* JAN*** PAT*****</t>
  </si>
  <si>
    <t>39068226</t>
  </si>
  <si>
    <t>SIERRA FLOREZ LUZ ENITH</t>
  </si>
  <si>
    <t>SIE*** FLO*** LUZ ENI**</t>
  </si>
  <si>
    <t>39068262</t>
  </si>
  <si>
    <t>PALLARES PALMERA ANA FABIOLA</t>
  </si>
  <si>
    <t>PAL***** PAL**** ANA FAB****</t>
  </si>
  <si>
    <t>39068290</t>
  </si>
  <si>
    <t>GAMEZ BARRIOS LILA MARINA</t>
  </si>
  <si>
    <t>GAM** BAR**** LIL* MAR***</t>
  </si>
  <si>
    <t>39068334</t>
  </si>
  <si>
    <t>BUELVAS OSPINO CLAUDIA REGINA</t>
  </si>
  <si>
    <t>BUE**** OSP*** CLA**** REG***</t>
  </si>
  <si>
    <t>39068355</t>
  </si>
  <si>
    <t>VERGARA SAUMETH ROSMIRA ISABEL</t>
  </si>
  <si>
    <t>VER**** SAU**** ROS**** ISA***</t>
  </si>
  <si>
    <t>39068390</t>
  </si>
  <si>
    <t>PEÑARANDA FIGUEROA MARTHA LUCIA</t>
  </si>
  <si>
    <t>PEÑ****** FIG***** MAR*** LUC**</t>
  </si>
  <si>
    <t>39068396</t>
  </si>
  <si>
    <t>DE ANGEL OROZCO FRANCIA ELENA</t>
  </si>
  <si>
    <t>DE ANG** ORO*** FRA**** ELE**</t>
  </si>
  <si>
    <t>39068404</t>
  </si>
  <si>
    <t>ORTIZ RADA MARCIANA</t>
  </si>
  <si>
    <t>ORT** RAD* MAR*****</t>
  </si>
  <si>
    <t>39068414</t>
  </si>
  <si>
    <t>BUELVAS OSPINO MARIA EUGENIA</t>
  </si>
  <si>
    <t>BUE**** OSP*** MAR** EUG****</t>
  </si>
  <si>
    <t>39068464</t>
  </si>
  <si>
    <t>FRIERI ESCOBAR CECILIA MARIA</t>
  </si>
  <si>
    <t>FRI*** ESC**** CEC**** MAR**</t>
  </si>
  <si>
    <t>39068518</t>
  </si>
  <si>
    <t>NORIEGA DE AVILA SANDRA ELENA</t>
  </si>
  <si>
    <t>NOR**** DE AVI** SAN*** ELE**</t>
  </si>
  <si>
    <t>39068519</t>
  </si>
  <si>
    <t>MALDONADO SIERRA MARY LUZ</t>
  </si>
  <si>
    <t>MAL****** SIE*** MAR* LUZ</t>
  </si>
  <si>
    <t>39068520</t>
  </si>
  <si>
    <t>GARCIA BARRIOS ESPERANZA ESTHER</t>
  </si>
  <si>
    <t>GAR*** BAR**** ESP****** EST***</t>
  </si>
  <si>
    <t>39068525</t>
  </si>
  <si>
    <t>YARURO CASTILLA VICTORIA ISABEL</t>
  </si>
  <si>
    <t>YAR*** CAS***** VIC***** ISA***</t>
  </si>
  <si>
    <t>39068573</t>
  </si>
  <si>
    <t>MACHADO VERGARA YARLENIS ESTHER</t>
  </si>
  <si>
    <t>MAC**** VER**** YAR***** EST***</t>
  </si>
  <si>
    <t>39068698</t>
  </si>
  <si>
    <t>OSPINO CASTILLO YESICA DEL ROSARIO</t>
  </si>
  <si>
    <t>OSP*** CAS***** YES*** DEL ROS****</t>
  </si>
  <si>
    <t>39068709</t>
  </si>
  <si>
    <t>TOVAR GARCIA NUBIA ESTHER</t>
  </si>
  <si>
    <t>TOV** GAR*** NUB** EST***</t>
  </si>
  <si>
    <t>39068717</t>
  </si>
  <si>
    <t>BARRAZA CALANCHE BERTHA MARIA</t>
  </si>
  <si>
    <t>BAR**** CAL***** BER*** MAR**</t>
  </si>
  <si>
    <t>39068758</t>
  </si>
  <si>
    <t>CASTRO OSPINO MARIA DEL ROSARIO</t>
  </si>
  <si>
    <t>CAS*** OSP*** MAR** DEL ROS****</t>
  </si>
  <si>
    <t>39068980</t>
  </si>
  <si>
    <t>JIMENEZ MEZA MONICA PATRICIA</t>
  </si>
  <si>
    <t>JIM**** MEZ* MON*** PAT*****</t>
  </si>
  <si>
    <t>39068981</t>
  </si>
  <si>
    <t>MARQUEZ VEGA MILADYS ESTHER</t>
  </si>
  <si>
    <t>MAR**** VEG* MIL**** EST***</t>
  </si>
  <si>
    <t>39069009</t>
  </si>
  <si>
    <t>OSPINO BETHIN SANDRA ZENITH</t>
  </si>
  <si>
    <t>OSP*** BET*** SAN*** ZEN***</t>
  </si>
  <si>
    <t>39069018</t>
  </si>
  <si>
    <t>BERTEL BLANCO YOMARIS ESTER</t>
  </si>
  <si>
    <t>BER*** BLA*** YOM**** EST**</t>
  </si>
  <si>
    <t>39069100</t>
  </si>
  <si>
    <t>RIOS LIÑAN EMILCE ESTHER</t>
  </si>
  <si>
    <t>RIO* LIÑ** EMI*** EST***</t>
  </si>
  <si>
    <t>39069102</t>
  </si>
  <si>
    <t>TORRES OCHOA CIRA PATRICIA</t>
  </si>
  <si>
    <t>TOR*** OCH** CIR* PAT*****</t>
  </si>
  <si>
    <t>39069164</t>
  </si>
  <si>
    <t>PADILLA BAENA LUZ ESTELLA</t>
  </si>
  <si>
    <t>PAD**** BAE** LUZ EST****</t>
  </si>
  <si>
    <t>39069241</t>
  </si>
  <si>
    <t>MERIÑO GOMEZ YESENIS JUDITH</t>
  </si>
  <si>
    <t>MER*** GOM** YES**** JUD***</t>
  </si>
  <si>
    <t>39069242</t>
  </si>
  <si>
    <t>SANCHEZ TORRES LINA JUDITH</t>
  </si>
  <si>
    <t>SAN**** TOR*** LIN* JUD***</t>
  </si>
  <si>
    <t>39069278</t>
  </si>
  <si>
    <t>FARELO RIOS MILENA PATRICIA</t>
  </si>
  <si>
    <t>FAR*** RIO* MIL*** PAT*****</t>
  </si>
  <si>
    <t>39069284</t>
  </si>
  <si>
    <t>FONSECA HERRERA URIS NAITH</t>
  </si>
  <si>
    <t>FON**** HER**** URI* NAI**</t>
  </si>
  <si>
    <t>39069315</t>
  </si>
  <si>
    <t>GAMEZ ALTAMAR OSIRIS ESTHER</t>
  </si>
  <si>
    <t>GAM** ALT**** OSI*** EST***</t>
  </si>
  <si>
    <t>39069362</t>
  </si>
  <si>
    <t>GARCIA BATISTA ALEXANDRA</t>
  </si>
  <si>
    <t>GAR*** BAT**** ALE******</t>
  </si>
  <si>
    <t>39069509</t>
  </si>
  <si>
    <t>CALVO BARROS MARIA DE JESUS</t>
  </si>
  <si>
    <t>CAL** BAR*** MAR** DE JES**</t>
  </si>
  <si>
    <t>39069527</t>
  </si>
  <si>
    <t>PASO VILLALOBOS LEINIS MARIA</t>
  </si>
  <si>
    <t>PAS* VIL******* LEI*** MAR**</t>
  </si>
  <si>
    <t>39069554</t>
  </si>
  <si>
    <t>CASTILLO HERNANDEZ MARELBYS ROCIO</t>
  </si>
  <si>
    <t>CAS***** HER****** MAR***** ROC**</t>
  </si>
  <si>
    <t>39069577</t>
  </si>
  <si>
    <t>CARDENAS CASTILLO PATRICIA ESTHER</t>
  </si>
  <si>
    <t>CAR***** CAS***** PAT***** EST***</t>
  </si>
  <si>
    <t>39069616</t>
  </si>
  <si>
    <t>ATENCIO ACUÑA ENEMITH DEL ROSARIO</t>
  </si>
  <si>
    <t>ATE**** ACU** ENE**** DEL ROS****</t>
  </si>
  <si>
    <t>39069626</t>
  </si>
  <si>
    <t>MENDOZA MUÑOZ NALGYS DEL ROSARIO</t>
  </si>
  <si>
    <t>MEN**** MUÑ** NAL*** DEL ROS****</t>
  </si>
  <si>
    <t>39069716</t>
  </si>
  <si>
    <t>HURTADO REGALAO ANA LUCIA</t>
  </si>
  <si>
    <t>HUR**** REG**** ANA LUC**</t>
  </si>
  <si>
    <t>39069751</t>
  </si>
  <si>
    <t>BARRIOS ARZUAGA LILIANA ESTHER</t>
  </si>
  <si>
    <t>BAR**** ARZ**** LIL**** EST***</t>
  </si>
  <si>
    <t>39069801</t>
  </si>
  <si>
    <t>DIAZ MERCADO MARTHA CECILIA</t>
  </si>
  <si>
    <t>DIA* MER**** MAR*** CEC****</t>
  </si>
  <si>
    <t>39069873</t>
  </si>
  <si>
    <t>HERNANDEZ CASTILLO ELVIRA EDITH</t>
  </si>
  <si>
    <t>HER****** CAS***** ELV*** EDI**</t>
  </si>
  <si>
    <t>39069910</t>
  </si>
  <si>
    <t>BOLIVAR RIVERA KENIS JOHANA</t>
  </si>
  <si>
    <t>BOL**** RIV*** KEN** JOH***</t>
  </si>
  <si>
    <t>39069921</t>
  </si>
  <si>
    <t>QUIROZ BENITEZ MARIA DE LAS MERCEDES</t>
  </si>
  <si>
    <t>QUI*** BEN**** MAR** DE LAS MER*****</t>
  </si>
  <si>
    <t>39070003</t>
  </si>
  <si>
    <t>MOSQUERA FONSECA LUZ ESTHER</t>
  </si>
  <si>
    <t>MOS***** FON**** LUZ EST***</t>
  </si>
  <si>
    <t>39070011</t>
  </si>
  <si>
    <t>BELEÑO QUIROZ MINELLA MALENA</t>
  </si>
  <si>
    <t>BEL*** QUI*** MIN**** MAL***</t>
  </si>
  <si>
    <t>39070214</t>
  </si>
  <si>
    <t>SOTO VILLALBA ANA ROSA</t>
  </si>
  <si>
    <t>SOT* VIL***** ANA ROS*</t>
  </si>
  <si>
    <t>39070284</t>
  </si>
  <si>
    <t>MEZA CASTILLO IRIS DELCARMEN</t>
  </si>
  <si>
    <t>MEZ* CAS***** IRI* DEL******</t>
  </si>
  <si>
    <t>39070288</t>
  </si>
  <si>
    <t>SILVA BENITEZ ALCIRA DE JESUS</t>
  </si>
  <si>
    <t>SIL** BEN**** ALC*** DE JES**</t>
  </si>
  <si>
    <t>39070351</t>
  </si>
  <si>
    <t>ESCOBAR MEZA MARIA DE LA CRUZ</t>
  </si>
  <si>
    <t>ESC**** MEZ* MAR** DE LA CRU*</t>
  </si>
  <si>
    <t>39070805</t>
  </si>
  <si>
    <t>CABRALES SANCHEZ ETEL JANETH</t>
  </si>
  <si>
    <t>CAB***** SAN**** ETE* JAN***</t>
  </si>
  <si>
    <t>39070879</t>
  </si>
  <si>
    <t>VARGAS DE LA HOZ MILEDYS BEATRIZ</t>
  </si>
  <si>
    <t>VAR*** DE LA HOZ MIL**** BEA****</t>
  </si>
  <si>
    <t>39070900</t>
  </si>
  <si>
    <t>CONTRERAS CONTRERAS ELIA LENITH</t>
  </si>
  <si>
    <t>CON****** CON****** ELI* LEN***</t>
  </si>
  <si>
    <t>39070902</t>
  </si>
  <si>
    <t>GUTIERREZ RADA YARID JOHANA</t>
  </si>
  <si>
    <t>GUT****** RAD* YAR** JOH***</t>
  </si>
  <si>
    <t>39070996</t>
  </si>
  <si>
    <t>OSPINO ARRIETA LAUDITH ROSA</t>
  </si>
  <si>
    <t>OSP*** ARR**** LAU**** ROS*</t>
  </si>
  <si>
    <t>39071060</t>
  </si>
  <si>
    <t>VILLA ROMERO DIANA DEL CARMEN</t>
  </si>
  <si>
    <t>VIL** ROM*** DIA** DEL CAR***</t>
  </si>
  <si>
    <t>39071062</t>
  </si>
  <si>
    <t>BARRIOS PALMERA LILIANA PATRICIA</t>
  </si>
  <si>
    <t>BAR**** PAL**** LIL**** PAT*****</t>
  </si>
  <si>
    <t>39071097</t>
  </si>
  <si>
    <t>GAMARRA OVIEDO YESENIA ESTHER</t>
  </si>
  <si>
    <t>GAM**** OVI*** YES**** EST***</t>
  </si>
  <si>
    <t>39071148</t>
  </si>
  <si>
    <t>TERNERA VENERA ANA MAR¿A</t>
  </si>
  <si>
    <t>TER**** VEN*** ANA MAR**</t>
  </si>
  <si>
    <t>39071158</t>
  </si>
  <si>
    <t>DE LA HOZ VARGAS JOHANNA GREGORIA</t>
  </si>
  <si>
    <t>3C1</t>
  </si>
  <si>
    <t>DE LA HOZ VAR*** JOH**** GRE*****</t>
  </si>
  <si>
    <t>39071287</t>
  </si>
  <si>
    <t>RODRIGUEZ MARTELO YOLIMA PATRICIA</t>
  </si>
  <si>
    <t>ROD****** MAR**** YOL*** PAT*****</t>
  </si>
  <si>
    <t>39071497</t>
  </si>
  <si>
    <t>BELEÑO OSPINO LILA MARGARITA</t>
  </si>
  <si>
    <t>BEL*** OSP*** LIL* MAR******</t>
  </si>
  <si>
    <t>39071692</t>
  </si>
  <si>
    <t>BARRIOS MERCADO LISBETH KARINA</t>
  </si>
  <si>
    <t>BAR**** MER**** LIS**** KAR***</t>
  </si>
  <si>
    <t>39071873</t>
  </si>
  <si>
    <t>VILORIA ANDRADE LEIDYS DEL CARMEN</t>
  </si>
  <si>
    <t>VIL**** AND**** LEI*** DEL CAR***</t>
  </si>
  <si>
    <t>39071919</t>
  </si>
  <si>
    <t>LEGUIA BARRAZA DUNIA ISABEL</t>
  </si>
  <si>
    <t>LEG*** BAR**** DUN** ISA***</t>
  </si>
  <si>
    <t>39072219</t>
  </si>
  <si>
    <t>LOPEZ PEREZ DINA MILENA</t>
  </si>
  <si>
    <t>LOP** PER** DIN* MIL***</t>
  </si>
  <si>
    <t>39086579</t>
  </si>
  <si>
    <t>ARAGON ARIZA AURA LEONOR</t>
  </si>
  <si>
    <t>ARA*** ARI** AUR* LEO***</t>
  </si>
  <si>
    <t>39086580</t>
  </si>
  <si>
    <t>ARAGON ARIZA ESMERALDA</t>
  </si>
  <si>
    <t>ARA*** ARI** ESM******</t>
  </si>
  <si>
    <t>39086959</t>
  </si>
  <si>
    <t>MARTINEZ WHITE MARINA LUCIA</t>
  </si>
  <si>
    <t>MAR***** WHI** MAR*** LUC**</t>
  </si>
  <si>
    <t>39087006</t>
  </si>
  <si>
    <t>ULLOA GUZMAN LUZ MARINA</t>
  </si>
  <si>
    <t>ULL** GUZ*** LUZ MAR***</t>
  </si>
  <si>
    <t>39087132</t>
  </si>
  <si>
    <t>BARRIOS LOPEZ EVA MARIA</t>
  </si>
  <si>
    <t>BAR**** LOP** EVA MAR**</t>
  </si>
  <si>
    <t>39087238</t>
  </si>
  <si>
    <t>CABALLERO CASTRO NELLY ESTHER</t>
  </si>
  <si>
    <t>CAB****** CAS*** NEL** EST***</t>
  </si>
  <si>
    <t>39087593</t>
  </si>
  <si>
    <t>DIAZ FUENTES BETTY MARINA</t>
  </si>
  <si>
    <t>DIA* FUE**** BET** MAR***</t>
  </si>
  <si>
    <t>39087680</t>
  </si>
  <si>
    <t>PALLARES CORTINA ROCIO DEL CARMEN</t>
  </si>
  <si>
    <t>PAL***** COR**** ROC** DEL CAR***</t>
  </si>
  <si>
    <t>39087729</t>
  </si>
  <si>
    <t>MADRID BOHORQUEZ LILIA ESTHER</t>
  </si>
  <si>
    <t>MAD*** BOH****** LIL** EST***</t>
  </si>
  <si>
    <t>39087750</t>
  </si>
  <si>
    <t>PEÑARANDA HERNANDEZ HELENA MERCEDES</t>
  </si>
  <si>
    <t>PEÑ****** HER****** HEL*** MER*****</t>
  </si>
  <si>
    <t>39087789</t>
  </si>
  <si>
    <t>CAMARGO CABALLERO LOURDES DE JESUS</t>
  </si>
  <si>
    <t>CAM**** CAB****** LOU**** DE JES**</t>
  </si>
  <si>
    <t>39087797</t>
  </si>
  <si>
    <t>DEL GUERCIO CASTRO ANA DEICY</t>
  </si>
  <si>
    <t>DEL GUE**** CAS*** ANA DEI**</t>
  </si>
  <si>
    <t>39087834</t>
  </si>
  <si>
    <t>RADA HERNANDEZ TERESA DEL CARMEN</t>
  </si>
  <si>
    <t>RAD* HER****** TER*** DEL CAR***</t>
  </si>
  <si>
    <t>39087957</t>
  </si>
  <si>
    <t>ACUÑA MARBELLO ENA EDITH</t>
  </si>
  <si>
    <t>ACU** MAR***** ENA EDI**</t>
  </si>
  <si>
    <t>39088066</t>
  </si>
  <si>
    <t>CUBIDES DE BALLESTAS NUBIA YOLANDA</t>
  </si>
  <si>
    <t>CUB**** DE BAL****** NUB** YOL****</t>
  </si>
  <si>
    <t>39088073</t>
  </si>
  <si>
    <t>MEDINA LIZCANO FIDELINA MARIA</t>
  </si>
  <si>
    <t>MED*** LIZ**** FID***** MAR**</t>
  </si>
  <si>
    <t>39088080</t>
  </si>
  <si>
    <t>PADILLA DE LA HOZ NELLY EDITH</t>
  </si>
  <si>
    <t>PAD**** DE LA HOZ NEL** EDI**</t>
  </si>
  <si>
    <t>39088200</t>
  </si>
  <si>
    <t>DE ANGEL ZERDA BLANCA CECILIA</t>
  </si>
  <si>
    <t>DE ANG** ZER** BLA*** CEC****</t>
  </si>
  <si>
    <t>39088257</t>
  </si>
  <si>
    <t>MORA VENERA YOLANDA JUDITH</t>
  </si>
  <si>
    <t>MOR* VEN*** YOL**** JUD***</t>
  </si>
  <si>
    <t>39088285</t>
  </si>
  <si>
    <t>MELENDEZ MEJIA MARTHA MARIA</t>
  </si>
  <si>
    <t>MEL***** MEJ** MAR*** MAR**</t>
  </si>
  <si>
    <t>39088322</t>
  </si>
  <si>
    <t>CAMPO PALLARES SEVIGNE ROSARIO</t>
  </si>
  <si>
    <t>CAM** PAL***** SEV**** ROS****</t>
  </si>
  <si>
    <t>39088332</t>
  </si>
  <si>
    <t>AVILA VERA DELNA LEONOR</t>
  </si>
  <si>
    <t>AVI** VER* DEL** LEO***</t>
  </si>
  <si>
    <t>39088349</t>
  </si>
  <si>
    <t>GIL DE LA HOZ ALBA REGINA</t>
  </si>
  <si>
    <t>GIL DE LA HOZ ALB* REG***</t>
  </si>
  <si>
    <t>39088390</t>
  </si>
  <si>
    <t>OSPINO DE JARABA NUNIDIA ESPERANZA</t>
  </si>
  <si>
    <t>OSP*** DE JAR*** NUN**** ESP******</t>
  </si>
  <si>
    <t>39088416</t>
  </si>
  <si>
    <t>PALENCIA BLANCO DALGY</t>
  </si>
  <si>
    <t>PAL***** BLA*** DAL**</t>
  </si>
  <si>
    <t>39088575</t>
  </si>
  <si>
    <t>MEZA RAMOS ENITH CECILIA</t>
  </si>
  <si>
    <t>MEZ* RAM** ENI** CEC****</t>
  </si>
  <si>
    <t>39088632</t>
  </si>
  <si>
    <t>REYES CACERES ESPERANZA DE JESUS</t>
  </si>
  <si>
    <t>REY** CAC**** ESP****** DE JES**</t>
  </si>
  <si>
    <t>39088639</t>
  </si>
  <si>
    <t>BARRIOS DE CERVANTES CARMEN IMELDA</t>
  </si>
  <si>
    <t>BAR**** DE CER****** CAR*** IME***</t>
  </si>
  <si>
    <t>39088691</t>
  </si>
  <si>
    <t>BERDUGO OSPINO GENNY DEL ROSARIO</t>
  </si>
  <si>
    <t>BER**** OSP*** GEN** DEL ROS****</t>
  </si>
  <si>
    <t>39088702</t>
  </si>
  <si>
    <t>RODRIGUEZ TORRES ELENA ROSA</t>
  </si>
  <si>
    <t>ROD****** TOR*** ELE** ROS*</t>
  </si>
  <si>
    <t>39088709</t>
  </si>
  <si>
    <t>MERCADO BERRIO DUBYS MARIA</t>
  </si>
  <si>
    <t>MER**** BER*** DUB** MAR**</t>
  </si>
  <si>
    <t>39088710</t>
  </si>
  <si>
    <t>MERCADO BERRIO ANIDES MARIA</t>
  </si>
  <si>
    <t>MER**** BER*** ANI*** MAR**</t>
  </si>
  <si>
    <t>39088715</t>
  </si>
  <si>
    <t>CUDRIZ LARIOS MARTINA JUDITH</t>
  </si>
  <si>
    <t>CUD*** LAR*** MAR**** JUD***</t>
  </si>
  <si>
    <t>39088805</t>
  </si>
  <si>
    <t>CASTILLO ESPAÑA OLGA CAROLINA</t>
  </si>
  <si>
    <t>CAS***** ESP*** OLG* CAR*****</t>
  </si>
  <si>
    <t>39088855</t>
  </si>
  <si>
    <t>CASTRO GARCIA ROSVERYS MARIA</t>
  </si>
  <si>
    <t>CAS*** GAR*** ROS***** MAR**</t>
  </si>
  <si>
    <t>39088865</t>
  </si>
  <si>
    <t>JARABA MORA EDOCILDA DEL SOCORRO</t>
  </si>
  <si>
    <t>JAR*** MOR* EDO***** DEL SOC****</t>
  </si>
  <si>
    <t>39088867</t>
  </si>
  <si>
    <t>BORRERO GUTIERREZ BELIA ISABEL</t>
  </si>
  <si>
    <t>BOR**** GUT****** BEL** ISA***</t>
  </si>
  <si>
    <t>39088936</t>
  </si>
  <si>
    <t>QUINTERO CACERES MARILYN DEL CARMEN</t>
  </si>
  <si>
    <t>QUI***** CAC**** MAR**** DEL CAR***</t>
  </si>
  <si>
    <t>39088986</t>
  </si>
  <si>
    <t>AYALA FELIZZOLA MARTHA DE JESUS</t>
  </si>
  <si>
    <t>AYA** FEL****** MAR*** DE JES**</t>
  </si>
  <si>
    <t>39089056</t>
  </si>
  <si>
    <t>CORTINA OROZCO CARMEN DE JESUS</t>
  </si>
  <si>
    <t>COR**** ORO*** CAR*** DE JES**</t>
  </si>
  <si>
    <t>39089062</t>
  </si>
  <si>
    <t>LARA ZERDA DENIS ESTHER</t>
  </si>
  <si>
    <t>LAR* ZER** DEN** EST***</t>
  </si>
  <si>
    <t>39089065</t>
  </si>
  <si>
    <t>OSPINO DE NAVARRO DORIS ZENITH</t>
  </si>
  <si>
    <t>OSP*** DE NAV**** DOR** ZEN***</t>
  </si>
  <si>
    <t>39089084</t>
  </si>
  <si>
    <t>NORIEGA PEÑA BETTY RUTH</t>
  </si>
  <si>
    <t>NOR**** PEÑ* BET** RUT*</t>
  </si>
  <si>
    <t>39089098</t>
  </si>
  <si>
    <t>RAMOS BERDUGO RUBY DEL ROSARIO</t>
  </si>
  <si>
    <t>RAM** BER**** RUB* DEL ROS****</t>
  </si>
  <si>
    <t>39089130</t>
  </si>
  <si>
    <t>LOPEZ CASTILLO ANSELMA RUFINA</t>
  </si>
  <si>
    <t>LOP** CAS***** ANS**** RUF***</t>
  </si>
  <si>
    <t>39089152</t>
  </si>
  <si>
    <t>MOLINA MAESTRE DELIA MARIA</t>
  </si>
  <si>
    <t>MOL*** MAE**** DEL** MAR**</t>
  </si>
  <si>
    <t>39089160</t>
  </si>
  <si>
    <t>SAUMETH ROJANO LUZ MARINA</t>
  </si>
  <si>
    <t>SAU**** ROJ*** LUZ MAR***</t>
  </si>
  <si>
    <t>39089164</t>
  </si>
  <si>
    <t>ALMENDRALES CHAMORRO LEDYS ESTHER</t>
  </si>
  <si>
    <t>ALM******** CHA***** LED** EST***</t>
  </si>
  <si>
    <t>39089172</t>
  </si>
  <si>
    <t>MELENDEZ MEJIA YOLANDA MARGARITA</t>
  </si>
  <si>
    <t>MEL***** MEJ** YOL**** MAR******</t>
  </si>
  <si>
    <t>39089192</t>
  </si>
  <si>
    <t>RANGEL GUERRERO MAYIBER DEL CARMEN</t>
  </si>
  <si>
    <t>RAN*** GUE***** MAY**** DEL CAR***</t>
  </si>
  <si>
    <t>39089196</t>
  </si>
  <si>
    <t>MERCADO GARCIA MARIBEL DEL SOCORRO</t>
  </si>
  <si>
    <t>MER**** GAR*** MAR**** DEL SOC****</t>
  </si>
  <si>
    <t>39089247</t>
  </si>
  <si>
    <t>GOMEZ CARO MARIA MARCELINA</t>
  </si>
  <si>
    <t>GOM** CAR* MAR** MAR******</t>
  </si>
  <si>
    <t>39089311</t>
  </si>
  <si>
    <t>GUTIERREZ DE ZABALA VIRGINIA DE JESUS</t>
  </si>
  <si>
    <t>GUT****** DE ZAB*** VIR***** DE JES**</t>
  </si>
  <si>
    <t>39089322</t>
  </si>
  <si>
    <t>DIAZ ACUÑA NURYS ELENA</t>
  </si>
  <si>
    <t>DIA* ACU** NUR** ELE**</t>
  </si>
  <si>
    <t>39089330</t>
  </si>
  <si>
    <t>CABRALES ARROYO SAY STELLA</t>
  </si>
  <si>
    <t>CAB***** ARR*** SAY STE***</t>
  </si>
  <si>
    <t>39089334</t>
  </si>
  <si>
    <t>CASTRO DIAZ MYRIAM ESTHER</t>
  </si>
  <si>
    <t>CAS*** DIA* MYR*** EST***</t>
  </si>
  <si>
    <t>39089335</t>
  </si>
  <si>
    <t>CARDOZO DE ARCO ROSMARY</t>
  </si>
  <si>
    <t>CAR**** DE ARC* ROS****</t>
  </si>
  <si>
    <t>39089337</t>
  </si>
  <si>
    <t>ROCHA TAPIA TULIA AMERICA</t>
  </si>
  <si>
    <t>ROC** TAP** TUL** AME****</t>
  </si>
  <si>
    <t>39089358</t>
  </si>
  <si>
    <t>OSPINO ALANDETE SILVANA DEL SOCORRO</t>
  </si>
  <si>
    <t>OSP*** ALA***** SIL**** DEL SOC****</t>
  </si>
  <si>
    <t>39089408</t>
  </si>
  <si>
    <t>GONZALEZ BERRIO ROQUELINA DEL CARMEN</t>
  </si>
  <si>
    <t>GON***** BER*** ROQ****** DEL CAR***</t>
  </si>
  <si>
    <t>39089532</t>
  </si>
  <si>
    <t>OCHOA ANDRADE DORIS ESTHER</t>
  </si>
  <si>
    <t>OCH** AND**** DOR** EST***</t>
  </si>
  <si>
    <t>39089593</t>
  </si>
  <si>
    <t>RAMOS DE OSPINO LUZ DARY</t>
  </si>
  <si>
    <t>RAM** DE OSP*** LUZ DAR*</t>
  </si>
  <si>
    <t>39089598</t>
  </si>
  <si>
    <t>MENDOZA PADILLA DELVIS CECILIA</t>
  </si>
  <si>
    <t>MEN**** PAD**** DEL*** CEC****</t>
  </si>
  <si>
    <t>39089633</t>
  </si>
  <si>
    <t>ORTIZ PADILLA GLADYS ESTHER</t>
  </si>
  <si>
    <t>ORT** PAD**** GLA*** EST***</t>
  </si>
  <si>
    <t>39089641</t>
  </si>
  <si>
    <t>MORENO CORREA ARACELY MARGOTH</t>
  </si>
  <si>
    <t>MOR*** COR*** ARA**** MAR****</t>
  </si>
  <si>
    <t>39089819</t>
  </si>
  <si>
    <t>TORRES QUIROZ ELVIRA ISABEL</t>
  </si>
  <si>
    <t>TOR*** QUI*** ELV*** ISA***</t>
  </si>
  <si>
    <t>39089836</t>
  </si>
  <si>
    <t>RODRIGUEZ PEÑA MARIA DAMARIS</t>
  </si>
  <si>
    <t>ROD****** PEÑ* MAR** DAM****</t>
  </si>
  <si>
    <t>39089917</t>
  </si>
  <si>
    <t>MOLINA TAPIA ESMERALDA DEL ROSARIO</t>
  </si>
  <si>
    <t>MOL*** TAP** ESM****** DEL ROS****</t>
  </si>
  <si>
    <t>39089920</t>
  </si>
  <si>
    <t>CABALLERO SANTANA LUZ MARINA</t>
  </si>
  <si>
    <t>CAB****** SAN**** LUZ MAR***</t>
  </si>
  <si>
    <t>39090027</t>
  </si>
  <si>
    <t>MOLINA GUERRA MARTHA CECILIA</t>
  </si>
  <si>
    <t>MOL*** GUE*** MAR*** CEC****</t>
  </si>
  <si>
    <t>39090031</t>
  </si>
  <si>
    <t>CONTRERAS DE LEON RUTH CECILIA</t>
  </si>
  <si>
    <t>CON****** DE LEO* RUT* CEC****</t>
  </si>
  <si>
    <t>39090045</t>
  </si>
  <si>
    <t>PEÑALOZA ROYERO NIBIA DEL SOCORRO</t>
  </si>
  <si>
    <t>PEÑ***** ROY*** NIB** DEL SOC****</t>
  </si>
  <si>
    <t>39090058</t>
  </si>
  <si>
    <t>DE ANGEL MARRIAGA AMALFY ZENITH</t>
  </si>
  <si>
    <t>DE ANG** MAR***** AMA*** ZEN***</t>
  </si>
  <si>
    <t>39090084</t>
  </si>
  <si>
    <t>MELENDEZ MEJIA YADIRA ESTHER</t>
  </si>
  <si>
    <t>MEL***** MEJ** YAD*** EST***</t>
  </si>
  <si>
    <t>39090095</t>
  </si>
  <si>
    <t>PUELLO CHAMORRO JACKELINE DE JESUS</t>
  </si>
  <si>
    <t>PUE*** CHA***** JAC****** DE JES**</t>
  </si>
  <si>
    <t>39090096</t>
  </si>
  <si>
    <t>TORRES GIL LEDYS DEL CARMEN</t>
  </si>
  <si>
    <t>TOR*** GIL LED** DEL CAR***</t>
  </si>
  <si>
    <t>39090107</t>
  </si>
  <si>
    <t>FERREIRA LLORENTE AMADA CECILIA</t>
  </si>
  <si>
    <t>FER***** LLO***** AMA** CEC****</t>
  </si>
  <si>
    <t>39090113</t>
  </si>
  <si>
    <t>VISBAL WILCHES SORAYA MARGARITA</t>
  </si>
  <si>
    <t>VIS*** WIL**** SOR*** MAR******</t>
  </si>
  <si>
    <t>39090150</t>
  </si>
  <si>
    <t>BOLAÑO CABALLERO ALMA ROSA</t>
  </si>
  <si>
    <t>BOL*** CAB****** ALM* ROS*</t>
  </si>
  <si>
    <t>39090173</t>
  </si>
  <si>
    <t>CAMARGO SIMANCA IRINA MARIA</t>
  </si>
  <si>
    <t>CAM**** SIM**** IRI** MAR**</t>
  </si>
  <si>
    <t>39090210</t>
  </si>
  <si>
    <t>GONZALEZ ALVARADO SARA MABEL</t>
  </si>
  <si>
    <t>GON***** ALV***** SAR* MAB**</t>
  </si>
  <si>
    <t>39090257</t>
  </si>
  <si>
    <t>JARABA ZAPATA MARIA DEL ROSARIO</t>
  </si>
  <si>
    <t>JAR*** ZAP*** MAR** DEL ROS****</t>
  </si>
  <si>
    <t>39090357</t>
  </si>
  <si>
    <t>CASTRO MOLINA RUBY MARIA</t>
  </si>
  <si>
    <t>CAS*** MOL*** RUB* MAR**</t>
  </si>
  <si>
    <t>39090408</t>
  </si>
  <si>
    <t>MUÑOZ PULGAR EMMA MARIA</t>
  </si>
  <si>
    <t>MUÑ** PUL*** EMM* MAR**</t>
  </si>
  <si>
    <t>39090495</t>
  </si>
  <si>
    <t>ACOSTA MACIAS NUBY DEL SOCORRO</t>
  </si>
  <si>
    <t>ACO*** MAC*** NUB* DEL SOC****</t>
  </si>
  <si>
    <t>39090537</t>
  </si>
  <si>
    <t>DIAZ CASTRILLO NORA ESTHER</t>
  </si>
  <si>
    <t>DIA* CAS****** NOR* EST***</t>
  </si>
  <si>
    <t>39090555</t>
  </si>
  <si>
    <t>DIAZ CABARCAS YANETH DEL CARMEN</t>
  </si>
  <si>
    <t>DIA* CAB***** YAN*** DEL CAR***</t>
  </si>
  <si>
    <t>39090602</t>
  </si>
  <si>
    <t>OROZCO VEGA ELDA CECILIA</t>
  </si>
  <si>
    <t>ORO*** VEG* ELD* CEC****</t>
  </si>
  <si>
    <t>39090604</t>
  </si>
  <si>
    <t>ARAGON BUELVAS REINEIRA DE LA CONCEPCION</t>
  </si>
  <si>
    <t>ARA*** BUE**** REI***** DE LA CON*******</t>
  </si>
  <si>
    <t>39090617</t>
  </si>
  <si>
    <t>RODRIGUEZ MADARRIAGA NORMA JUDITH</t>
  </si>
  <si>
    <t>ROD****** MAD******* NOR** JUD***</t>
  </si>
  <si>
    <t>39090621</t>
  </si>
  <si>
    <t>OSPINO NAVARRO MARITZA DEL SOCORRO</t>
  </si>
  <si>
    <t>OSP*** NAV**** MAR**** DEL SOC****</t>
  </si>
  <si>
    <t>39090624</t>
  </si>
  <si>
    <t>PEÑA NUÑEZ KATTIA REGINA DEL ROSARIO</t>
  </si>
  <si>
    <t>PEÑ* NUÑ** KAT*** REG*** DEL ROS****</t>
  </si>
  <si>
    <t>39090715</t>
  </si>
  <si>
    <t>PERTUZ RODRIGUEZ ELIZABETH</t>
  </si>
  <si>
    <t>PER*** ROD****** ELI******</t>
  </si>
  <si>
    <t>39090719</t>
  </si>
  <si>
    <t>MARTINEZ MARTINEZ ESTHER ROSALIA</t>
  </si>
  <si>
    <t>MAR***** MAR***** EST*** ROS****</t>
  </si>
  <si>
    <t>39090722</t>
  </si>
  <si>
    <t>DELGADO PADILLA JULIA ROSA</t>
  </si>
  <si>
    <t>DEL**** PAD**** JUL** ROS*</t>
  </si>
  <si>
    <t>39090726</t>
  </si>
  <si>
    <t>CASTRO MOLINA ELOISA MIGUELINA</t>
  </si>
  <si>
    <t>CAS*** MOL*** ELO*** MIG******</t>
  </si>
  <si>
    <t>39090728</t>
  </si>
  <si>
    <t>GONZALEZ BERRIO MEUDIS ESPERANZA</t>
  </si>
  <si>
    <t>GON***** BER*** MEU*** ESP******</t>
  </si>
  <si>
    <t>39090754</t>
  </si>
  <si>
    <t>MANZUR MERCADO DALGY JUDITH</t>
  </si>
  <si>
    <t>MAN*** MER**** DAL** JUD***</t>
  </si>
  <si>
    <t>39090882</t>
  </si>
  <si>
    <t>ROYERO MEDINA YOLIS</t>
  </si>
  <si>
    <t>ROY*** MED*** YOL**</t>
  </si>
  <si>
    <t>39090909</t>
  </si>
  <si>
    <t>SALCEDO ORTIZ IBETH CECILIA</t>
  </si>
  <si>
    <t>SAL**** ORT** IBE** CEC****</t>
  </si>
  <si>
    <t>39090952</t>
  </si>
  <si>
    <t>HERRERA BROCHERO ROSIRIS MARIA</t>
  </si>
  <si>
    <t>HER**** BRO***** ROS**** MAR**</t>
  </si>
  <si>
    <t>39090965</t>
  </si>
  <si>
    <t>VENERA ARRIETA ALBA LUZ</t>
  </si>
  <si>
    <t>VEN*** ARR**** ALB* LUZ</t>
  </si>
  <si>
    <t>39090993</t>
  </si>
  <si>
    <t>DIAZ FERREIRA MARLET DEL CARMEN</t>
  </si>
  <si>
    <t>DIA* FER***** MAR*** DEL CAR***</t>
  </si>
  <si>
    <t>39091044</t>
  </si>
  <si>
    <t>CASTRO MOLINA AURA ESTHER</t>
  </si>
  <si>
    <t>CAS*** MOL*** AUR* EST***</t>
  </si>
  <si>
    <t>39091052</t>
  </si>
  <si>
    <t>SAUMETH POMARICO YISELA MARIA</t>
  </si>
  <si>
    <t>SAU**** POM***** YIS*** MAR**</t>
  </si>
  <si>
    <t>39091091</t>
  </si>
  <si>
    <t>ROCHA TAPIA BERENA DEL ROSARIO</t>
  </si>
  <si>
    <t>ROC** TAP** BER*** DEL ROS****</t>
  </si>
  <si>
    <t>39091095</t>
  </si>
  <si>
    <t>ANDRADE SAUMETH YESENIA JACKELINE</t>
  </si>
  <si>
    <t>AND**** SAU**** YES**** JAC******</t>
  </si>
  <si>
    <t>39091110</t>
  </si>
  <si>
    <t>RAMOS BERDUGO ROSALBA DEL CARMEN</t>
  </si>
  <si>
    <t>RAM** BER**** ROS**** DEL CAR***</t>
  </si>
  <si>
    <t>39091122</t>
  </si>
  <si>
    <t>MONTALVO OSPINO EDITH NACIRA</t>
  </si>
  <si>
    <t>MON***** OSP*** EDI** NAC***</t>
  </si>
  <si>
    <t>39091133</t>
  </si>
  <si>
    <t>CACERES HOYOS DANITH ESTHER</t>
  </si>
  <si>
    <t>CAC**** HOY** DAN*** EST***</t>
  </si>
  <si>
    <t>39091166</t>
  </si>
  <si>
    <t>SOTO RADA ALIDA EUGENIA</t>
  </si>
  <si>
    <t>SOT* RAD* ALI** EUG****</t>
  </si>
  <si>
    <t>39091186</t>
  </si>
  <si>
    <t>ORTIZ GONZALEZ AMALFI ISABEL</t>
  </si>
  <si>
    <t>ORT** GON***** AMA*** ISA***</t>
  </si>
  <si>
    <t>39091197</t>
  </si>
  <si>
    <t>FONTALVO SANTANA NELLYS ESTHER</t>
  </si>
  <si>
    <t>FON***** SAN**** NEL*** EST***</t>
  </si>
  <si>
    <t>39091231</t>
  </si>
  <si>
    <t>MARTINEZ VERGARA ANA FERMINA</t>
  </si>
  <si>
    <t>MAR***** VER**** ANA FER****</t>
  </si>
  <si>
    <t>39091252</t>
  </si>
  <si>
    <t>SAUMETH GUTIERREZ EDA BEATRIZ</t>
  </si>
  <si>
    <t>SAU**** GUT****** EDA BEA****</t>
  </si>
  <si>
    <t>39091257</t>
  </si>
  <si>
    <t>CABALLERO SUAREZ YESENIA DEL ROSARIO</t>
  </si>
  <si>
    <t>CAB****** SUA*** YES**** DEL ROS****</t>
  </si>
  <si>
    <t>39091300</t>
  </si>
  <si>
    <t>RODRIGUEZ MARBELLO ANA FERMINA</t>
  </si>
  <si>
    <t>ROD****** MAR***** ANA FER****</t>
  </si>
  <si>
    <t>39091376</t>
  </si>
  <si>
    <t>NAVARRO DE ANGEL ADILERIS MARIA</t>
  </si>
  <si>
    <t>NAV**** DE ANG** ADI***** MAR**</t>
  </si>
  <si>
    <t>39091380</t>
  </si>
  <si>
    <t>VISBAL DIAZ ELVIRA ESTHER</t>
  </si>
  <si>
    <t>VIS*** DIA* ELV*** EST***</t>
  </si>
  <si>
    <t>39091424</t>
  </si>
  <si>
    <t>TORRES MOLINA MARIA TERESA</t>
  </si>
  <si>
    <t>TOR*** MOL*** MAR** TER***</t>
  </si>
  <si>
    <t>39091433</t>
  </si>
  <si>
    <t>SANEZ CAMPO ISABEL MARIA</t>
  </si>
  <si>
    <t>SAN** CAM** ISA*** MAR**</t>
  </si>
  <si>
    <t>39091511</t>
  </si>
  <si>
    <t>ESPAÑA RUIZ ESPERANZA DEL CARMEN</t>
  </si>
  <si>
    <t>ESP*** RUI* ESP****** DEL CAR***</t>
  </si>
  <si>
    <t>39091533</t>
  </si>
  <si>
    <t>CERVANTES PADILLA MARIA CONCEPCION</t>
  </si>
  <si>
    <t>CER****** PAD**** MAR** CON*******</t>
  </si>
  <si>
    <t>39091579</t>
  </si>
  <si>
    <t>GARCIA OSPINO LUZ CELYS</t>
  </si>
  <si>
    <t>GAR*** OSP*** LUZ CEL**</t>
  </si>
  <si>
    <t>39091587</t>
  </si>
  <si>
    <t>DELGADO ZARAT NEIDYS DEL SOCORRO</t>
  </si>
  <si>
    <t>DEL**** ZAR** NEI*** DEL SOC****</t>
  </si>
  <si>
    <t>39091592</t>
  </si>
  <si>
    <t>CABALLERO OROZCO ARCADIA ISABEL</t>
  </si>
  <si>
    <t>CAB****** ORO*** ARC**** ISA***</t>
  </si>
  <si>
    <t>39091597</t>
  </si>
  <si>
    <t>MEZA MEDINA ALCIRA ROSA</t>
  </si>
  <si>
    <t>MEZ* MED*** ALC*** ROS*</t>
  </si>
  <si>
    <t>39091639</t>
  </si>
  <si>
    <t>LOPEZ BELLO MARLENIS DEL CARMEN</t>
  </si>
  <si>
    <t>LOP** BEL** MAR***** DEL CAR***</t>
  </si>
  <si>
    <t>39091656</t>
  </si>
  <si>
    <t>CORTINA GUZMAN MARTHA ELENA</t>
  </si>
  <si>
    <t>COR**** GUZ*** MAR*** ELE**</t>
  </si>
  <si>
    <t>39091704</t>
  </si>
  <si>
    <t>ROYERO MEDINA MELVIS</t>
  </si>
  <si>
    <t>ROY*** MED*** MEL***</t>
  </si>
  <si>
    <t>39091712</t>
  </si>
  <si>
    <t>ESPAÑA ORTEGA DAMARIS DE JESUS</t>
  </si>
  <si>
    <t>ESP*** ORT*** DAM**** DE JES**</t>
  </si>
  <si>
    <t>39091725</t>
  </si>
  <si>
    <t>CAMARGO PEREZ LERCEY PATRICIA</t>
  </si>
  <si>
    <t>CAM**** PER** LER*** PAT*****</t>
  </si>
  <si>
    <t>39091729</t>
  </si>
  <si>
    <t>DIAZ ACUÑA DENIS CECILIA</t>
  </si>
  <si>
    <t>DIA* ACU** DEN** CEC****</t>
  </si>
  <si>
    <t>39091760</t>
  </si>
  <si>
    <t>RAMOS BERDUGO MARELVIS DEL ROSARIO</t>
  </si>
  <si>
    <t>RAM** BER**** MAR***** DEL ROS****</t>
  </si>
  <si>
    <t>39091772</t>
  </si>
  <si>
    <t>CERPA ARRIETA SILVIA AMPARAO</t>
  </si>
  <si>
    <t>CER** ARR**** SIL*** AMP****</t>
  </si>
  <si>
    <t>39091779</t>
  </si>
  <si>
    <t>CABALLERO OSPINO DAMIRIS YOLANDA</t>
  </si>
  <si>
    <t>CAB****** OSP*** DAM**** YOL****</t>
  </si>
  <si>
    <t>39091795</t>
  </si>
  <si>
    <t>ANAYA GAMEZ ANICETA MARIA</t>
  </si>
  <si>
    <t>ANA** GAM** ANI**** MAR**</t>
  </si>
  <si>
    <t>39091802</t>
  </si>
  <si>
    <t>PALENCIA VILLEGAS SILEMY MARINA</t>
  </si>
  <si>
    <t>PAL***** VIL***** SIL*** MAR***</t>
  </si>
  <si>
    <t>39091813</t>
  </si>
  <si>
    <t>AYALA ADIE LUZ ESTELA</t>
  </si>
  <si>
    <t>AYA** ADI* LUZ EST***</t>
  </si>
  <si>
    <t>39091826</t>
  </si>
  <si>
    <t>VEGA ARAGON OSIRIS YOLANDA</t>
  </si>
  <si>
    <t>VEG* ARA*** OSI*** YOL****</t>
  </si>
  <si>
    <t>39091835</t>
  </si>
  <si>
    <t>DE LEON ACUÑA NANCY ELVIRA</t>
  </si>
  <si>
    <t>DE LEO* ACU** NAN** ELV***</t>
  </si>
  <si>
    <t>39091844</t>
  </si>
  <si>
    <t>PALENCIA PACHECO EMILSE DEL CARMEN</t>
  </si>
  <si>
    <t>PAL***** PAC**** EMI*** DEL CAR***</t>
  </si>
  <si>
    <t>39091846</t>
  </si>
  <si>
    <t>RIVERA NAJERA ROSIRIS DEL CARMEN</t>
  </si>
  <si>
    <t>RIV*** NAJ*** ROS**** DEL CAR***</t>
  </si>
  <si>
    <t>39091857</t>
  </si>
  <si>
    <t>CORTINA OROZCO SHERLY ASTRID</t>
  </si>
  <si>
    <t>COR**** ORO*** SHE*** AST***</t>
  </si>
  <si>
    <t>39091859</t>
  </si>
  <si>
    <t>SAUMETH MARTINEZ SILSA JUDITH</t>
  </si>
  <si>
    <t>SAU**** MAR***** SIL** JUD***</t>
  </si>
  <si>
    <t>39091870</t>
  </si>
  <si>
    <t>ROMERO SAUMETH LEDYS ESTHER</t>
  </si>
  <si>
    <t>ROM*** SAU**** LED** EST***</t>
  </si>
  <si>
    <t>39091905</t>
  </si>
  <si>
    <t>LOPERA PALACIO MARIA EUGENIA</t>
  </si>
  <si>
    <t>LOP*** PAL**** MAR** EUG****</t>
  </si>
  <si>
    <t>39091912</t>
  </si>
  <si>
    <t>RUIZ MERCADO MARTHA ELENA</t>
  </si>
  <si>
    <t>RUI* MER**** MAR*** ELE**</t>
  </si>
  <si>
    <t>39091949</t>
  </si>
  <si>
    <t>DELGADO ZARATH XIOMARA JUDITH</t>
  </si>
  <si>
    <t>DEL**** ZAR*** XIO**** JUD***</t>
  </si>
  <si>
    <t>39091969</t>
  </si>
  <si>
    <t>FLOREZ MARTINEZ SARA DEL CARMEN</t>
  </si>
  <si>
    <t>FLO*** MAR***** SAR* DEL CAR***</t>
  </si>
  <si>
    <t>39091981</t>
  </si>
  <si>
    <t>DE LA HOZ LORA SOLANGEL</t>
  </si>
  <si>
    <t>DE LA HOZ LOR* SOL*****</t>
  </si>
  <si>
    <t>39091991</t>
  </si>
  <si>
    <t>CAÑAS LUNA AIDA ROSA</t>
  </si>
  <si>
    <t>CAÑ** LUN* AID* ROS*</t>
  </si>
  <si>
    <t>39092033</t>
  </si>
  <si>
    <t>DIAZ PEÑA YOLIMA MAGDALENA</t>
  </si>
  <si>
    <t>DIA* PEÑ* YOL*** MAG******</t>
  </si>
  <si>
    <t>39092060</t>
  </si>
  <si>
    <t>DIAZ VASQUEZ LUCILA EDITH</t>
  </si>
  <si>
    <t>DIA* VAS**** LUC*** EDI**</t>
  </si>
  <si>
    <t>39092066</t>
  </si>
  <si>
    <t>DE ORO MOLINA DEISY ELVIRA</t>
  </si>
  <si>
    <t>DE ORO MOL*** DEI** ELV***</t>
  </si>
  <si>
    <t>39092087</t>
  </si>
  <si>
    <t>BLANCO OLIVEROS ESMERALDA ISABEL</t>
  </si>
  <si>
    <t>BLA*** OLI***** ESM****** ISA***</t>
  </si>
  <si>
    <t>39092157</t>
  </si>
  <si>
    <t>PEÑA MERCADO MONICA YANETH</t>
  </si>
  <si>
    <t>PEÑ* MER**** MON*** YAN***</t>
  </si>
  <si>
    <t>39092166</t>
  </si>
  <si>
    <t>BARRETO OLIVERA GLADYS ELISA</t>
  </si>
  <si>
    <t>BAR**** OLI**** GLA*** ELI**</t>
  </si>
  <si>
    <t>39092175</t>
  </si>
  <si>
    <t>PEÑA NUÑEZ MARIA DE LA CONCEPCION</t>
  </si>
  <si>
    <t>PEÑ* NUÑ** MAR** DE LA CON*******</t>
  </si>
  <si>
    <t>39092192</t>
  </si>
  <si>
    <t>TOVAR CARVAJAL DADIVA PATRICIA</t>
  </si>
  <si>
    <t>TOV** CAR***** DAD*** PAT*****</t>
  </si>
  <si>
    <t>39092251</t>
  </si>
  <si>
    <t>NAULA LATA ANA ROSA</t>
  </si>
  <si>
    <t>NAU** LAT* ANA ROS*</t>
  </si>
  <si>
    <t>39092298</t>
  </si>
  <si>
    <t>DELGADO NUÑEZ LUZ MARIA</t>
  </si>
  <si>
    <t>DEL**** NUÑ** LUZ MAR**</t>
  </si>
  <si>
    <t>39092302</t>
  </si>
  <si>
    <t>ANAYA GAMEZ YAMITH DE JESUS</t>
  </si>
  <si>
    <t>ANA** GAM** YAM*** DE JES**</t>
  </si>
  <si>
    <t>39092360</t>
  </si>
  <si>
    <t>LUNA FONTALVO ENILES ESTHER</t>
  </si>
  <si>
    <t>LUN* FON***** ENI*** EST***</t>
  </si>
  <si>
    <t>39092361</t>
  </si>
  <si>
    <t>DIAZ ACUÑA FABIOLA DANITH</t>
  </si>
  <si>
    <t>DIA* ACU** FAB**** DAN***</t>
  </si>
  <si>
    <t>39092377</t>
  </si>
  <si>
    <t>OSPINO SANTANA MONICA CECILIA</t>
  </si>
  <si>
    <t>OSP*** SAN**** MON*** CEC****</t>
  </si>
  <si>
    <t>39092382</t>
  </si>
  <si>
    <t>NARVAEZ MIRANDA MARIA BERNARDA</t>
  </si>
  <si>
    <t>NAR**** MIR**** MAR** BER*****</t>
  </si>
  <si>
    <t>39092391</t>
  </si>
  <si>
    <t>BAENA GOELKER SANDRA MARINA</t>
  </si>
  <si>
    <t>BAE** GOE**** SAN*** MAR***</t>
  </si>
  <si>
    <t>39092392</t>
  </si>
  <si>
    <t>GOMEZ BAENA MARIA CONCEPCION</t>
  </si>
  <si>
    <t>GOM** BAE** MAR** CON*******</t>
  </si>
  <si>
    <t>39092396</t>
  </si>
  <si>
    <t>BARRIOS GOMEZ ESPERANZA DEL SOCORRO</t>
  </si>
  <si>
    <t>BAR**** GOM** ESP****** DEL SOC****</t>
  </si>
  <si>
    <t>39092398</t>
  </si>
  <si>
    <t>PALENCIA PACHECO MARTHA INES</t>
  </si>
  <si>
    <t>PAL***** PAC**** MAR*** INE*</t>
  </si>
  <si>
    <t>39092445</t>
  </si>
  <si>
    <t>DEL TORO VARELA MARIA CRISTINA</t>
  </si>
  <si>
    <t>DEL TOR* VAR*** MAR** CRI*****</t>
  </si>
  <si>
    <t>39092465</t>
  </si>
  <si>
    <t>PEREZ OSPINO ELOISA MIGUELINA</t>
  </si>
  <si>
    <t>PER** OSP*** ELO*** MIG******</t>
  </si>
  <si>
    <t>39092469</t>
  </si>
  <si>
    <t>PADILLA RUIZ LUZ ELENA</t>
  </si>
  <si>
    <t>PAD**** RUI* LUZ ELE**</t>
  </si>
  <si>
    <t>39092481</t>
  </si>
  <si>
    <t>PADILLA RUIZ MIGUELINA MARIA</t>
  </si>
  <si>
    <t>PAD**** RUI* MIG****** MAR**</t>
  </si>
  <si>
    <t>39092590</t>
  </si>
  <si>
    <t>BARRIOS GARCIA CARMEN YANETH</t>
  </si>
  <si>
    <t>BAR**** GAR*** CAR*** YAN***</t>
  </si>
  <si>
    <t>39092611</t>
  </si>
  <si>
    <t>MUGNO GAMARRA LILIANA MARGARITA</t>
  </si>
  <si>
    <t>MUG** GAM**** LIL**** MAR******</t>
  </si>
  <si>
    <t>39092615</t>
  </si>
  <si>
    <t>OLIVERA YEPES MARLY ESTHER</t>
  </si>
  <si>
    <t>OLI**** YEP** MAR** EST***</t>
  </si>
  <si>
    <t>39092674</t>
  </si>
  <si>
    <t>OSPINO FONSECA DILIA DE JESUS</t>
  </si>
  <si>
    <t>OSP*** FON**** DIL** DE JES**</t>
  </si>
  <si>
    <t>39092680</t>
  </si>
  <si>
    <t>RIVERA SALCEDO ROSIRIS CECILIA</t>
  </si>
  <si>
    <t>RIV*** SAL**** ROS**** CEC****</t>
  </si>
  <si>
    <t>39092727</t>
  </si>
  <si>
    <t>ACEVEDO CORTES ILSE ESTHER</t>
  </si>
  <si>
    <t>ACE**** COR*** ILS* EST***</t>
  </si>
  <si>
    <t>39092842</t>
  </si>
  <si>
    <t>DE LA CRUZ MEZA SORIS MATILDE</t>
  </si>
  <si>
    <t>DE LA CRU* MEZ* SOR** MAT****</t>
  </si>
  <si>
    <t>39093172</t>
  </si>
  <si>
    <t>SALCEDO ARRIETA TULIA ISABEL</t>
  </si>
  <si>
    <t>SAL**** ARR**** TUL** ISA***</t>
  </si>
  <si>
    <t>39093181</t>
  </si>
  <si>
    <t>ARIAS MARRIAGA LUZ DARIS</t>
  </si>
  <si>
    <t>ARI** MAR***** LUZ DAR**</t>
  </si>
  <si>
    <t>39093184</t>
  </si>
  <si>
    <t>PEÑA OROZCO CARMEN CECILIA</t>
  </si>
  <si>
    <t>PEÑ* ORO*** CAR*** CEC****</t>
  </si>
  <si>
    <t>39093228</t>
  </si>
  <si>
    <t>PUERTA ACUÑA INGRID DEL CARMEN</t>
  </si>
  <si>
    <t>PUE*** ACU** ING*** DEL CAR***</t>
  </si>
  <si>
    <t>39093252</t>
  </si>
  <si>
    <t>VEGA VEGA NAYARITH JUDITH</t>
  </si>
  <si>
    <t>VEG* VEG* NAY***** JUD***</t>
  </si>
  <si>
    <t>39093255</t>
  </si>
  <si>
    <t>MARQUEZ HERNANDEZ MARIANA INES</t>
  </si>
  <si>
    <t>MAR**** HER****** MAR**** INE*</t>
  </si>
  <si>
    <t>39093267</t>
  </si>
  <si>
    <t>VISBAL DIAZ YOLIMA MILENA</t>
  </si>
  <si>
    <t>VIS*** DIA* YOL*** MIL***</t>
  </si>
  <si>
    <t>39093281</t>
  </si>
  <si>
    <t>NORIEGA PEÑA YANETH DEL SOCORRO</t>
  </si>
  <si>
    <t>NOR**** PEÑ* YAN*** DEL SOC****</t>
  </si>
  <si>
    <t>39093293</t>
  </si>
  <si>
    <t>CUDRIZ LARIOS LEVIS DEL CARMEN</t>
  </si>
  <si>
    <t>CUD*** LAR*** LEV** DEL CAR***</t>
  </si>
  <si>
    <t>39093296</t>
  </si>
  <si>
    <t>MARQUEZ CANAVAL ROSMARY DEL SOCORRO</t>
  </si>
  <si>
    <t>MAR**** CAN**** ROS**** DEL SOC****</t>
  </si>
  <si>
    <t>39093298</t>
  </si>
  <si>
    <t>OSPINO REYES NELSY MARHARITA</t>
  </si>
  <si>
    <t>OSP*** REY** NEL** MAR******</t>
  </si>
  <si>
    <t>39093300</t>
  </si>
  <si>
    <t>ZABALETA OSPINO ENERIS DEL CARMEN</t>
  </si>
  <si>
    <t>ZAB***** OSP*** ENE*** DEL CAR***</t>
  </si>
  <si>
    <t>39093303</t>
  </si>
  <si>
    <t>ALFARO ALFARO CLAUDIA MARIA</t>
  </si>
  <si>
    <t>ALF*** ALF*** CLA**** MAR**</t>
  </si>
  <si>
    <t>39093305</t>
  </si>
  <si>
    <t>SARMIENTO RADA CARMEN SOFIA</t>
  </si>
  <si>
    <t>SAR****** RAD* CAR*** SOF**</t>
  </si>
  <si>
    <t>39093321</t>
  </si>
  <si>
    <t>RUENES MOLINA ALCIRIA</t>
  </si>
  <si>
    <t>RUE*** MOL*** ALC****</t>
  </si>
  <si>
    <t>39093334</t>
  </si>
  <si>
    <t>NAVARRO TURIZO MARY LUZ</t>
  </si>
  <si>
    <t>NAV**** TUR*** MAR* LUZ</t>
  </si>
  <si>
    <t>39093346</t>
  </si>
  <si>
    <t>LOPEZ SAUMETH DELIA GLORIA</t>
  </si>
  <si>
    <t>LOP** SAU**** DEL** GLO***</t>
  </si>
  <si>
    <t>39093355</t>
  </si>
  <si>
    <t>DE LA CRUZ BARROS DAISY ESTHER</t>
  </si>
  <si>
    <t>DE LA CRU* BAR*** DAI** EST***</t>
  </si>
  <si>
    <t>39093391</t>
  </si>
  <si>
    <t>OSPINO DE ARCO NASLY PATRICIA</t>
  </si>
  <si>
    <t>OSP*** DE ARC* NAS** PAT*****</t>
  </si>
  <si>
    <t>39093417</t>
  </si>
  <si>
    <t>VARGAS CANTILLO MAGALY</t>
  </si>
  <si>
    <t>VAR*** CAN***** MAG***</t>
  </si>
  <si>
    <t>39093467</t>
  </si>
  <si>
    <t>DELGADO PACHECO KATIA MARIA</t>
  </si>
  <si>
    <t>DEL**** PAC**** KAT** MAR**</t>
  </si>
  <si>
    <t>39093477</t>
  </si>
  <si>
    <t>RADA TOVAR ESMERALDA</t>
  </si>
  <si>
    <t>RAD* TOV** ESM******</t>
  </si>
  <si>
    <t>39093495</t>
  </si>
  <si>
    <t>ARRIETA HEREDIA YOLIMA DEL CARMEN</t>
  </si>
  <si>
    <t>ARR**** HER**** YOL*** DEL CAR***</t>
  </si>
  <si>
    <t>39093534</t>
  </si>
  <si>
    <t>NAVARRO HERRERA JORKANIRA MARIA</t>
  </si>
  <si>
    <t>NAV**** HER**** JOR****** MAR**</t>
  </si>
  <si>
    <t>39093557</t>
  </si>
  <si>
    <t>MAIREN YOLANDA AMADOR BARRETO</t>
  </si>
  <si>
    <t>MAI*** YOL**** AMA*** BAR****</t>
  </si>
  <si>
    <t>39093559</t>
  </si>
  <si>
    <t>PUERTAS NAVARRO EMILSE SOFIA</t>
  </si>
  <si>
    <t>PUE**** NAV**** EMI*** SOF**</t>
  </si>
  <si>
    <t>39093575</t>
  </si>
  <si>
    <t>CELIS OSPINO PATRICIA CECILIA</t>
  </si>
  <si>
    <t>CEL** OSP*** PAT***** CEC****</t>
  </si>
  <si>
    <t>39093583</t>
  </si>
  <si>
    <t>PAEZ LOPEZ YANETH DEL SOCORRO</t>
  </si>
  <si>
    <t>PAE* LOP** YAN*** DEL SOC****</t>
  </si>
  <si>
    <t>39093588</t>
  </si>
  <si>
    <t>BARANDICA MARTINEZ DANITH CECILIA</t>
  </si>
  <si>
    <t>BAR****** MAR***** DAN*** CEC****</t>
  </si>
  <si>
    <t>39093603</t>
  </si>
  <si>
    <t>OCHOA CAUSADO VILMA JUDITH</t>
  </si>
  <si>
    <t>OCH** CAU**** VIL** JUD***</t>
  </si>
  <si>
    <t>39093639</t>
  </si>
  <si>
    <t>RAMOS MARBELLO IRINA MERCEDES</t>
  </si>
  <si>
    <t>RAM** MAR***** IRI** MER*****</t>
  </si>
  <si>
    <t>39093645</t>
  </si>
  <si>
    <t>BARBOZA VIANA LEIDA MARIA</t>
  </si>
  <si>
    <t>BAR**** VIA** LEI** MAR**</t>
  </si>
  <si>
    <t>39093649</t>
  </si>
  <si>
    <t>NAVARRO MEDINA EDITH ISABEL</t>
  </si>
  <si>
    <t>NAV**** MED*** EDI** ISA***</t>
  </si>
  <si>
    <t>39093652</t>
  </si>
  <si>
    <t>MOLINA SAUMETH ANA YOLANDA</t>
  </si>
  <si>
    <t>MOL*** SAU**** ANA YOL****</t>
  </si>
  <si>
    <t>39093673</t>
  </si>
  <si>
    <t>PEÑA CARO VICTORIA HELENA</t>
  </si>
  <si>
    <t>PEÑ* CAR* VIC***** HEL***</t>
  </si>
  <si>
    <t>39093726</t>
  </si>
  <si>
    <t>ACUÑA BENITEZ ROSA ISABEL</t>
  </si>
  <si>
    <t>ACU** BEN**** ROS* ISA***</t>
  </si>
  <si>
    <t>39093727</t>
  </si>
  <si>
    <t>ORTIZ GONZALEZ NAIROBIS</t>
  </si>
  <si>
    <t>ORT** GON***** NAI*****</t>
  </si>
  <si>
    <t>39093739</t>
  </si>
  <si>
    <t>BERNAL DIAZ MARLENE ISABEL</t>
  </si>
  <si>
    <t>BER*** DIA* MAR**** ISA***</t>
  </si>
  <si>
    <t>39093764</t>
  </si>
  <si>
    <t>PEREZ CAMARGO GISSELA ROCIO</t>
  </si>
  <si>
    <t>PER** CAM**** GIS**** ROC**</t>
  </si>
  <si>
    <t>39093910</t>
  </si>
  <si>
    <t>VENERA RODRIGUEZ NEBIS YANETH</t>
  </si>
  <si>
    <t>VEN*** ROD****** NEB** YAN***</t>
  </si>
  <si>
    <t>39093914</t>
  </si>
  <si>
    <t>VEGA ARAGON CARMEN ROCIO</t>
  </si>
  <si>
    <t>VEG* ARA*** CAR*** ROC**</t>
  </si>
  <si>
    <t>39093923</t>
  </si>
  <si>
    <t>SIERRA NAVARRO MARIA ISABEL</t>
  </si>
  <si>
    <t>SIE*** NAV**** MAR** ISA***</t>
  </si>
  <si>
    <t>39093942</t>
  </si>
  <si>
    <t>QUINTERO LOPEZ DIANA ESTHER</t>
  </si>
  <si>
    <t>QUI***** LOP** DIA** EST***</t>
  </si>
  <si>
    <t>39093954</t>
  </si>
  <si>
    <t>RODRIGUEZ LOPEZ HANNY RUBIELA</t>
  </si>
  <si>
    <t>ROD****** LOP** HAN** RUB****</t>
  </si>
  <si>
    <t>39093973</t>
  </si>
  <si>
    <t>ALEMAN ESCOBAR SHIRLEY DE JESUS</t>
  </si>
  <si>
    <t>ALE*** ESC**** SHI**** DE JES**</t>
  </si>
  <si>
    <t>39093990</t>
  </si>
  <si>
    <t>QUIÑONEZ TORRES LUZ DARIS</t>
  </si>
  <si>
    <t>QUI***** TOR*** LUZ DAR**</t>
  </si>
  <si>
    <t>39093995</t>
  </si>
  <si>
    <t>MOURAD ESCOBAR YAMILE DEL ROSARIO</t>
  </si>
  <si>
    <t>MOU*** ESC**** YAM*** DEL ROS****</t>
  </si>
  <si>
    <t>39094053</t>
  </si>
  <si>
    <t>ASSIA VILLEGAS MARIA DEL CARMEN</t>
  </si>
  <si>
    <t>ASS** VIL***** MAR** DEL CAR***</t>
  </si>
  <si>
    <t>39094087</t>
  </si>
  <si>
    <t>DE LA ROSA ESCORCIA NORMA DEL CARMEN</t>
  </si>
  <si>
    <t>DE LA ROS* ESC***** NOR** DEL CAR***</t>
  </si>
  <si>
    <t>39094229</t>
  </si>
  <si>
    <t>HERRERA ARRIETA GUILLERMINA</t>
  </si>
  <si>
    <t>HER**** ARR**** GUI********</t>
  </si>
  <si>
    <t>39094261</t>
  </si>
  <si>
    <t>CAUSADO NUÑEZ MARY LUZ</t>
  </si>
  <si>
    <t>CAU**** NUÑ** MAR* LUZ</t>
  </si>
  <si>
    <t>39094315</t>
  </si>
  <si>
    <t>MERIÑO VIDES GRACIELA EDITH</t>
  </si>
  <si>
    <t>MER*** VID** GRA***** EDI**</t>
  </si>
  <si>
    <t>39094355</t>
  </si>
  <si>
    <t>AMARIS CABALLERO YINA DEL ROSARIO</t>
  </si>
  <si>
    <t>AMA*** CAB****** YIN* DEL ROS****</t>
  </si>
  <si>
    <t>39094410</t>
  </si>
  <si>
    <t>HERNANDEZ LIZCANO CARMEN SOFIA</t>
  </si>
  <si>
    <t>HER****** LIZ**** CAR*** SOF**</t>
  </si>
  <si>
    <t>39094423</t>
  </si>
  <si>
    <t>ACOSTA CASTRO NELCY MARINA</t>
  </si>
  <si>
    <t>ACO*** CAS*** NEL** MAR***</t>
  </si>
  <si>
    <t>39094433</t>
  </si>
  <si>
    <t>DE LEON CORTINA OSIRIS GREGORIA</t>
  </si>
  <si>
    <t>DE LEO* COR**** OSI*** GRE*****</t>
  </si>
  <si>
    <t>39094437</t>
  </si>
  <si>
    <t>ACUÑA CAMARGO MARTHA CECILIA</t>
  </si>
  <si>
    <t>ACU** CAM**** MAR*** CEC****</t>
  </si>
  <si>
    <t>39094471</t>
  </si>
  <si>
    <t>BUENDIA YEPEZ SURITH HELENA</t>
  </si>
  <si>
    <t>BUE**** YEP** SUR*** HEL***</t>
  </si>
  <si>
    <t>39094495</t>
  </si>
  <si>
    <t>CABARCAS CASTILLO MARTA PATRICIA</t>
  </si>
  <si>
    <t>CAB***** CAS***** MAR** PAT*****</t>
  </si>
  <si>
    <t>39094521</t>
  </si>
  <si>
    <t>MENESES LARA LETICIA ISABEL</t>
  </si>
  <si>
    <t>MEN**** LAR* LET**** ISA***</t>
  </si>
  <si>
    <t>39094605</t>
  </si>
  <si>
    <t>LEMON HERNANDEZ XIMENA GREGORIA</t>
  </si>
  <si>
    <t>LEM** HER****** XIM*** GRE*****</t>
  </si>
  <si>
    <t>39094681</t>
  </si>
  <si>
    <t>GARRIDO TAPIA MILADYS DEL CARMEN</t>
  </si>
  <si>
    <t>GAR**** TAP** MIL**** DEL CAR***</t>
  </si>
  <si>
    <t>39094703</t>
  </si>
  <si>
    <t>BOHORQUEZ CASTRO MAROYDES ASTRID</t>
  </si>
  <si>
    <t>BOH****** CAS*** MAR***** AST***</t>
  </si>
  <si>
    <t>39094728</t>
  </si>
  <si>
    <t>RAMOS OSPINO BEATRIZ CAROLINA</t>
  </si>
  <si>
    <t>RAM** OSP*** BEA**** CAR*****</t>
  </si>
  <si>
    <t>39094742</t>
  </si>
  <si>
    <t>ARIAS SANTOS MIRNA LUZ</t>
  </si>
  <si>
    <t>ARI** SAN*** MIR** LUZ</t>
  </si>
  <si>
    <t>39094749</t>
  </si>
  <si>
    <t>ESCOBAR CAUSADO ALIS NAYIBIS</t>
  </si>
  <si>
    <t>ESC**** CAU**** ALI* NAY****</t>
  </si>
  <si>
    <t>39094806</t>
  </si>
  <si>
    <t>DE LA CRUZ CHIQUILLO MARGELIS CECILIA</t>
  </si>
  <si>
    <t>DE LA CRU* CHI****** MAR***** CEC****</t>
  </si>
  <si>
    <t>39094864</t>
  </si>
  <si>
    <t>CABALLERO MOLINA ERICKA ALEXANDRA</t>
  </si>
  <si>
    <t>CAB****** MOL*** ERI*** ALE******</t>
  </si>
  <si>
    <t>39094904</t>
  </si>
  <si>
    <t>MOURAD DIAZ EMILIA ELVIRA</t>
  </si>
  <si>
    <t>MOU*** DIA* EMI*** ELV***</t>
  </si>
  <si>
    <t>39095104</t>
  </si>
  <si>
    <t>ROJAS RAMOS LINA MARIA</t>
  </si>
  <si>
    <t>ROJ** RAM** LIN* MAR**</t>
  </si>
  <si>
    <t>39095129</t>
  </si>
  <si>
    <t>SANCHEZ BLANCO SANDRA MILENA</t>
  </si>
  <si>
    <t>SAN**** BLA*** SAN*** MIL***</t>
  </si>
  <si>
    <t>39095164</t>
  </si>
  <si>
    <t>AMADOR FONSECA LILIANA MARGARITA</t>
  </si>
  <si>
    <t>AMA*** FON**** LIL**** MAR******</t>
  </si>
  <si>
    <t>39095177</t>
  </si>
  <si>
    <t>MARBELLO GARCIA JANNIRES STELLA</t>
  </si>
  <si>
    <t>MAR***** GAR*** JAN***** STE***</t>
  </si>
  <si>
    <t>39095180</t>
  </si>
  <si>
    <t>CAMARGO TOVAR DIANA DEL PILAR</t>
  </si>
  <si>
    <t>CAM**** TOV** DIA** DEL PIL**</t>
  </si>
  <si>
    <t>39095214</t>
  </si>
  <si>
    <t>TAMARA OSPINO YENIS VIVIANA</t>
  </si>
  <si>
    <t>TAM*** OSP*** YEN** VIV****</t>
  </si>
  <si>
    <t>39095231</t>
  </si>
  <si>
    <t>JEREZ AVILA YORSELIS MERCEDES</t>
  </si>
  <si>
    <t>JER** AVI** YOR***** MER*****</t>
  </si>
  <si>
    <t>39095260</t>
  </si>
  <si>
    <t>ANAYA GAMEZ CARMEN ALICIA</t>
  </si>
  <si>
    <t>ANA** GAM** CAR*** ALI***</t>
  </si>
  <si>
    <t>39095261</t>
  </si>
  <si>
    <t>CAMPO SALCEDO ELIANA MARIA</t>
  </si>
  <si>
    <t>CAM** SAL**** ELI*** MAR**</t>
  </si>
  <si>
    <t>39095265</t>
  </si>
  <si>
    <t>MEDINA MUÑOZ CARMEN EDITH</t>
  </si>
  <si>
    <t>MED*** MUÑ** CAR*** EDI**</t>
  </si>
  <si>
    <t>39095286</t>
  </si>
  <si>
    <t>SAUMETH CHARRIS MILAGRO DE LA CANDELARIA</t>
  </si>
  <si>
    <t>SAU**** CHA**** MIL**** DE LA CAN*******</t>
  </si>
  <si>
    <t>39095293</t>
  </si>
  <si>
    <t>GARCIA ALMANZA JASNELLY MILENA</t>
  </si>
  <si>
    <t>GAR*** ALM**** JAS***** MIL***</t>
  </si>
  <si>
    <t>39095301</t>
  </si>
  <si>
    <t>MOLINA BARRIOS MARICELA</t>
  </si>
  <si>
    <t>MOL*** BAR**** MAR*****</t>
  </si>
  <si>
    <t>39095308</t>
  </si>
  <si>
    <t>ROMERO CAMPO LUZCELLYX</t>
  </si>
  <si>
    <t>ROM*** CAM** LUZ******</t>
  </si>
  <si>
    <t>39095343</t>
  </si>
  <si>
    <t>BARRIOS VASQUEZ DUBERLIS JUDITH</t>
  </si>
  <si>
    <t>BAR**** VAS**** DUB***** JUD***</t>
  </si>
  <si>
    <t>39095396</t>
  </si>
  <si>
    <t>PEÑA ALVAREZ LUDIS MARIA</t>
  </si>
  <si>
    <t>PEÑ* ALV**** LUD** MAR**</t>
  </si>
  <si>
    <t>39095399</t>
  </si>
  <si>
    <t>ANDRADE GAMEZ ZORAIDA ROSA</t>
  </si>
  <si>
    <t>AND**** GAM** ZOR**** ROS*</t>
  </si>
  <si>
    <t>39095418</t>
  </si>
  <si>
    <t>PALENCIA PACHECO CLAUDIA PATRICIA</t>
  </si>
  <si>
    <t>PAL***** PAC**** CLA**** PAT*****</t>
  </si>
  <si>
    <t>39095423</t>
  </si>
  <si>
    <t>BALLESTAS MOLINA ORLAMIS ESTHER</t>
  </si>
  <si>
    <t>BAL****** MOL*** ORL**** EST***</t>
  </si>
  <si>
    <t>39095428</t>
  </si>
  <si>
    <t>NAULA LATA MARLENE DE JESUS</t>
  </si>
  <si>
    <t>NAU** LAT* MAR**** DE JES**</t>
  </si>
  <si>
    <t>39095452</t>
  </si>
  <si>
    <t>DE LA ROSA ESCORCIA NOHEMY DEL AMPARO</t>
  </si>
  <si>
    <t>DE LA ROS* ESC***** NOH*** DEL AMP***</t>
  </si>
  <si>
    <t>39095482</t>
  </si>
  <si>
    <t>CASTRO MOLINA ROSALIA DEL ROSARIO</t>
  </si>
  <si>
    <t>CAS*** MOL*** ROS**** DEL ROS****</t>
  </si>
  <si>
    <t>39095531</t>
  </si>
  <si>
    <t>GOMEZ BERRIO YARIMA ESTHER</t>
  </si>
  <si>
    <t>GOM** BER*** YAR*** EST***</t>
  </si>
  <si>
    <t>39095542</t>
  </si>
  <si>
    <t>FONSECA CHAMORRO GLENYS KARINA</t>
  </si>
  <si>
    <t>FON**** CHA***** GLE*** KAR***</t>
  </si>
  <si>
    <t>39095546</t>
  </si>
  <si>
    <t>SAUMETH LAMBOGLIA YOLIMA DEL CARMEN</t>
  </si>
  <si>
    <t>SAU**** LAM****** YOL*** DEL CAR***</t>
  </si>
  <si>
    <t>39095632</t>
  </si>
  <si>
    <t>ROJAS VILLAMIZAR INGRID JUDITH</t>
  </si>
  <si>
    <t>ROJ** VIL******* ING*** JUD***</t>
  </si>
  <si>
    <t>39095711</t>
  </si>
  <si>
    <t>ROYO PEÑA HEDNI PATRICIA DE JESUS</t>
  </si>
  <si>
    <t>ROY* PEÑ* HED** PAT***** DE JES**</t>
  </si>
  <si>
    <t>39095718</t>
  </si>
  <si>
    <t>VIZCAINO PIMIENTA MILAGRO DE JESUS</t>
  </si>
  <si>
    <t>VIZ***** PIM***** MIL**** DE JES**</t>
  </si>
  <si>
    <t>39095719</t>
  </si>
  <si>
    <t>CAMPO PEÑA MILENA JUDITH</t>
  </si>
  <si>
    <t>CAM** PEÑ* MIL*** JUD***</t>
  </si>
  <si>
    <t>39095759</t>
  </si>
  <si>
    <t>PUELLO MOLINA YOLIMA DEL CARMEN</t>
  </si>
  <si>
    <t>PUE*** MOL*** YOL*** DEL CAR***</t>
  </si>
  <si>
    <t>39095793</t>
  </si>
  <si>
    <t>ATENCIA LOBO LIZ ESTHER</t>
  </si>
  <si>
    <t>ATE**** LOB* LIZ EST***</t>
  </si>
  <si>
    <t>39095807</t>
  </si>
  <si>
    <t>VILLALOBOS GAMEZ LISETH BELEN</t>
  </si>
  <si>
    <t>VIL******* GAM** LIS*** BEL**</t>
  </si>
  <si>
    <t>39095923</t>
  </si>
  <si>
    <t>ESCOBAR CAUSADO LEXY PATRICIA</t>
  </si>
  <si>
    <t>ESC**** CAU**** LEX* PAT*****</t>
  </si>
  <si>
    <t>39096005</t>
  </si>
  <si>
    <t>MORALES SIMANCA ISBELIA CECILIA</t>
  </si>
  <si>
    <t>MOR**** SIM**** ISB**** CEC****</t>
  </si>
  <si>
    <t>39096277</t>
  </si>
  <si>
    <t>GAMEZ LOBO LUZ ASTERIA</t>
  </si>
  <si>
    <t>GAM** LOB* LUZ AST****</t>
  </si>
  <si>
    <t>39096415</t>
  </si>
  <si>
    <t>BERRIO NIÑO IRIS DE LOS SANTOS</t>
  </si>
  <si>
    <t>BER*** NIÑ* IRI* DE LOS SAN***</t>
  </si>
  <si>
    <t>39096503</t>
  </si>
  <si>
    <t>LOPEZ PEREZ ELBA JUDITH</t>
  </si>
  <si>
    <t>LOP** PER** ELB* JUD***</t>
  </si>
  <si>
    <t>39096532</t>
  </si>
  <si>
    <t>FIERRO SUAREZ MARIA ROSA</t>
  </si>
  <si>
    <t>FIE*** SUA*** MAR** ROS*</t>
  </si>
  <si>
    <t>39096564</t>
  </si>
  <si>
    <t>BARRIOS MIRANDA MARIA FERNANDA</t>
  </si>
  <si>
    <t>BAR**** MIR**** MAR** FER*****</t>
  </si>
  <si>
    <t>39096623</t>
  </si>
  <si>
    <t>PEÑARANDA IBARRA GICELA PATRICIA</t>
  </si>
  <si>
    <t>PEÑ****** IBA*** GIC*** PAT*****</t>
  </si>
  <si>
    <t>39096668</t>
  </si>
  <si>
    <t>MENDOZA WILCHES INDIRA DEL ROSARIO</t>
  </si>
  <si>
    <t>MEN**** WIL**** IND*** DEL ROS****</t>
  </si>
  <si>
    <t>39096678</t>
  </si>
  <si>
    <t>LOPEZ MOLINA MARINELA DEL ROSARIO</t>
  </si>
  <si>
    <t>LOP** MOL*** MAR***** DEL ROS****</t>
  </si>
  <si>
    <t>39096690</t>
  </si>
  <si>
    <t>GUERRERO MUÑOZ MARIBEL</t>
  </si>
  <si>
    <t>GUE***** MUÑ** MAR****</t>
  </si>
  <si>
    <t>39096727</t>
  </si>
  <si>
    <t>PASSO TORRENEGRA HENERCIZ DE JESUS</t>
  </si>
  <si>
    <t>PAS** TOR******* HEN***** DE JES**</t>
  </si>
  <si>
    <t>39096847</t>
  </si>
  <si>
    <t>LOPEZ DURANGO YARLENIS IBETH</t>
  </si>
  <si>
    <t>LOP** DUR**** YAR***** IBE**</t>
  </si>
  <si>
    <t>39096848</t>
  </si>
  <si>
    <t>VASQUEZ OSPINO MABEL ESTHER</t>
  </si>
  <si>
    <t>VAS**** OSP*** MAB** EST***</t>
  </si>
  <si>
    <t>39096911</t>
  </si>
  <si>
    <t>DIAZ GONZALEZ SHIRLY ESTHER</t>
  </si>
  <si>
    <t>DIA* GON***** SHI*** EST***</t>
  </si>
  <si>
    <t>39096940</t>
  </si>
  <si>
    <t>ALEMAN ESCOBAR YASMIN YANITH</t>
  </si>
  <si>
    <t>ALE*** ESC**** YAS*** YAN***</t>
  </si>
  <si>
    <t>39097156</t>
  </si>
  <si>
    <t>DEL TORO DE ANGEL MARTHA CECILIA</t>
  </si>
  <si>
    <t>DEL TOR* DE ANG** MAR*** CEC****</t>
  </si>
  <si>
    <t>39097193</t>
  </si>
  <si>
    <t>BALLESTAS MOLINA LILIBET</t>
  </si>
  <si>
    <t>BAL****** MOL*** LIL****</t>
  </si>
  <si>
    <t>39097267</t>
  </si>
  <si>
    <t>MERCADO JARABA YARLIDIS JUDITH</t>
  </si>
  <si>
    <t>MER**** JAR*** YAR***** JUD***</t>
  </si>
  <si>
    <t>39097423</t>
  </si>
  <si>
    <t>MACIAS ARRIETA MERCEDES JUDITH</t>
  </si>
  <si>
    <t>MAC*** ARR**** MER***** JUD***</t>
  </si>
  <si>
    <t>39097888</t>
  </si>
  <si>
    <t>ARIAS DIAZ AURA ELENA</t>
  </si>
  <si>
    <t>ARI** DIA* AUR* ELE**</t>
  </si>
  <si>
    <t>39097943</t>
  </si>
  <si>
    <t>MENDOZA FONSECA MAYERLIS DE JESUS</t>
  </si>
  <si>
    <t>MEN**** FON**** MAY***** DE JES**</t>
  </si>
  <si>
    <t>39098069</t>
  </si>
  <si>
    <t>MOLINA NORIEGA KAREM SUGEILYS</t>
  </si>
  <si>
    <t>MOL*** NOR**** KAR** SUG*****</t>
  </si>
  <si>
    <t>39098122</t>
  </si>
  <si>
    <t>MARQUEZ HERNANDEZ NELLYS ISABEL</t>
  </si>
  <si>
    <t>MAR**** HER****** NEL*** ISA***</t>
  </si>
  <si>
    <t>39098134</t>
  </si>
  <si>
    <t>SANCHEZ FERREIRA ORNELIA NAYRIS</t>
  </si>
  <si>
    <t>SAN**** FER***** ORN**** NAY***</t>
  </si>
  <si>
    <t>39098155</t>
  </si>
  <si>
    <t>ARAGON MOLINA DORKA YULIANA</t>
  </si>
  <si>
    <t>ARA*** MOL*** DOR** YUL****</t>
  </si>
  <si>
    <t>39098183</t>
  </si>
  <si>
    <t>ALMENDRALES ALVAREZ MARIA DOLORES</t>
  </si>
  <si>
    <t>ALM******** ALV**** MAR** DOL****</t>
  </si>
  <si>
    <t>39098208</t>
  </si>
  <si>
    <t>VENERA RODRIGUEZ IBERLIS LISETH</t>
  </si>
  <si>
    <t>VEN*** ROD****** IBE**** LIS***</t>
  </si>
  <si>
    <t>39098224</t>
  </si>
  <si>
    <t>CABALLERO OSPINO HEIDY PATRICIA</t>
  </si>
  <si>
    <t>CAB****** OSP*** HEI** PAT*****</t>
  </si>
  <si>
    <t>39098232</t>
  </si>
  <si>
    <t>BUENDIA YEPES ARELIS ISABEL</t>
  </si>
  <si>
    <t>BUE**** YEP** ARE*** ISA***</t>
  </si>
  <si>
    <t>39098302</t>
  </si>
  <si>
    <t>CARRANZA ALMENDRALES YENNY JOHANA</t>
  </si>
  <si>
    <t>CAR***** ALM******** YEN** JOH***</t>
  </si>
  <si>
    <t>39098364</t>
  </si>
  <si>
    <t>VILARDY JARAMILLO MARGARETH DEL ROCIO</t>
  </si>
  <si>
    <t>VIL**** JAR****** MAR****** DEL ROC**</t>
  </si>
  <si>
    <t>39098400</t>
  </si>
  <si>
    <t>SIERRA CARDENAS ERICKA PATRICIA</t>
  </si>
  <si>
    <t>SIE*** CAR***** ERI*** PAT*****</t>
  </si>
  <si>
    <t>39098404</t>
  </si>
  <si>
    <t>ESCORCIA CASSIANE YOLIMA ISABEL</t>
  </si>
  <si>
    <t>ESC***** CAS***** YOL*** ISA***</t>
  </si>
  <si>
    <t>39098422</t>
  </si>
  <si>
    <t>AVILA MERCADO DELNA MARIA</t>
  </si>
  <si>
    <t>AVI** MER**** DEL** MAR**</t>
  </si>
  <si>
    <t>39098439</t>
  </si>
  <si>
    <t>ANDRADE OCHOA MILENA MERCEDES</t>
  </si>
  <si>
    <t>AND**** OCH** MIL*** MER*****</t>
  </si>
  <si>
    <t>39098447</t>
  </si>
  <si>
    <t>ANDRADE OROZCO MARIA ISABEL</t>
  </si>
  <si>
    <t>AND**** ORO*** MAR** ISA***</t>
  </si>
  <si>
    <t>39098503</t>
  </si>
  <si>
    <t>MONTES ROMERO CAROL ZULAY</t>
  </si>
  <si>
    <t>MON*** ROM*** CAR** ZUL**</t>
  </si>
  <si>
    <t>39098578</t>
  </si>
  <si>
    <t>DIAZ GONZALEZ IRIS BARLENY</t>
  </si>
  <si>
    <t>DIA* GON***** IRI* BAR****</t>
  </si>
  <si>
    <t>39098588</t>
  </si>
  <si>
    <t>RICO DE LA HOZ MARIELA DEL CARMEN</t>
  </si>
  <si>
    <t>RIC* DE LA HOZ MAR**** DEL CAR***</t>
  </si>
  <si>
    <t>39098618</t>
  </si>
  <si>
    <t>ACUÑA MEJIA LUZMELY ESTHER</t>
  </si>
  <si>
    <t>ACU** MEJ** LUZ**** EST***</t>
  </si>
  <si>
    <t>39098668</t>
  </si>
  <si>
    <t>MOJICA MEJIA ANAIS</t>
  </si>
  <si>
    <t>MOJ*** MEJ** ANA**</t>
  </si>
  <si>
    <t>39098689</t>
  </si>
  <si>
    <t>AMADOR MOLINA YOLIMA ROSA</t>
  </si>
  <si>
    <t>AMA*** MOL*** YOL*** ROS*</t>
  </si>
  <si>
    <t>39098693</t>
  </si>
  <si>
    <t>ARRIETA OSPINO MAIRA CECILIA</t>
  </si>
  <si>
    <t>ARR**** OSP*** MAI** CEC****</t>
  </si>
  <si>
    <t>39098718</t>
  </si>
  <si>
    <t>CACERES OSPINO YOLIDIS DANITH</t>
  </si>
  <si>
    <t>CAC**** OSP*** YOL**** DAN***</t>
  </si>
  <si>
    <t>39098732</t>
  </si>
  <si>
    <t>OLIVO SARMIENTO NIDIAN ESTHER</t>
  </si>
  <si>
    <t>OLI** SAR****** NID*** EST***</t>
  </si>
  <si>
    <t>39098737</t>
  </si>
  <si>
    <t>CAMPO OSPINO MARIA LILIBETH</t>
  </si>
  <si>
    <t>CAM** OSP*** MAR** LIL*****</t>
  </si>
  <si>
    <t>39098748</t>
  </si>
  <si>
    <t>CANAVAL DIAZ PIEDAD DEL CARMEN</t>
  </si>
  <si>
    <t>CAN**** DIA* PIE*** DEL CAR***</t>
  </si>
  <si>
    <t>39098776</t>
  </si>
  <si>
    <t>RIBON CASTRO MARTHA IDALIDES</t>
  </si>
  <si>
    <t>RIB** CAS*** MAR*** IDA*****</t>
  </si>
  <si>
    <t>39098874</t>
  </si>
  <si>
    <t>FERNANDEZ BARRIOS THAYS MARGARITA</t>
  </si>
  <si>
    <t>FER****** BAR**** THA** MAR******</t>
  </si>
  <si>
    <t>39098918</t>
  </si>
  <si>
    <t>BALLESTAS GARIZAO SANDRA MILENA</t>
  </si>
  <si>
    <t>BAL****** GAR**** SAN*** MIL***</t>
  </si>
  <si>
    <t>39098949</t>
  </si>
  <si>
    <t>ARRIETA DE ANGEL LESVIA SOFIA</t>
  </si>
  <si>
    <t>ARR**** DE ANG** LES*** SOF**</t>
  </si>
  <si>
    <t>39098955</t>
  </si>
  <si>
    <t>GUERRERO MUÑOZ DIANA SALOME</t>
  </si>
  <si>
    <t>GUE***** MUÑ** DIA** SAL***</t>
  </si>
  <si>
    <t>39098957</t>
  </si>
  <si>
    <t>MENDOZA VARGAS YOLEIDIS MARIA</t>
  </si>
  <si>
    <t>MEN**** VAR*** YOL***** MAR**</t>
  </si>
  <si>
    <t>39099095</t>
  </si>
  <si>
    <t>RODRIGUEZ PEÑA ERIKA GREGORIA</t>
  </si>
  <si>
    <t>ROD****** PEÑ* ERI** GRE*****</t>
  </si>
  <si>
    <t>39099099</t>
  </si>
  <si>
    <t>ANDRADE GARCIA ALBANA ARLETH</t>
  </si>
  <si>
    <t>AND**** GAR*** ALB*** ARL***</t>
  </si>
  <si>
    <t>39099134</t>
  </si>
  <si>
    <t>HERNANDEZ ARRIETA DINA MILENA</t>
  </si>
  <si>
    <t>HER****** ARR**** DIN* MIL***</t>
  </si>
  <si>
    <t>39099157</t>
  </si>
  <si>
    <t>CONTRERAS CARRANZA ANA YARIB</t>
  </si>
  <si>
    <t>CON****** CAR***** ANA YAR**</t>
  </si>
  <si>
    <t>39099187</t>
  </si>
  <si>
    <t>OSPINO CASTILLO ELIZABETH</t>
  </si>
  <si>
    <t>OSP*** CAS***** ELI******</t>
  </si>
  <si>
    <t>39099188</t>
  </si>
  <si>
    <t>FERREIRA VISBAL LILIBETH</t>
  </si>
  <si>
    <t>FER***** VIS*** LIL*****</t>
  </si>
  <si>
    <t>39099199</t>
  </si>
  <si>
    <t>VILLALBA MOLINA CARMEN CRISTINA</t>
  </si>
  <si>
    <t>VIL***** MOL*** CAR*** CRI*****</t>
  </si>
  <si>
    <t>39099222</t>
  </si>
  <si>
    <t>ORTIZ DE LA VEGA LILIANA MARGARITA</t>
  </si>
  <si>
    <t>ORT** DE LA VEG* LIL**** MAR******</t>
  </si>
  <si>
    <t>39099252</t>
  </si>
  <si>
    <t>MENDOZA VILLAR NADIA YAJAIRA</t>
  </si>
  <si>
    <t>MEN**** VIL*** NAD** YAJ****</t>
  </si>
  <si>
    <t>39099267</t>
  </si>
  <si>
    <t>MARBELLO MALDONADO KATY JICELA</t>
  </si>
  <si>
    <t>MAR***** MAL****** KAT* JIC***</t>
  </si>
  <si>
    <t>39099437</t>
  </si>
  <si>
    <t>MUÑOZ GONZALEZ KATIA MILENA</t>
  </si>
  <si>
    <t>MUÑ** GON***** KAT** MIL***</t>
  </si>
  <si>
    <t>39099450</t>
  </si>
  <si>
    <t>MARTINEZ LAMBOGLIA ZULEIMA DEL CARMEN</t>
  </si>
  <si>
    <t>MAR***** LAM****** ZUL**** DEL CAR***</t>
  </si>
  <si>
    <t>39099493</t>
  </si>
  <si>
    <t>PALLARES OLIVERA YAJAIRA SILVANA</t>
  </si>
  <si>
    <t>PAL***** OLI**** YAJ**** SIL****</t>
  </si>
  <si>
    <t>39099501</t>
  </si>
  <si>
    <t>CORTINA CUDRIZ SILVANA DEL CARMEN</t>
  </si>
  <si>
    <t>COR**** CUD*** SIL**** DEL CAR***</t>
  </si>
  <si>
    <t>39099569</t>
  </si>
  <si>
    <t>RUIZ OCHOA YENIS DEL CARMEN</t>
  </si>
  <si>
    <t>RUI* OCH** YEN** DEL CAR***</t>
  </si>
  <si>
    <t>39099677</t>
  </si>
  <si>
    <t>RAMIREZ MEZA CIANIRIS MARIA</t>
  </si>
  <si>
    <t>RAM**** MEZ* CIA***** MAR**</t>
  </si>
  <si>
    <t>39099699</t>
  </si>
  <si>
    <t>MENDOZA VARGAS GLENDIS DEL CARMEN</t>
  </si>
  <si>
    <t>MEN**** VAR*** GLE**** DEL CAR***</t>
  </si>
  <si>
    <t>39099792</t>
  </si>
  <si>
    <t>MAESTRE ACOSTA SHIRLY MILENA</t>
  </si>
  <si>
    <t>MAE**** ACO*** SHI*** MIL***</t>
  </si>
  <si>
    <t>39099806</t>
  </si>
  <si>
    <t>MIRANDA REYES TATIANA DEL CARMEN</t>
  </si>
  <si>
    <t>MIR**** REY** TAT**** DEL CAR***</t>
  </si>
  <si>
    <t>39099980</t>
  </si>
  <si>
    <t>NUÑEZ PADILLA NORBELIS ESTHER</t>
  </si>
  <si>
    <t>NUÑ** PAD**** NOR***** EST***</t>
  </si>
  <si>
    <t>39100200</t>
  </si>
  <si>
    <t>CACERES AMADOR BRICEÑA MARIA</t>
  </si>
  <si>
    <t>CAC**** AMA*** BRI**** MAR**</t>
  </si>
  <si>
    <t>39100323</t>
  </si>
  <si>
    <t>FIERRO BARRIOS VIVIANA PATRICIA</t>
  </si>
  <si>
    <t>FIE*** BAR**** VIV**** PAT*****</t>
  </si>
  <si>
    <t>39100464</t>
  </si>
  <si>
    <t>FERNANDEZ DE CASTRO RIBON YESSICA PAOLA</t>
  </si>
  <si>
    <t>FER****** DE CAS*** RIB** YES**** PAO**</t>
  </si>
  <si>
    <t>39100576</t>
  </si>
  <si>
    <t>PALOMINO DE ANGEL IRENE YUNEIS</t>
  </si>
  <si>
    <t>PAL***** DE ANG** IRE** YUN***</t>
  </si>
  <si>
    <t>39100625</t>
  </si>
  <si>
    <t>SAUMETH DE LA HOZ MARIA JOSE</t>
  </si>
  <si>
    <t>SAU**** DE LA HOZ MAR** JOS*</t>
  </si>
  <si>
    <t>39100661</t>
  </si>
  <si>
    <t>RIZZO DE ANGEL ROCIO MILENA</t>
  </si>
  <si>
    <t>RIZ** DE ANG** ROC** MIL***</t>
  </si>
  <si>
    <t>39100691</t>
  </si>
  <si>
    <t>SAUMETH LUNA ANA MILENA</t>
  </si>
  <si>
    <t>SAU**** LUN* ANA MIL***</t>
  </si>
  <si>
    <t>39100772</t>
  </si>
  <si>
    <t>LOPEZ VANEGAS MARCELA PAOLA</t>
  </si>
  <si>
    <t>LOP** VAN**** MAR**** PAO**</t>
  </si>
  <si>
    <t>39100944</t>
  </si>
  <si>
    <t>RODRIGUEZ CANTILLO MARINA ELISA</t>
  </si>
  <si>
    <t>ROD****** CAN***** MAR*** ELI**</t>
  </si>
  <si>
    <t>39100980</t>
  </si>
  <si>
    <t>LUNA MOLINA NAIRIS PAOLA</t>
  </si>
  <si>
    <t>LUN* MOL*** NAI*** PAO**</t>
  </si>
  <si>
    <t>39101017</t>
  </si>
  <si>
    <t>SALCEDO DE LA ROSA ELYS MILETH</t>
  </si>
  <si>
    <t>SAL**** DE LA ROS* ELY* MIL***</t>
  </si>
  <si>
    <t>39101086</t>
  </si>
  <si>
    <t>VERA BENAVIDES ERICA PATRICIA</t>
  </si>
  <si>
    <t>VER* BEN****** ERI** PAT*****</t>
  </si>
  <si>
    <t>39101238</t>
  </si>
  <si>
    <t>GONZALEZ CARO ELLEN JUDITH</t>
  </si>
  <si>
    <t>GON***** CAR* ELL** JUD***</t>
  </si>
  <si>
    <t>39101576</t>
  </si>
  <si>
    <t>MOLINA PASSO DINA LUZ</t>
  </si>
  <si>
    <t>MOL*** PAS** DIN* LUZ</t>
  </si>
  <si>
    <t>39101833</t>
  </si>
  <si>
    <t>ACUÑA MORALES MARIS SODENIS</t>
  </si>
  <si>
    <t>ACU** MOR**** MAR** SOD****</t>
  </si>
  <si>
    <t>39101884</t>
  </si>
  <si>
    <t>CARO ANGARITA IRIS HORTENCIA</t>
  </si>
  <si>
    <t>CAR* ANG***** IRI* HOR******</t>
  </si>
  <si>
    <t>39101915</t>
  </si>
  <si>
    <t>ORTEGA SANEZ KAREN MARGARITA</t>
  </si>
  <si>
    <t>ORT*** SAN** KAR** MAR******</t>
  </si>
  <si>
    <t>39101916</t>
  </si>
  <si>
    <t>CANTILLO LARA LEYDIS PATRICIA</t>
  </si>
  <si>
    <t>CAN***** LAR* LEY*** PAT*****</t>
  </si>
  <si>
    <t>39101925</t>
  </si>
  <si>
    <t>MOLINA OROZCO MAYERLIN</t>
  </si>
  <si>
    <t>MOL*** ORO*** MAY*****</t>
  </si>
  <si>
    <t>39101998</t>
  </si>
  <si>
    <t>ARRIETA OSPINO DERLYS KATERINE</t>
  </si>
  <si>
    <t>ARR**** OSP*** DER*** KAT*****</t>
  </si>
  <si>
    <t>39105073</t>
  </si>
  <si>
    <t>FERNANDEZ ALFARO BENILDA ROSA</t>
  </si>
  <si>
    <t>FER****** ALF*** BEN**** ROS*</t>
  </si>
  <si>
    <t>39105075</t>
  </si>
  <si>
    <t>RAMIREZ GARCIA ESMERALDA BELISA</t>
  </si>
  <si>
    <t>RAM**** GAR*** ESM****** BEL***</t>
  </si>
  <si>
    <t>39140589</t>
  </si>
  <si>
    <t>CONTRERAS VILORIA ALEJANDRINA MARIA</t>
  </si>
  <si>
    <t>CON****** VIL**** ALE******** MAR**</t>
  </si>
  <si>
    <t>39140623</t>
  </si>
  <si>
    <t>TORTELLO JIMENEZ KARINA PAOLA</t>
  </si>
  <si>
    <t>TOR***** JIM**** KAR*** PAO**</t>
  </si>
  <si>
    <t>39140626</t>
  </si>
  <si>
    <t>MALDONADO ALMARALES YELENA ISABEL</t>
  </si>
  <si>
    <t>MAL****** ALM****** YEL*** ISA***</t>
  </si>
  <si>
    <t>39140671</t>
  </si>
  <si>
    <t>CAMPO HERNANDEZ LIDYS CECILIA</t>
  </si>
  <si>
    <t>CAM** HER****** LID** CEC****</t>
  </si>
  <si>
    <t>39140919</t>
  </si>
  <si>
    <t>CERVANTES PADILLA GLORY LUZ</t>
  </si>
  <si>
    <t>CER****** PAD**** GLO** LUZ</t>
  </si>
  <si>
    <t>39140961</t>
  </si>
  <si>
    <t>GUERRERO SARMIENTO KAREN DAYANA</t>
  </si>
  <si>
    <t>GUE***** SAR****** KAR** DAY***</t>
  </si>
  <si>
    <t>39141482</t>
  </si>
  <si>
    <t>PEÑA CUELLO LICETH PATRICIA</t>
  </si>
  <si>
    <t>PEÑ* CUE*** LIC*** PAT*****</t>
  </si>
  <si>
    <t>39141544</t>
  </si>
  <si>
    <t>GOMEZ MARTINEZ EDUARDA CECILIA</t>
  </si>
  <si>
    <t>GOM** MAR***** EDU**** CEC****</t>
  </si>
  <si>
    <t>39141567</t>
  </si>
  <si>
    <t>ACOSTA MARTINEZ NORIS OLIVIA</t>
  </si>
  <si>
    <t>ACO*** MAR***** NOR** OLI***</t>
  </si>
  <si>
    <t>39141597</t>
  </si>
  <si>
    <t>NIEBLES GONZALEZ JUANA TERESA</t>
  </si>
  <si>
    <t>NIE**** GON***** JUA** TER***</t>
  </si>
  <si>
    <t>39141858</t>
  </si>
  <si>
    <t>PEREZ CABALLERO EDITH PATRICIA</t>
  </si>
  <si>
    <t>PER** CAB****** EDI** PAT*****</t>
  </si>
  <si>
    <t>39141974</t>
  </si>
  <si>
    <t>FONSECA GARCIA NELVIS MARIA</t>
  </si>
  <si>
    <t>FON**** GAR*** NEL*** MAR**</t>
  </si>
  <si>
    <t>39142213</t>
  </si>
  <si>
    <t>ORTIZ MONSALVO ANA MARIA</t>
  </si>
  <si>
    <t>ORT** MON***** ANA MAR**</t>
  </si>
  <si>
    <t>39142761</t>
  </si>
  <si>
    <t>CASTRO GUILLOT GENITH JOHANNA</t>
  </si>
  <si>
    <t>CAS*** GUI**** GEN*** JOH****</t>
  </si>
  <si>
    <t>39142801</t>
  </si>
  <si>
    <t>MIRANDA ECHENIQUE ANGELA MARCELA</t>
  </si>
  <si>
    <t>MIR**** ECH****** ANG*** MAR****</t>
  </si>
  <si>
    <t>39143086</t>
  </si>
  <si>
    <t>SALAZAR BRAVO MILENA PATRICIA</t>
  </si>
  <si>
    <t>SAL**** BRA** MIL*** PAT*****</t>
  </si>
  <si>
    <t>39143336</t>
  </si>
  <si>
    <t>PEREA NIEBLES ADANORIS</t>
  </si>
  <si>
    <t>PER** NIE**** ADA*****</t>
  </si>
  <si>
    <t>39143362</t>
  </si>
  <si>
    <t>GUERRERO RUA SANDRA JUDITH</t>
  </si>
  <si>
    <t>GUE***** RUA SAN*** JUD***</t>
  </si>
  <si>
    <t>39143404</t>
  </si>
  <si>
    <t>JIMENEZ GUZMAN MARIA DEL PILAR</t>
  </si>
  <si>
    <t>JIM**** GUZ*** MAR** DEL PIL**</t>
  </si>
  <si>
    <t>39143452</t>
  </si>
  <si>
    <t>SERPA SILVA ANA CAROLINA</t>
  </si>
  <si>
    <t>SER** SIL** ANA CAR*****</t>
  </si>
  <si>
    <t>39143826</t>
  </si>
  <si>
    <t>LUGO VERDEZA YURANIS MARGARITA</t>
  </si>
  <si>
    <t>LUG* VER**** YUR**** MAR******</t>
  </si>
  <si>
    <t>39144010</t>
  </si>
  <si>
    <t>GONZALEZ PEREZ EDITH ELENA</t>
  </si>
  <si>
    <t>GON***** PER** EDI** ELE**</t>
  </si>
  <si>
    <t>39144449</t>
  </si>
  <si>
    <t>GARCIA CUELLO PAOLA MARCELA</t>
  </si>
  <si>
    <t>GAR*** CUE*** PAO** MAR****</t>
  </si>
  <si>
    <t>39144946</t>
  </si>
  <si>
    <t>MOZO MACHADO ALICIA ISABEL</t>
  </si>
  <si>
    <t>MOZ* MAC**** ALI*** ISA***</t>
  </si>
  <si>
    <t>39276028</t>
  </si>
  <si>
    <t>GALVAN DE LA HOZ CARMEN ELENA</t>
  </si>
  <si>
    <t>GAL*** DE LA HOZ CAR*** ELE**</t>
  </si>
  <si>
    <t>39287737</t>
  </si>
  <si>
    <t>CAUSIL PEREZ WENDYS YURANIS</t>
  </si>
  <si>
    <t>CAU*** PER** WEN*** YUR****</t>
  </si>
  <si>
    <t>39461121</t>
  </si>
  <si>
    <t>GUERRA GUTIERREZ PILAR ROCIO</t>
  </si>
  <si>
    <t>GUE*** GUT****** PIL** ROC**</t>
  </si>
  <si>
    <t>39462474</t>
  </si>
  <si>
    <t>TAPIA CAÑIZARES CARMEN PATRICIA</t>
  </si>
  <si>
    <t>TAP** CAÑ****** CAR*** PAT*****</t>
  </si>
  <si>
    <t>39666578</t>
  </si>
  <si>
    <t>MEJIA SEGURA ILIE ISABEL</t>
  </si>
  <si>
    <t>MEJ** SEG*** ILI* ISA***</t>
  </si>
  <si>
    <t>39684771</t>
  </si>
  <si>
    <t>BELTRAN LADINO GILMA CLEMENCIA</t>
  </si>
  <si>
    <t>BEL**** LAD*** GIL** CLE******</t>
  </si>
  <si>
    <t>39791084</t>
  </si>
  <si>
    <t>NIETO MONTERO LUZ ILENE</t>
  </si>
  <si>
    <t>NIE** MON**** LUZ ILE**</t>
  </si>
  <si>
    <t>40014777</t>
  </si>
  <si>
    <t>GAMEZ VILLEGAS ENA LUZ</t>
  </si>
  <si>
    <t>GAM** VIL***** ENA LUZ</t>
  </si>
  <si>
    <t>40794981</t>
  </si>
  <si>
    <t>BERDUGO CONTRERAS SOL MARINA</t>
  </si>
  <si>
    <t>BER**** CON****** SOL MAR***</t>
  </si>
  <si>
    <t>40794984</t>
  </si>
  <si>
    <t>SERRANO CANTILLO LUXER ZENITH</t>
  </si>
  <si>
    <t>SER**** CAN***** LUX** ZEN***</t>
  </si>
  <si>
    <t>40798971</t>
  </si>
  <si>
    <t>PADILLA RANGEL ZORAIDA ESTHER</t>
  </si>
  <si>
    <t>PAD**** RAN*** ZOR**** EST***</t>
  </si>
  <si>
    <t>40879183</t>
  </si>
  <si>
    <t>MAZZILLY QUINTERO YESICA VIVIANA</t>
  </si>
  <si>
    <t>MAZ***** QUI***** YES*** VIV****</t>
  </si>
  <si>
    <t>40879518</t>
  </si>
  <si>
    <t>DIAZ ALTAMAR MATYLUZ</t>
  </si>
  <si>
    <t>DIA* ALT**** MAT****</t>
  </si>
  <si>
    <t>40923401</t>
  </si>
  <si>
    <t>RAMIREZ ALMAZO LEONORYS IBETH</t>
  </si>
  <si>
    <t>RAM**** ALM*** LEO***** IBE**</t>
  </si>
  <si>
    <t>40924051</t>
  </si>
  <si>
    <t>PADILLA HERNANDEZ LUZ STELLA</t>
  </si>
  <si>
    <t>PAD**** HER****** LUZ STE***</t>
  </si>
  <si>
    <t>40925596</t>
  </si>
  <si>
    <t>DAVILA ROCHA GRISELDA</t>
  </si>
  <si>
    <t>DAV*** ROC** GRI*****</t>
  </si>
  <si>
    <t>40926764</t>
  </si>
  <si>
    <t>DE LUQUE VASQUEZ LUZ ELENA</t>
  </si>
  <si>
    <t>DE LUQ** VAS**** LUZ ELE**</t>
  </si>
  <si>
    <t>40927852</t>
  </si>
  <si>
    <t>MACHADO MARTINEZ MARIA JUSTINA</t>
  </si>
  <si>
    <t>MAC**** MAR***** MAR** JUS****</t>
  </si>
  <si>
    <t>40934527</t>
  </si>
  <si>
    <t>ALVAREZ SIADO MARY ISIDORA</t>
  </si>
  <si>
    <t>ALV**** SIA** MAR* ISI****</t>
  </si>
  <si>
    <t>40977900</t>
  </si>
  <si>
    <t>SANCHEZ MEDINA IRINA ROSA</t>
  </si>
  <si>
    <t>SAN**** MED*** IRI** ROS*</t>
  </si>
  <si>
    <t>40978425</t>
  </si>
  <si>
    <t>ZAMBRANO OSPINO MARIA ELENA</t>
  </si>
  <si>
    <t>ZAM***** OSP*** MAR** ELE**</t>
  </si>
  <si>
    <t>41678801</t>
  </si>
  <si>
    <t>MORENO RIAÑO YAMILA BEATRIZ</t>
  </si>
  <si>
    <t>MOR*** RIA** YAM*** BEA****</t>
  </si>
  <si>
    <t>41787622</t>
  </si>
  <si>
    <t>DURAN IGIRIO BETTY DEL SOCORRO</t>
  </si>
  <si>
    <t>DUR** IGI*** BET** DEL SOC****</t>
  </si>
  <si>
    <t>42490674</t>
  </si>
  <si>
    <t>PEREZ PASCUALES LEDYA MERCEDES</t>
  </si>
  <si>
    <t>PER** PAS****** LED** MER*****</t>
  </si>
  <si>
    <t>42493532</t>
  </si>
  <si>
    <t>BARRAZA SIERRA ALICIA ISABEL</t>
  </si>
  <si>
    <t>BAR**** SIE*** ALI*** ISA***</t>
  </si>
  <si>
    <t>42496133</t>
  </si>
  <si>
    <t>NEGRETE BARAHONA DELFIDA ROSA</t>
  </si>
  <si>
    <t>NEG**** BAR***** DEL**** ROS*</t>
  </si>
  <si>
    <t>42496545</t>
  </si>
  <si>
    <t>LONDOÑO BARRAZA CRISTINA MERCEDES</t>
  </si>
  <si>
    <t>LON**** BAR**** CRI***** MER*****</t>
  </si>
  <si>
    <t>42498960</t>
  </si>
  <si>
    <t>VERGARA ALVIS LORENA CECILIA</t>
  </si>
  <si>
    <t>VER**** ALV** LOR*** CEC****</t>
  </si>
  <si>
    <t>42499910</t>
  </si>
  <si>
    <t>CARO GAMEZ AGUSTINA ISABEL</t>
  </si>
  <si>
    <t>CAR* GAM** AGU***** ISA***</t>
  </si>
  <si>
    <t>42652033</t>
  </si>
  <si>
    <t>CADAVID PEREZ FRANCIA ESTER</t>
  </si>
  <si>
    <t>CAD**** PER** FRA**** EST**</t>
  </si>
  <si>
    <t>42678248</t>
  </si>
  <si>
    <t>CALAO BOTERO GLORIA PATRICIA</t>
  </si>
  <si>
    <t>CAL** BOT*** GLO*** PAT*****</t>
  </si>
  <si>
    <t>42779370</t>
  </si>
  <si>
    <t>TERRAZA OYAGA NORA ELENA</t>
  </si>
  <si>
    <t>TER**** OYA** NOR* ELE**</t>
  </si>
  <si>
    <t>42899373</t>
  </si>
  <si>
    <t>PUERTA CAMARGO EMILIA BELEN</t>
  </si>
  <si>
    <t>PUE*** CAM**** EMI*** BEL**</t>
  </si>
  <si>
    <t>42993027</t>
  </si>
  <si>
    <t>GOMEZ OCHOA ROSALBA CECILIA</t>
  </si>
  <si>
    <t>GOM** OCH** ROS**** CEC****</t>
  </si>
  <si>
    <t>43044354</t>
  </si>
  <si>
    <t>NAVARRO LERMA DORIS</t>
  </si>
  <si>
    <t>NAV**** LER** DOR**</t>
  </si>
  <si>
    <t>43165495</t>
  </si>
  <si>
    <t>BAZA MARTINEZ OLGA CRISTINA</t>
  </si>
  <si>
    <t>BAZ* MAR***** OLG* CRI*****</t>
  </si>
  <si>
    <t>43184211</t>
  </si>
  <si>
    <t>BORJA PEREZ MARGARITA MARIA</t>
  </si>
  <si>
    <t>BOR** PER** MAR****** MAR**</t>
  </si>
  <si>
    <t>43596174</t>
  </si>
  <si>
    <t>VERBEL CERA KATIA MARINA</t>
  </si>
  <si>
    <t>VER*** CER* KAT** MAR***</t>
  </si>
  <si>
    <t>43801970</t>
  </si>
  <si>
    <t>FANDIÑO RODRIGUEZ MONICA PATRICIA</t>
  </si>
  <si>
    <t>FAN**** ROD****** MON*** PAT*****</t>
  </si>
  <si>
    <t>43913029</t>
  </si>
  <si>
    <t>SEPULVEDA MORA SANDRA MILENA</t>
  </si>
  <si>
    <t>SEP****** MOR* SAN*** MIL***</t>
  </si>
  <si>
    <t>44006928</t>
  </si>
  <si>
    <t>MOSQUERA CORDOBA KETY</t>
  </si>
  <si>
    <t>MOS***** COR**** KET*</t>
  </si>
  <si>
    <t>44153415</t>
  </si>
  <si>
    <t>LOAIZA MORALES YORLENIS</t>
  </si>
  <si>
    <t>LOA*** MOR**** YOR*****</t>
  </si>
  <si>
    <t>44153913</t>
  </si>
  <si>
    <t>POLO CAMACHO KATHERINE</t>
  </si>
  <si>
    <t>6C1</t>
  </si>
  <si>
    <t>POL* CAM**** KAT******</t>
  </si>
  <si>
    <t>45371961</t>
  </si>
  <si>
    <t>ARRIETA VILLADIEGO INGRID JOHANA</t>
  </si>
  <si>
    <t>ARR**** VIL******* ING*** JOH***</t>
  </si>
  <si>
    <t>45372359</t>
  </si>
  <si>
    <t>CONTRERAS GARCIA ERIKA PATRICIA</t>
  </si>
  <si>
    <t>CON****** GAR*** ERI** PAT*****</t>
  </si>
  <si>
    <t>45372673</t>
  </si>
  <si>
    <t>MARTINEZ VEGA LUZ KELLY</t>
  </si>
  <si>
    <t>MAR***** VEG* LUZ KEL**</t>
  </si>
  <si>
    <t>45373621</t>
  </si>
  <si>
    <t>HERNANDEZ ALVAREZ ROSA ISABEL</t>
  </si>
  <si>
    <t>HER****** ALV**** ROS* ISA***</t>
  </si>
  <si>
    <t>45427606</t>
  </si>
  <si>
    <t>HERRERA AMARIS ELIZABETH</t>
  </si>
  <si>
    <t>HER**** AMA*** ELI******</t>
  </si>
  <si>
    <t>45436488</t>
  </si>
  <si>
    <t>SAUCEDO PADILLA MARIA DEL TRANSITO</t>
  </si>
  <si>
    <t>SAU**** PAD**** MAR** DEL TRA*****</t>
  </si>
  <si>
    <t>45438316</t>
  </si>
  <si>
    <t>SEGOVIA TINOCO TERSILIA</t>
  </si>
  <si>
    <t>SEG**** TIN*** TER*****</t>
  </si>
  <si>
    <t>45443172</t>
  </si>
  <si>
    <t>ROJAS MORALES DEISY ANTONI</t>
  </si>
  <si>
    <t>ROJ** MOR**** DEI** ANT***</t>
  </si>
  <si>
    <t>45448917</t>
  </si>
  <si>
    <t>VIDES PORTELA DALGIS</t>
  </si>
  <si>
    <t>VID** POR**** DAL***</t>
  </si>
  <si>
    <t>45449458</t>
  </si>
  <si>
    <t>VILLARREAL ACEVEDO NANCY PATRICIA</t>
  </si>
  <si>
    <t>VIL******* ACE**** NAN** PAT*****</t>
  </si>
  <si>
    <t>45459774</t>
  </si>
  <si>
    <t>ZAMBRANO FLOREZ ELVIRA ISABEL</t>
  </si>
  <si>
    <t>ZAM***** FLO*** ELV*** ISA***</t>
  </si>
  <si>
    <t>45470857</t>
  </si>
  <si>
    <t>PATERNOSTRO BARROS ROCIO ENCARNACION</t>
  </si>
  <si>
    <t>PAT******** BAR*** ROC** ENC********</t>
  </si>
  <si>
    <t>45479659</t>
  </si>
  <si>
    <t>GARCIA FLOREZ ESCILDA MARIA</t>
  </si>
  <si>
    <t>GAR*** FLO*** ESC**** MAR**</t>
  </si>
  <si>
    <t>45481155</t>
  </si>
  <si>
    <t>MEJIA DIAZ RUBYS</t>
  </si>
  <si>
    <t>MEJ** DIA* RUB**</t>
  </si>
  <si>
    <t>45483241</t>
  </si>
  <si>
    <t>RADA HERAZO ALFADIS CECILIA</t>
  </si>
  <si>
    <t>RAD* HER*** ALF**** CEC****</t>
  </si>
  <si>
    <t>45489832</t>
  </si>
  <si>
    <t>PEREZ MEZA DENIS MARIA</t>
  </si>
  <si>
    <t>PER** MEZ* DEN** MAR**</t>
  </si>
  <si>
    <t>45491887</t>
  </si>
  <si>
    <t>MORA MORA ZULLY AZUCENA</t>
  </si>
  <si>
    <t>MOR* MOR* ZUL** AZU****</t>
  </si>
  <si>
    <t>45500843</t>
  </si>
  <si>
    <t>MULFORD PALOMINO MARTA LUZ</t>
  </si>
  <si>
    <t>MUL**** PAL***** MAR** LUZ</t>
  </si>
  <si>
    <t>45506042</t>
  </si>
  <si>
    <t>VASQUEZ GUERRA LAURENS</t>
  </si>
  <si>
    <t>VAS**** GUE*** LAU****</t>
  </si>
  <si>
    <t>45507409</t>
  </si>
  <si>
    <t>GAMEZ CABARCAS EDILSA MARIA</t>
  </si>
  <si>
    <t>GAM** CAB***** EDI*** MAR**</t>
  </si>
  <si>
    <t>45512794</t>
  </si>
  <si>
    <t>RADA CASTAÑO ROSA ELENA</t>
  </si>
  <si>
    <t>RAD* CAS**** ROS* ELE**</t>
  </si>
  <si>
    <t>45517440</t>
  </si>
  <si>
    <t>CABARCAS CASSIANI ALEIDA</t>
  </si>
  <si>
    <t>CAB***** CAS***** ALE***</t>
  </si>
  <si>
    <t>45517710</t>
  </si>
  <si>
    <t>JIMENEZ VERGARA LIANA CONSUELO</t>
  </si>
  <si>
    <t>JIM**** VER**** LIA** CON*****</t>
  </si>
  <si>
    <t>45520194</t>
  </si>
  <si>
    <t>YANCE SILVA LILIBET</t>
  </si>
  <si>
    <t>YAN** SIL** LIL****</t>
  </si>
  <si>
    <t>45528279</t>
  </si>
  <si>
    <t>FONTALVO SANJUANELO YICETH CIDEH</t>
  </si>
  <si>
    <t>FON***** SAN******* YIC*** CID**</t>
  </si>
  <si>
    <t>45530676</t>
  </si>
  <si>
    <t>QUINTERO MENDOZA HADITH MILENA</t>
  </si>
  <si>
    <t>QUI***** MEN**** HAD*** MIL***</t>
  </si>
  <si>
    <t>45542819</t>
  </si>
  <si>
    <t>OROZCO ZABALETA MARTHA CECILIA</t>
  </si>
  <si>
    <t>ORO*** ZAB***** MAR*** CEC****</t>
  </si>
  <si>
    <t>45551356</t>
  </si>
  <si>
    <t>MENDOZA PANDALES DENIS</t>
  </si>
  <si>
    <t>MEN**** PAN***** DEN**</t>
  </si>
  <si>
    <t>45577743</t>
  </si>
  <si>
    <t>SEÑAS CARDENAS MARIA TERESA</t>
  </si>
  <si>
    <t>SEÑ** CAR***** MAR** TER***</t>
  </si>
  <si>
    <t>45687269</t>
  </si>
  <si>
    <t>CABARCAS CHOPERENA JACKELINE ESTHER</t>
  </si>
  <si>
    <t>CAB***** CHO****** JAC****** EST***</t>
  </si>
  <si>
    <t>45688968</t>
  </si>
  <si>
    <t>JIMENEZ ORTIZ LUCIA MILENA</t>
  </si>
  <si>
    <t>JIM**** ORT** LUC** MIL***</t>
  </si>
  <si>
    <t>45689466</t>
  </si>
  <si>
    <t>PALMERA ARAQUE NELLIS MARIA</t>
  </si>
  <si>
    <t>PAL**** ARA*** NEL*** MAR**</t>
  </si>
  <si>
    <t>45740951</t>
  </si>
  <si>
    <t>TORRES OSPINO MILADIS</t>
  </si>
  <si>
    <t>TOR*** OSP*** MIL****</t>
  </si>
  <si>
    <t>45754591</t>
  </si>
  <si>
    <t>MARTINEZ VILLADIEGO ELVIA DEL SOCORRO</t>
  </si>
  <si>
    <t>MAR***** VIL******* ELV** DEL SOC****</t>
  </si>
  <si>
    <t>45754985</t>
  </si>
  <si>
    <t>OSPINO GUZMAN CARMEN INES</t>
  </si>
  <si>
    <t>OSP*** GUZ*** CAR*** INE*</t>
  </si>
  <si>
    <t>45765568</t>
  </si>
  <si>
    <t>AGUILAR MEDINA ILSE MARIA</t>
  </si>
  <si>
    <t>AGU**** MED*** ILS* MAR**</t>
  </si>
  <si>
    <t>45781561</t>
  </si>
  <si>
    <t>CARO MARTINEZ TERESA MATILDE</t>
  </si>
  <si>
    <t>CAR* MAR***** TER*** MAT****</t>
  </si>
  <si>
    <t>46681839</t>
  </si>
  <si>
    <t>CONTRERAS HERNANDEZ ANA MARCELA</t>
  </si>
  <si>
    <t>CON****** HER****** ANA MAR****</t>
  </si>
  <si>
    <t>49551739</t>
  </si>
  <si>
    <t>RAMOS GUEVARA ALEJANDRA</t>
  </si>
  <si>
    <t>RAM** GUE**** ALE******</t>
  </si>
  <si>
    <t>49553447</t>
  </si>
  <si>
    <t>MULFORD VANEGAS EVELIN</t>
  </si>
  <si>
    <t>MUL**** VAN**** EVE***</t>
  </si>
  <si>
    <t>49595745</t>
  </si>
  <si>
    <t>DE LA HOZ VARGAS YULIETH MARINA</t>
  </si>
  <si>
    <t>DE LA HOZ VAR*** YUL**** MAR***</t>
  </si>
  <si>
    <t>49597036</t>
  </si>
  <si>
    <t>ARAGON BONETT GLEIDIS ESTHER</t>
  </si>
  <si>
    <t>ARA*** BON*** GLE**** EST***</t>
  </si>
  <si>
    <t>49597070</t>
  </si>
  <si>
    <t>GAMARRA ACUÑA MARTHA PIEDAD</t>
  </si>
  <si>
    <t>GAM**** ACU** MAR*** PIE***</t>
  </si>
  <si>
    <t>49597638</t>
  </si>
  <si>
    <t>SANCHEZ RODRIGUEZ KELLY ELENA</t>
  </si>
  <si>
    <t>SAN**** ROD****** KEL** ELE**</t>
  </si>
  <si>
    <t>49597707</t>
  </si>
  <si>
    <t>CARO VERGARA ANA GABRIELA</t>
  </si>
  <si>
    <t>CAR* VER**** ANA GAB*****</t>
  </si>
  <si>
    <t>49605385</t>
  </si>
  <si>
    <t>AREVALO PRADA SANDRA MILENA</t>
  </si>
  <si>
    <t>ARE**** PRA** SAN*** MIL***</t>
  </si>
  <si>
    <t>49606320</t>
  </si>
  <si>
    <t>BUSTOS OSPINO KAREN PAOLA</t>
  </si>
  <si>
    <t>BUS*** OSP*** KAR** PAO**</t>
  </si>
  <si>
    <t>49606926</t>
  </si>
  <si>
    <t>VALLEJO IZQUIERDO DEYSI MAGALY</t>
  </si>
  <si>
    <t>VAL**** IZQ****** DEY** MAG***</t>
  </si>
  <si>
    <t>49607473</t>
  </si>
  <si>
    <t>GARCERANT NORIEGA PAOLA MARCELA</t>
  </si>
  <si>
    <t>GAR****** NOR**** PAO** MAR****</t>
  </si>
  <si>
    <t>49654981</t>
  </si>
  <si>
    <t>RODRIGUEZ PEREZ ADALGIZA</t>
  </si>
  <si>
    <t>ROD****** PER** ADA*****</t>
  </si>
  <si>
    <t>49655989</t>
  </si>
  <si>
    <t>RAMOS ACOSTA LUZ MABEL</t>
  </si>
  <si>
    <t>RAM** ACO*** LUZ MAB**</t>
  </si>
  <si>
    <t>49666945</t>
  </si>
  <si>
    <t>ROJAS ORDOÑEZ ISABEL DE LA CRUZ</t>
  </si>
  <si>
    <t>ROJ** ORD**** ISA*** DE LA CRU*</t>
  </si>
  <si>
    <t>49667321</t>
  </si>
  <si>
    <t>MARTINEZ BENAVIDES LUZ DENIS</t>
  </si>
  <si>
    <t>MAR***** BEN****** LUZ DEN**</t>
  </si>
  <si>
    <t>49686799</t>
  </si>
  <si>
    <t>MELO BELTRAN CLELIA</t>
  </si>
  <si>
    <t>MEL* BEL**** CLE***</t>
  </si>
  <si>
    <t>49689258</t>
  </si>
  <si>
    <t>MELO VASQUEZ MARIA DEL CARMEN</t>
  </si>
  <si>
    <t>MEL* VAS**** MAR** DEL CAR***</t>
  </si>
  <si>
    <t>49689575</t>
  </si>
  <si>
    <t>ARTEAGA YOZA ALIRIS YANETH</t>
  </si>
  <si>
    <t>ART**** YOZ* ALI*** YAN***</t>
  </si>
  <si>
    <t>49690091</t>
  </si>
  <si>
    <t>CASAS FERNANDEZ LIDA ISABEL</t>
  </si>
  <si>
    <t>CAS** FER****** LID* ISA***</t>
  </si>
  <si>
    <t>49692595</t>
  </si>
  <si>
    <t>ARIZA QUINTERO MARIA LUISA</t>
  </si>
  <si>
    <t>ARI** QUI***** MAR** LUI**</t>
  </si>
  <si>
    <t>49695702</t>
  </si>
  <si>
    <t>ROMERO IBARRA NELLY MERCEDES</t>
  </si>
  <si>
    <t>ROM*** IBA*** NEL** MER*****</t>
  </si>
  <si>
    <t>49718209</t>
  </si>
  <si>
    <t>BEATRIZ HELENA HERREIRA CASTRO</t>
  </si>
  <si>
    <t>BEA**** HEL*** HER***** CAS***</t>
  </si>
  <si>
    <t>49718534</t>
  </si>
  <si>
    <t>HERNANDEZ RUBIO ANA MILENA</t>
  </si>
  <si>
    <t>HER****** RUB** ANA MIL***</t>
  </si>
  <si>
    <t>49718828</t>
  </si>
  <si>
    <t>PEREZ CERVANTES SAIDAITH DEL CARMEN</t>
  </si>
  <si>
    <t>PER** CER****** SAI***** DEL CAR***</t>
  </si>
  <si>
    <t>49719981</t>
  </si>
  <si>
    <t>VILLA POLO YANIRIS ESTHER</t>
  </si>
  <si>
    <t>VIL** POL* YAN**** EST***</t>
  </si>
  <si>
    <t>49721073</t>
  </si>
  <si>
    <t>SAUMETH ANDRADE ANYS MARGARITA</t>
  </si>
  <si>
    <t>SAU**** AND**** ANY* MAR******</t>
  </si>
  <si>
    <t>49722877</t>
  </si>
  <si>
    <t>ESPAÑA GONZALEZ IRINA MILENA</t>
  </si>
  <si>
    <t>ESP*** GON***** IRI** MIL***</t>
  </si>
  <si>
    <t>49723175</t>
  </si>
  <si>
    <t>BORREGO IBAÑEZ DINA VANESSA</t>
  </si>
  <si>
    <t>BOR**** IBA*** DIN* VAN****</t>
  </si>
  <si>
    <t>49724181</t>
  </si>
  <si>
    <t>KETIL VASQUEZ KELIS MARINA</t>
  </si>
  <si>
    <t>KET** VAS**** KEL** MAR***</t>
  </si>
  <si>
    <t>49729063</t>
  </si>
  <si>
    <t>RUIDIAZ HERNANDEZ ROSALIA</t>
  </si>
  <si>
    <t>RUI**** HER****** ROS****</t>
  </si>
  <si>
    <t>49730989</t>
  </si>
  <si>
    <t>CASTAÑEDA BETANCOURT LUZ DARY</t>
  </si>
  <si>
    <t>CAS****** BET******* LUZ DAR*</t>
  </si>
  <si>
    <t>49731937</t>
  </si>
  <si>
    <t>CASTRO CARO NUBIA MARIA</t>
  </si>
  <si>
    <t>CAS*** CAR* NUB** MAR**</t>
  </si>
  <si>
    <t>49732657</t>
  </si>
  <si>
    <t>PITRE OROZCO SILENIS CECILIA</t>
  </si>
  <si>
    <t>PIT** ORO*** SIL**** CEC****</t>
  </si>
  <si>
    <t>49733653</t>
  </si>
  <si>
    <t>PAEZ MARTINEZ ROCIO DEL CARMEN</t>
  </si>
  <si>
    <t>PAE* MAR***** ROC** DEL CAR***</t>
  </si>
  <si>
    <t>49733913</t>
  </si>
  <si>
    <t>VEGA SIMANCA MARTA LUCIA</t>
  </si>
  <si>
    <t>VEG* SIM**** MAR** LUC**</t>
  </si>
  <si>
    <t>49735037</t>
  </si>
  <si>
    <t>MARQUEZ MALO MARIA CONSUELO</t>
  </si>
  <si>
    <t>MAR**** MAL* MAR** CON*****</t>
  </si>
  <si>
    <t>49736353</t>
  </si>
  <si>
    <t>CASTRO MARTINEZ MARTHA LUZ</t>
  </si>
  <si>
    <t>CAS*** MAR***** MAR*** LUZ</t>
  </si>
  <si>
    <t>49737020</t>
  </si>
  <si>
    <t>SEPULVEDA GARAVITO FABIOLA</t>
  </si>
  <si>
    <t>SEP****** GAR***** FAB****</t>
  </si>
  <si>
    <t>49738376</t>
  </si>
  <si>
    <t>GONZALEZ MONTOYA GLORIA ISABEL</t>
  </si>
  <si>
    <t>GON***** MON**** GLO*** ISA***</t>
  </si>
  <si>
    <t>49738743</t>
  </si>
  <si>
    <t>PINTO MARIA CECILIA</t>
  </si>
  <si>
    <t>PIN** MAR** CEC****</t>
  </si>
  <si>
    <t>49741706</t>
  </si>
  <si>
    <t>CORDOBA RUIZ DAMARIS DEL CARMEN</t>
  </si>
  <si>
    <t>COR**** RUI* DAM**** DEL CAR***</t>
  </si>
  <si>
    <t>49742736</t>
  </si>
  <si>
    <t>NIEVES BLANCO ILVA ROSA</t>
  </si>
  <si>
    <t>NIE*** BLA*** ILV* ROS*</t>
  </si>
  <si>
    <t>49743552</t>
  </si>
  <si>
    <t>BARRIOS VILLA ADA LUZ</t>
  </si>
  <si>
    <t>BAR**** VIL** ADA LUZ</t>
  </si>
  <si>
    <t>49746077</t>
  </si>
  <si>
    <t>NUÑEZ VALET OMAIRA ESTHER</t>
  </si>
  <si>
    <t>NUÑ** VAL** OMA*** EST***</t>
  </si>
  <si>
    <t>49746247</t>
  </si>
  <si>
    <t>NIETO BELEÑO DEYNY ROSA</t>
  </si>
  <si>
    <t>NIE** BEL*** DEY** ROS*</t>
  </si>
  <si>
    <t>49746266</t>
  </si>
  <si>
    <t>ESCOBAR MEZA INGRID MARGARITA</t>
  </si>
  <si>
    <t>ESC**** MEZ* ING*** MAR******</t>
  </si>
  <si>
    <t>49751498</t>
  </si>
  <si>
    <t>PADILLA CERVANTES ARLEDIS ESPERANZA</t>
  </si>
  <si>
    <t>PAD**** CER****** ARL**** ESP******</t>
  </si>
  <si>
    <t>49753091</t>
  </si>
  <si>
    <t>GIL ACUÑA ORLEANIS</t>
  </si>
  <si>
    <t>GIL ACU** ORL*****</t>
  </si>
  <si>
    <t>49753657</t>
  </si>
  <si>
    <t>AMARIS RAMOS BEISY ESTHER</t>
  </si>
  <si>
    <t>AMA*** RAM** BEI** EST***</t>
  </si>
  <si>
    <t>49753868</t>
  </si>
  <si>
    <t>PEDROZO OSPINO TATIANA</t>
  </si>
  <si>
    <t>PED**** OSP*** TAT****</t>
  </si>
  <si>
    <t>49759694</t>
  </si>
  <si>
    <t>TOBIAS VERGARA ELODIA LUISA</t>
  </si>
  <si>
    <t>TOB*** VER**** ELO*** LUI**</t>
  </si>
  <si>
    <t>49759786</t>
  </si>
  <si>
    <t>MARTINEZ BARRIOS ALBA VALERIA</t>
  </si>
  <si>
    <t>MAR***** BAR**** ALB* VAL****</t>
  </si>
  <si>
    <t>49759969</t>
  </si>
  <si>
    <t>HERNANDEZ PEDROZA MANUELA MERCEDES</t>
  </si>
  <si>
    <t>HER****** PED**** MAN**** MER*****</t>
  </si>
  <si>
    <t>49760210</t>
  </si>
  <si>
    <t>TORRES MARTINEZ MAYELIS</t>
  </si>
  <si>
    <t>TOR*** MAR***** MAY****</t>
  </si>
  <si>
    <t>49761227</t>
  </si>
  <si>
    <t>CANTILLO DAZA YADIRA MERCEDES</t>
  </si>
  <si>
    <t>CAN***** DAZ* YAD*** MER*****</t>
  </si>
  <si>
    <t>49761247</t>
  </si>
  <si>
    <t>BADILLO BAENE ASTRID</t>
  </si>
  <si>
    <t>BAD**** BAE** AST***</t>
  </si>
  <si>
    <t>49761369</t>
  </si>
  <si>
    <t>DIAZ LEMUS ALBA MARIA</t>
  </si>
  <si>
    <t>DIA* LEM** ALB* MAR**</t>
  </si>
  <si>
    <t>49762049</t>
  </si>
  <si>
    <t>BARRIOS DIAZ IRIS MARIA</t>
  </si>
  <si>
    <t>BAR**** DIA* IRI* MAR**</t>
  </si>
  <si>
    <t>49764028</t>
  </si>
  <si>
    <t>AREVALO FONSECA BERTHA</t>
  </si>
  <si>
    <t>ARE**** FON**** BER***</t>
  </si>
  <si>
    <t>49764103</t>
  </si>
  <si>
    <t>RANGEL QUIROZ ALICIA</t>
  </si>
  <si>
    <t>RAN*** QUI*** ALI***</t>
  </si>
  <si>
    <t>49765358</t>
  </si>
  <si>
    <t>NIETO MORA LUDYS ESTHER</t>
  </si>
  <si>
    <t>NIE** MOR* LUD** EST***</t>
  </si>
  <si>
    <t>49766849</t>
  </si>
  <si>
    <t>GARIZADO LOBATO ALFARIS LICETH</t>
  </si>
  <si>
    <t>GAR***** LOB*** ALF**** LIC***</t>
  </si>
  <si>
    <t>49767213</t>
  </si>
  <si>
    <t>CALLE RANGEL EMINA</t>
  </si>
  <si>
    <t>CAL** RAN*** EMI**</t>
  </si>
  <si>
    <t>49767291</t>
  </si>
  <si>
    <t>GARCIA FLORIAN AUDIS MARIA</t>
  </si>
  <si>
    <t>GAR*** FLO**** AUD** MAR**</t>
  </si>
  <si>
    <t>49767513</t>
  </si>
  <si>
    <t>TORRES SOLIS JUDITH MARINA</t>
  </si>
  <si>
    <t>2C2</t>
  </si>
  <si>
    <t>TOR*** SOL** JUD*** MAR***</t>
  </si>
  <si>
    <t>49767885</t>
  </si>
  <si>
    <t>CASTRO ZAMORA DAMARIS</t>
  </si>
  <si>
    <t>CAS*** ZAM*** DAM****</t>
  </si>
  <si>
    <t>49772675</t>
  </si>
  <si>
    <t>ROMERO IBARRA MERLIS CRISTINA</t>
  </si>
  <si>
    <t>ROM*** IBA*** MER*** CRI*****</t>
  </si>
  <si>
    <t>49773083</t>
  </si>
  <si>
    <t>IZQUIERDO TORRES LEDYS MARIA</t>
  </si>
  <si>
    <t>IZQ****** TOR*** LED** MAR**</t>
  </si>
  <si>
    <t>49773393</t>
  </si>
  <si>
    <t>RODRIGUEZ AGUILAR MERLIDES ESTHER</t>
  </si>
  <si>
    <t>ROD****** AGU**** MER***** EST***</t>
  </si>
  <si>
    <t>49775373</t>
  </si>
  <si>
    <t>PERTUZ ANDRADE ERICA ISABEL</t>
  </si>
  <si>
    <t>PER*** AND**** ERI** ISA***</t>
  </si>
  <si>
    <t>49776164</t>
  </si>
  <si>
    <t>RAMOS GUERRA DILIA ISABEL</t>
  </si>
  <si>
    <t>RAM** GUE*** DIL** ISA***</t>
  </si>
  <si>
    <t>49776550</t>
  </si>
  <si>
    <t>LOPEZ COMAS GRISELDA</t>
  </si>
  <si>
    <t>LOP** COM** GRI*****</t>
  </si>
  <si>
    <t>49778968</t>
  </si>
  <si>
    <t>PARRA MORENO RUBY</t>
  </si>
  <si>
    <t>PAR** MOR*** RUB*</t>
  </si>
  <si>
    <t>49779787</t>
  </si>
  <si>
    <t>ROJAS AMARIS JUDITH ALEXI</t>
  </si>
  <si>
    <t>ROJ** AMA*** JUD*** ALE**</t>
  </si>
  <si>
    <t>49779952</t>
  </si>
  <si>
    <t>MORENO ALFARO DANITH CECILIA</t>
  </si>
  <si>
    <t>MOR*** ALF*** DAN*** CEC****</t>
  </si>
  <si>
    <t>49780728</t>
  </si>
  <si>
    <t>ARIAS ANGEL PETRONA</t>
  </si>
  <si>
    <t>ARI** ANG** PET****</t>
  </si>
  <si>
    <t>49782152</t>
  </si>
  <si>
    <t>ROJAS ZAMBRANO SOL MERIS</t>
  </si>
  <si>
    <t>ROJ** ZAM***** SOL MER**</t>
  </si>
  <si>
    <t>49782408</t>
  </si>
  <si>
    <t>HERNANDEZ GARRIDO BLANCA INES</t>
  </si>
  <si>
    <t>HER****** GAR**** BLA*** INE*</t>
  </si>
  <si>
    <t>49783382</t>
  </si>
  <si>
    <t>MIRANDA CHAMORRO SADID SAFAIRA</t>
  </si>
  <si>
    <t>MIR**** CHA***** SAD** SAF****</t>
  </si>
  <si>
    <t>49784610</t>
  </si>
  <si>
    <t>ZAMBRANO PEÑA EMILIS</t>
  </si>
  <si>
    <t>ZAM***** PEÑ* EMI***</t>
  </si>
  <si>
    <t>49785666</t>
  </si>
  <si>
    <t>PAEZ ARIAS IBIS DELIBIA</t>
  </si>
  <si>
    <t>PAE* ARI** IBI* DEL****</t>
  </si>
  <si>
    <t>49788351</t>
  </si>
  <si>
    <t>CORDOBA SUAREZ GASALIS MARIA</t>
  </si>
  <si>
    <t>COR**** SUA*** GAS**** MAR**</t>
  </si>
  <si>
    <t>49788480</t>
  </si>
  <si>
    <t>HERNANDEZ MARTINEZ ALJADY MARIA</t>
  </si>
  <si>
    <t>HER****** MAR***** ALJ*** MAR**</t>
  </si>
  <si>
    <t>49789880</t>
  </si>
  <si>
    <t>VILLAFAÑA MEJIA MARIA CONCEPCION</t>
  </si>
  <si>
    <t>VIL****** MEJ** MAR** CON*******</t>
  </si>
  <si>
    <t>49791255</t>
  </si>
  <si>
    <t>PALACIO PACHECO PEGGY PAOLA</t>
  </si>
  <si>
    <t>PAL**** PAC**** PEG** PAO**</t>
  </si>
  <si>
    <t>49792300</t>
  </si>
  <si>
    <t>ALVARADO CASTAÑO CENAIDA DEL CARMEN</t>
  </si>
  <si>
    <t>ALV***** CAS**** CEN**** DEL CAR***</t>
  </si>
  <si>
    <t>49792406</t>
  </si>
  <si>
    <t>ZULETA PALMERA MAIRA IBETH</t>
  </si>
  <si>
    <t>ZUL*** PAL**** MAI** IBE**</t>
  </si>
  <si>
    <t>49794139</t>
  </si>
  <si>
    <t>IZQUIERDO TORRES LUCELLYS</t>
  </si>
  <si>
    <t>IZQ****** TOR*** LUC*****</t>
  </si>
  <si>
    <t>49795116</t>
  </si>
  <si>
    <t>MORALES GARRIDO KATTY</t>
  </si>
  <si>
    <t>MOR**** GAR**** KAT**</t>
  </si>
  <si>
    <t>50897051</t>
  </si>
  <si>
    <t>SAEZ LOPEZ GLORIA ESTELA</t>
  </si>
  <si>
    <t>SAE* LOP** GLO*** EST***</t>
  </si>
  <si>
    <t>50905653</t>
  </si>
  <si>
    <t>LAGUNA AGAMEZ TANIA LUZ</t>
  </si>
  <si>
    <t>LAG*** AGA*** TAN** LUZ</t>
  </si>
  <si>
    <t>50993015</t>
  </si>
  <si>
    <t>CASTRO RODRIGUEZ CARMEN ENITH</t>
  </si>
  <si>
    <t>CAS*** ROD****** CAR*** ENI**</t>
  </si>
  <si>
    <t>51601224</t>
  </si>
  <si>
    <t>BARRETO GOMEZ ANA DE JESUS</t>
  </si>
  <si>
    <t>BAR**** GOM** ANA DE JES**</t>
  </si>
  <si>
    <t>51603204</t>
  </si>
  <si>
    <t>RUIDIAZ DE YEPEZ VICTORIA JUDITH</t>
  </si>
  <si>
    <t>RUI**** DE YEP** VIC***** JUD***</t>
  </si>
  <si>
    <t>51654137</t>
  </si>
  <si>
    <t>RUIZ ROMERO MERY PATRICIA</t>
  </si>
  <si>
    <t>RUI* ROM*** MER* PAT*****</t>
  </si>
  <si>
    <t>51703461</t>
  </si>
  <si>
    <t>CAMPO RUIZ AURA</t>
  </si>
  <si>
    <t>CAM** RUI* AUR*</t>
  </si>
  <si>
    <t>51715970</t>
  </si>
  <si>
    <t>ZAMBRANO GUETTE MELBIS MARIA</t>
  </si>
  <si>
    <t>ZAM***** GUE*** MEL*** MAR**</t>
  </si>
  <si>
    <t>51744577</t>
  </si>
  <si>
    <t>LEAL RICO MARTHA LUCIA</t>
  </si>
  <si>
    <t>LEA* RIC* MAR*** LUC**</t>
  </si>
  <si>
    <t>51808654</t>
  </si>
  <si>
    <t>DELGHANS PABON PATRICIA DEL CARMEN</t>
  </si>
  <si>
    <t>DEL***** PAB** PAT***** DEL CAR***</t>
  </si>
  <si>
    <t>51810451</t>
  </si>
  <si>
    <t>GUTIERREZ ORTIZ SEBASTIANA</t>
  </si>
  <si>
    <t>GUT****** ORT** SEB*******</t>
  </si>
  <si>
    <t>51810563</t>
  </si>
  <si>
    <t>RENGIFO LOZANO ELSY</t>
  </si>
  <si>
    <t>REN**** LOZ*** ELS*</t>
  </si>
  <si>
    <t>51877349</t>
  </si>
  <si>
    <t>MUÃ¿Z LOPEZ MARINA MAGDALENA</t>
  </si>
  <si>
    <t>MUÃ** LOP** MAR*** MAG******</t>
  </si>
  <si>
    <t>52003493</t>
  </si>
  <si>
    <t>ELLES PUELLO NUBIA DEL CARMEN</t>
  </si>
  <si>
    <t>ELL** PUE*** NUB** DEL CAR***</t>
  </si>
  <si>
    <t>52019183</t>
  </si>
  <si>
    <t>FELIZZOLA INFANTE YOLIMA</t>
  </si>
  <si>
    <t>FEL****** INF**** YOL***</t>
  </si>
  <si>
    <t>52045910</t>
  </si>
  <si>
    <t>ALFARO FERNANDEZ MERIETH</t>
  </si>
  <si>
    <t>ALF*** FER****** MER****</t>
  </si>
  <si>
    <t>52072156</t>
  </si>
  <si>
    <t>LOPEZ PEREZ ELEANA</t>
  </si>
  <si>
    <t>LOP** PER** ELE***</t>
  </si>
  <si>
    <t>52145951</t>
  </si>
  <si>
    <t>ORTIZ IBAÑEZ SOLEDAD YADIRA</t>
  </si>
  <si>
    <t>ORT** IBA*** SOL**** YAD***</t>
  </si>
  <si>
    <t>52181844</t>
  </si>
  <si>
    <t>RUIZ FUENTES BEATRIZ ELENA</t>
  </si>
  <si>
    <t>RUI* FUE**** BEA**** ELE**</t>
  </si>
  <si>
    <t>52314758</t>
  </si>
  <si>
    <t>NAVARRO RAMIREZ LETICIA DEL CARMEN</t>
  </si>
  <si>
    <t>NAV**** RAM**** LET**** DEL CAR***</t>
  </si>
  <si>
    <t>52319118</t>
  </si>
  <si>
    <t>ARROYAVE ROJAS ARACELLY</t>
  </si>
  <si>
    <t>ARR***** ROJ** ARA*****</t>
  </si>
  <si>
    <t>52386585</t>
  </si>
  <si>
    <t>DELGADO CABRERA NATALIA</t>
  </si>
  <si>
    <t>DEL**** CAB**** NAT****</t>
  </si>
  <si>
    <t>52411404</t>
  </si>
  <si>
    <t>OSPINO SORACA ELIZABETH</t>
  </si>
  <si>
    <t>OSP*** SOR*** ELI******</t>
  </si>
  <si>
    <t>52426802</t>
  </si>
  <si>
    <t>RUIZ MARTINEZ YEMMYS MILENA</t>
  </si>
  <si>
    <t>RUI* MAR***** YEM*** MIL***</t>
  </si>
  <si>
    <t>52435158</t>
  </si>
  <si>
    <t>GOMEZ FORERO CLAUDIA MARCELA</t>
  </si>
  <si>
    <t>GOM** FOR*** CLA**** MAR****</t>
  </si>
  <si>
    <t>52477024</t>
  </si>
  <si>
    <t>TRUJILLO MEDINA CIELO NEREIDA</t>
  </si>
  <si>
    <t>TRU***** MED*** CIE** NER****</t>
  </si>
  <si>
    <t>52521424</t>
  </si>
  <si>
    <t>MONTOYA CAMELO DIANA CECILIA</t>
  </si>
  <si>
    <t>MON**** CAM*** DIA** CEC****</t>
  </si>
  <si>
    <t>52712226</t>
  </si>
  <si>
    <t>ACUÑA BENITEZ SUGEIDY DE JESUS</t>
  </si>
  <si>
    <t>ACU** BEN**** SUG**** DE JES**</t>
  </si>
  <si>
    <t>52717334</t>
  </si>
  <si>
    <t>DURAN GUTIERREZ LUCENITH</t>
  </si>
  <si>
    <t>DUR** GUT****** LUC*****</t>
  </si>
  <si>
    <t>52840521</t>
  </si>
  <si>
    <t>PEÑA AGUILAR LILIANA PAOLA</t>
  </si>
  <si>
    <t>PEÑ* AGU**** LIL**** PAO**</t>
  </si>
  <si>
    <t>52896250</t>
  </si>
  <si>
    <t>SERRATO BASTIDAS ANA RITA</t>
  </si>
  <si>
    <t>SER**** BAS***** ANA RIT*</t>
  </si>
  <si>
    <t>52901991</t>
  </si>
  <si>
    <t>HERNANDEZ SANDOVAL OLGA ESTER</t>
  </si>
  <si>
    <t>HER****** SAN***** OLG* EST**</t>
  </si>
  <si>
    <t>52997830</t>
  </si>
  <si>
    <t>MAESTRE PEÑA MARIA CECILIA</t>
  </si>
  <si>
    <t>MAE**** PEÑ* MAR** CEC****</t>
  </si>
  <si>
    <t>55220558</t>
  </si>
  <si>
    <t>MUÑOZ BOLAÑO KATERINE JUDITH</t>
  </si>
  <si>
    <t>MUÑ** BOL*** KAT***** JUD***</t>
  </si>
  <si>
    <t>55223862</t>
  </si>
  <si>
    <t>ALVAREZ MARTINEZ CARMEN SOFIA</t>
  </si>
  <si>
    <t>ALV**** MAR***** CAR*** SOF**</t>
  </si>
  <si>
    <t>55224430</t>
  </si>
  <si>
    <t>ANDRADE ANDRADE TANIA MARIETH</t>
  </si>
  <si>
    <t>AND**** AND**** TAN** MAR****</t>
  </si>
  <si>
    <t>55225587</t>
  </si>
  <si>
    <t>GUERRERO MUÑOZ ELIA LUCIA</t>
  </si>
  <si>
    <t>GUE***** MUÑ** ELI* LUC**</t>
  </si>
  <si>
    <t>55227147</t>
  </si>
  <si>
    <t>ORTEGA OROZCO ANA ESPERANZA</t>
  </si>
  <si>
    <t>ORT*** ORO*** ANA ESP******</t>
  </si>
  <si>
    <t>55231819</t>
  </si>
  <si>
    <t>SALAS SALAS ANA MERCEDES</t>
  </si>
  <si>
    <t>SAL** SAL** ANA MER*****</t>
  </si>
  <si>
    <t>55231956</t>
  </si>
  <si>
    <t>HERNANDEZ CASTRO CRISTINA JUDITH</t>
  </si>
  <si>
    <t>HER****** CAS*** CRI***** JUD***</t>
  </si>
  <si>
    <t>55239257</t>
  </si>
  <si>
    <t>ESCALANTE YEJAS NADIA MILAGRO</t>
  </si>
  <si>
    <t>ESC****** YEJ** NAD** MIL****</t>
  </si>
  <si>
    <t>55245727</t>
  </si>
  <si>
    <t>RADA VARELA GEHOVELL DE JESUS</t>
  </si>
  <si>
    <t>RAD* VAR*** GEH***** DE JES**</t>
  </si>
  <si>
    <t>55245813</t>
  </si>
  <si>
    <t>ROENES ROMERO MILENA PATRICIA</t>
  </si>
  <si>
    <t>ROE*** ROM*** MIL*** PAT*****</t>
  </si>
  <si>
    <t>55246409</t>
  </si>
  <si>
    <t>RAMOS AGUILAR MARIA VICTORIA</t>
  </si>
  <si>
    <t>RAM** AGU**** MAR** VIC*****</t>
  </si>
  <si>
    <t>55246992</t>
  </si>
  <si>
    <t>SINNING MANCILLA KAREN MARGARITA</t>
  </si>
  <si>
    <t>SIN**** MAN***** KAR** MAR******</t>
  </si>
  <si>
    <t>55249549</t>
  </si>
  <si>
    <t>BARRERA ARRIETA MILEIDY</t>
  </si>
  <si>
    <t>BAR**** ARR**** MIL****</t>
  </si>
  <si>
    <t>55300519</t>
  </si>
  <si>
    <t>GUERRA VERGARA CAROLINA ISABEL</t>
  </si>
  <si>
    <t>GUE*** VER**** CAR***** ISA***</t>
  </si>
  <si>
    <t>55305916</t>
  </si>
  <si>
    <t>ESCOBAR PAYARES RUTH MARCELA</t>
  </si>
  <si>
    <t>ESC**** PAY**** RUT* MAR****</t>
  </si>
  <si>
    <t>55308080</t>
  </si>
  <si>
    <t>GOMEZ OROZCO DILIA ESTHER</t>
  </si>
  <si>
    <t>GOM** ORO*** DIL** EST***</t>
  </si>
  <si>
    <t>55309489</t>
  </si>
  <si>
    <t>PEREZ CASADIEGO TANIA MILENA</t>
  </si>
  <si>
    <t>PER** CAS****** TAN** MIL***</t>
  </si>
  <si>
    <t>55312307</t>
  </si>
  <si>
    <t>AGUDELO ALMARIO BRENDA MAGALY</t>
  </si>
  <si>
    <t>AGU**** ALM**** BRE*** MAG***</t>
  </si>
  <si>
    <t>55312519</t>
  </si>
  <si>
    <t>SOLANO PAEZ GERALDINE ESTIBALIZ</t>
  </si>
  <si>
    <t>SOL*** PAE* GER****** EST******</t>
  </si>
  <si>
    <t>56054809</t>
  </si>
  <si>
    <t>TOLEDO DURAN YAJAYRA ESTHER</t>
  </si>
  <si>
    <t>TOL*** DUR** YAJ**** EST***</t>
  </si>
  <si>
    <t>56075505</t>
  </si>
  <si>
    <t>CERVANTES MANJARRES MARY LUZ</t>
  </si>
  <si>
    <t>CER****** MAN****** MAR* LUZ</t>
  </si>
  <si>
    <t>56078972</t>
  </si>
  <si>
    <t>CALDERON BERMUDEZ YENERITH ELENA</t>
  </si>
  <si>
    <t>CAL***** BER***** YEN***** ELE**</t>
  </si>
  <si>
    <t>56079134</t>
  </si>
  <si>
    <t>MENDOZA OÑATE ZAINA</t>
  </si>
  <si>
    <t>MEN**** OÑA** ZAI**</t>
  </si>
  <si>
    <t>56085263</t>
  </si>
  <si>
    <t>MURILLO LOPEZ ANA MERCEDES</t>
  </si>
  <si>
    <t>MUR**** LOP** ANA MER*****</t>
  </si>
  <si>
    <t>56085736</t>
  </si>
  <si>
    <t>MENDINUETA JIMENEZ SANDRA MARGARITA</t>
  </si>
  <si>
    <t>MEN******* JIM**** SAN*** MAR******</t>
  </si>
  <si>
    <t>56086465</t>
  </si>
  <si>
    <t>BERTEL ARCE BERENA PATRICIA</t>
  </si>
  <si>
    <t>BER*** ARC* BER*** PAT*****</t>
  </si>
  <si>
    <t>56086827</t>
  </si>
  <si>
    <t>BARON MERCADO IRIS BEATRIZ</t>
  </si>
  <si>
    <t>BAR** MER**** IRI* BEA****</t>
  </si>
  <si>
    <t>56087314</t>
  </si>
  <si>
    <t>NAVARRO GUTIERREZ NUBIA</t>
  </si>
  <si>
    <t>NAV**** GUT****** NUB**</t>
  </si>
  <si>
    <t>56097149</t>
  </si>
  <si>
    <t>VEGA VEGA MARTHA CECILIA</t>
  </si>
  <si>
    <t>VEG* VEG* MAR*** CEC****</t>
  </si>
  <si>
    <t>57060051</t>
  </si>
  <si>
    <t>ORTIZ GONZALEZ MARIA LOURDES</t>
  </si>
  <si>
    <t>ORT** GON***** MAR** LOU****</t>
  </si>
  <si>
    <t>57070040</t>
  </si>
  <si>
    <t>RUIZ CHARRIS CARMEN EDITH</t>
  </si>
  <si>
    <t>RUI* CHA**** CAR*** EDI**</t>
  </si>
  <si>
    <t>57070223</t>
  </si>
  <si>
    <t>HERNANDEZ ARIZA DENIRIS ESTHER</t>
  </si>
  <si>
    <t>HER****** ARI** DEN**** EST***</t>
  </si>
  <si>
    <t>57085302</t>
  </si>
  <si>
    <t>SINNING MENDOZA YURANY ISABEL</t>
  </si>
  <si>
    <t>SIN**** MEN**** YUR*** ISA***</t>
  </si>
  <si>
    <t>57085457</t>
  </si>
  <si>
    <t>ROYERO PEREZ NORLEIMA DEL CARMEN</t>
  </si>
  <si>
    <t>ROY*** PER** NOR***** DEL CAR***</t>
  </si>
  <si>
    <t>57105261</t>
  </si>
  <si>
    <t>CABALLERO MACIAS JICELA DEL PILAR</t>
  </si>
  <si>
    <t>CAB****** MAC*** JIC*** DEL PIL**</t>
  </si>
  <si>
    <t>57105366</t>
  </si>
  <si>
    <t>GOMEZ LOPEZ YASNURIS ROCIO</t>
  </si>
  <si>
    <t>GOM** LOP** YAS***** ROC**</t>
  </si>
  <si>
    <t>57105415</t>
  </si>
  <si>
    <t>CASTRO CELIS YAXIRA ELENA</t>
  </si>
  <si>
    <t>CAS*** CEL** YAX*** ELE**</t>
  </si>
  <si>
    <t>57105868</t>
  </si>
  <si>
    <t>ORELLANO BERRIO VIVIANA ISABEL</t>
  </si>
  <si>
    <t>ORE***** BER*** VIV**** ISA***</t>
  </si>
  <si>
    <t>57106353</t>
  </si>
  <si>
    <t>SANTANDER SAN JUAN ANA LUZ</t>
  </si>
  <si>
    <t>SAN****** SAN JUA* ANA LUZ</t>
  </si>
  <si>
    <t>57106875</t>
  </si>
  <si>
    <t>MEJIA GARIZABAL ELAINE</t>
  </si>
  <si>
    <t>MEJ** GAR****** ELA***</t>
  </si>
  <si>
    <t>57106883</t>
  </si>
  <si>
    <t>CANTILLO MOSCOTE MALKA IRINA</t>
  </si>
  <si>
    <t>CAN***** MOS**** MAL** IRI**</t>
  </si>
  <si>
    <t>57106941</t>
  </si>
  <si>
    <t>TORRES DE LA ROSA MARIAN</t>
  </si>
  <si>
    <t>TOR*** DE LA ROS* MAR***</t>
  </si>
  <si>
    <t>57107074</t>
  </si>
  <si>
    <t>CAMARGO ACEVEDO GILMA ROSA</t>
  </si>
  <si>
    <t>CAM**** ACE**** GIL** ROS*</t>
  </si>
  <si>
    <t>57115060</t>
  </si>
  <si>
    <t>DE AVILA ALTAHONA BEATRIZ DEL CARMEN</t>
  </si>
  <si>
    <t>DE AVI** ALT***** BEA**** DEL CAR***</t>
  </si>
  <si>
    <t>57115144</t>
  </si>
  <si>
    <t>BARRIOS BARRIOS MARIA EDUARDA</t>
  </si>
  <si>
    <t>BAR**** BAR**** MAR** EDU****</t>
  </si>
  <si>
    <t>57115145</t>
  </si>
  <si>
    <t>DE AVILA ALTAHONA YOLIS DE JESUS</t>
  </si>
  <si>
    <t>DE AVI** ALT***** YOL** DE JES**</t>
  </si>
  <si>
    <t>57115248</t>
  </si>
  <si>
    <t>SIMANCA VILLALBA MIRIAM DEL CARMEN</t>
  </si>
  <si>
    <t>SIM**** VIL***** MIR*** DEL CAR***</t>
  </si>
  <si>
    <t>57115249</t>
  </si>
  <si>
    <t>SIMANCA VILLALBA ENITH JUDITH</t>
  </si>
  <si>
    <t>SIM**** VIL***** ENI** JUD***</t>
  </si>
  <si>
    <t>57115267</t>
  </si>
  <si>
    <t>PATERNOSTRO ANDRADE JAKELINE</t>
  </si>
  <si>
    <t>PAT******** AND**** JAK*****</t>
  </si>
  <si>
    <t>57115272</t>
  </si>
  <si>
    <t>ANDRADE BARRIOS ANA MARIA</t>
  </si>
  <si>
    <t>AND**** BAR**** ANA MAR**</t>
  </si>
  <si>
    <t>57115277</t>
  </si>
  <si>
    <t>JARABA DE ACOSTA DIGNA ROSA</t>
  </si>
  <si>
    <t>JAR*** DE ACO*** DIG** ROS*</t>
  </si>
  <si>
    <t>57115374</t>
  </si>
  <si>
    <t>JARABA MARRIAGA IGNACIA MARIA</t>
  </si>
  <si>
    <t>JAR*** MAR***** IGN**** MAR**</t>
  </si>
  <si>
    <t>57115397</t>
  </si>
  <si>
    <t>CASTILLO OVIEDO EDILSA ISABEL</t>
  </si>
  <si>
    <t>CAS***** OVI*** EDI*** ISA***</t>
  </si>
  <si>
    <t>57115481</t>
  </si>
  <si>
    <t>ANDRADE HERRERA ANA MERCEDES</t>
  </si>
  <si>
    <t>AND**** HER**** ANA MER*****</t>
  </si>
  <si>
    <t>57115496</t>
  </si>
  <si>
    <t>PATERNOSTRO VENERA DALGIS DANIT</t>
  </si>
  <si>
    <t>PAT******** VEN*** DAL*** DAN**</t>
  </si>
  <si>
    <t>57115542</t>
  </si>
  <si>
    <t>RODRIGUEZ CABRERA OSIRIS DE JESUS</t>
  </si>
  <si>
    <t>ROD****** CAB**** OSI*** DE JES**</t>
  </si>
  <si>
    <t>57115561</t>
  </si>
  <si>
    <t>BERMUDEZ TAPIA CARMEN MANUELA</t>
  </si>
  <si>
    <t>BER***** TAP** CAR*** MAN****</t>
  </si>
  <si>
    <t>57115629</t>
  </si>
  <si>
    <t>SIMANCA LIZCANO INES ADIELA</t>
  </si>
  <si>
    <t>SIM**** LIZ**** INE* ADI***</t>
  </si>
  <si>
    <t>57115653</t>
  </si>
  <si>
    <t>SIERRA ANDRADE MARIA BERNAVELA</t>
  </si>
  <si>
    <t>SIE*** AND**** MAR** BER******</t>
  </si>
  <si>
    <t>57115699</t>
  </si>
  <si>
    <t>ANAYA OROZCO URITH MARIA</t>
  </si>
  <si>
    <t>ANA** ORO*** URI** MAR**</t>
  </si>
  <si>
    <t>57115701</t>
  </si>
  <si>
    <t>ANDRADE JARABA ANA MARIA</t>
  </si>
  <si>
    <t>AND**** JAR*** ANA MAR**</t>
  </si>
  <si>
    <t>57115742</t>
  </si>
  <si>
    <t>OROZCO MARRIAGA DIANA MARIA</t>
  </si>
  <si>
    <t>ORO*** MAR***** DIA** MAR**</t>
  </si>
  <si>
    <t>57115768</t>
  </si>
  <si>
    <t>ANDRADE BARRIOS DANITH JUDITH</t>
  </si>
  <si>
    <t>AND**** BAR**** DAN*** JUD***</t>
  </si>
  <si>
    <t>57115769</t>
  </si>
  <si>
    <t>MONTERO BARRIOS YADIRA ISABEL</t>
  </si>
  <si>
    <t>MON**** BAR**** YAD*** ISA***</t>
  </si>
  <si>
    <t>57115775</t>
  </si>
  <si>
    <t>OROZCO MERIÑO ROSMIRY ISABEL</t>
  </si>
  <si>
    <t>ORO*** MER*** ROS**** ISA***</t>
  </si>
  <si>
    <t>57115815</t>
  </si>
  <si>
    <t>OROZCO BARRIOS EXEL PATRICIA</t>
  </si>
  <si>
    <t>ORO*** BAR**** EXE* PAT*****</t>
  </si>
  <si>
    <t>57115820</t>
  </si>
  <si>
    <t>GARCIA BARRETO LIDIS MARGOTH</t>
  </si>
  <si>
    <t>GAR*** BAR**** LID** MAR****</t>
  </si>
  <si>
    <t>57115843</t>
  </si>
  <si>
    <t>TORRES BOLAÑO NACIRA JUDITH</t>
  </si>
  <si>
    <t>TOR*** BOL*** NAC*** JUD***</t>
  </si>
  <si>
    <t>57115853</t>
  </si>
  <si>
    <t>HERRERA VERGARA SORIS DEL SOCORRO</t>
  </si>
  <si>
    <t>HER**** VER**** SOR** DEL SOC****</t>
  </si>
  <si>
    <t>57115858</t>
  </si>
  <si>
    <t>BARRIOS SIERRA ANGELICA MARIA</t>
  </si>
  <si>
    <t>BAR**** SIE*** ANG***** MAR**</t>
  </si>
  <si>
    <t>57115900</t>
  </si>
  <si>
    <t>CABRERA MEJIA ISABEL MARIA</t>
  </si>
  <si>
    <t>CAB**** MEJ** ISA*** MAR**</t>
  </si>
  <si>
    <t>57115905</t>
  </si>
  <si>
    <t>CABALLERO MENDOZA GLENDA LILIANA</t>
  </si>
  <si>
    <t>CAB****** MEN**** GLE*** LIL****</t>
  </si>
  <si>
    <t>57115913</t>
  </si>
  <si>
    <t>OROZCO ANDRADE LUISA ESTHER</t>
  </si>
  <si>
    <t>ORO*** AND**** LUI** EST***</t>
  </si>
  <si>
    <t>57115922</t>
  </si>
  <si>
    <t>TORREGROZA CONTRERAS ALBA LUZ</t>
  </si>
  <si>
    <t>TOR******* CON****** ALB* LUZ</t>
  </si>
  <si>
    <t>57115946</t>
  </si>
  <si>
    <t>TORRES VERGARA MARIA EMPERATRIZ</t>
  </si>
  <si>
    <t>TOR*** VER**** MAR** EMP*******</t>
  </si>
  <si>
    <t>57116024</t>
  </si>
  <si>
    <t>SIERRA HERRERA ELSA ESTHER</t>
  </si>
  <si>
    <t>SIE*** HER**** ELS* EST***</t>
  </si>
  <si>
    <t>57116053</t>
  </si>
  <si>
    <t>DE ARCO VALENCIA ELSA YANETH</t>
  </si>
  <si>
    <t>DE ARC* VAL***** ELS* YAN***</t>
  </si>
  <si>
    <t>57116089</t>
  </si>
  <si>
    <t>YASNAYA MARINA ANAYA ALEMAN</t>
  </si>
  <si>
    <t>YAS**** MAR*** ANA** ALE***</t>
  </si>
  <si>
    <t>57116226</t>
  </si>
  <si>
    <t>ARROYO MORA ZAMIRNA ISABEL</t>
  </si>
  <si>
    <t>ARR*** MOR* ZAM**** ISA***</t>
  </si>
  <si>
    <t>57116257</t>
  </si>
  <si>
    <t>MONTERO HERRERA MARLA ISABEL</t>
  </si>
  <si>
    <t>MON**** HER**** MAR** ISA***</t>
  </si>
  <si>
    <t>57116307</t>
  </si>
  <si>
    <t>BRIEVA GAMARRA NORMA ISABEL</t>
  </si>
  <si>
    <t>BRI*** GAM**** NOR** ISA***</t>
  </si>
  <si>
    <t>57116401</t>
  </si>
  <si>
    <t>CONTRERAS ARAGON DILIA ROSA</t>
  </si>
  <si>
    <t>CON****** ARA*** DIL** ROS*</t>
  </si>
  <si>
    <t>57116518</t>
  </si>
  <si>
    <t>DE LA HOZ OSPINO ILDA MARINA</t>
  </si>
  <si>
    <t>DE LA HOZ OSP*** ILD* MAR***</t>
  </si>
  <si>
    <t>57116546</t>
  </si>
  <si>
    <t>OSPINO ARIZA ARACELIS ESTHER</t>
  </si>
  <si>
    <t>OSP*** ARI** ARA***** EST***</t>
  </si>
  <si>
    <t>57116602</t>
  </si>
  <si>
    <t>LOBO MOSQUERA MARTINA MARIA</t>
  </si>
  <si>
    <t>LOB* MOS***** MAR**** MAR**</t>
  </si>
  <si>
    <t>57116826</t>
  </si>
  <si>
    <t>DE LOS REYES DE LA HOZ LUCELYS MARIA</t>
  </si>
  <si>
    <t>DE LOS REY** DE LA HOZ LUC**** MAR**</t>
  </si>
  <si>
    <t>57116844</t>
  </si>
  <si>
    <t>SANCHEZ OROZCO BELIA ISABEL</t>
  </si>
  <si>
    <t>SAN**** ORO*** BEL** ISA***</t>
  </si>
  <si>
    <t>57116974</t>
  </si>
  <si>
    <t>NUÑEZ GAMARRA MARIA ENCARNACION</t>
  </si>
  <si>
    <t>NUÑ** GAM**** MAR** ENC********</t>
  </si>
  <si>
    <t>57116990</t>
  </si>
  <si>
    <t>LOZANO ANDRADE LINA MARIA</t>
  </si>
  <si>
    <t>LOZ*** AND**** LIN* MAR**</t>
  </si>
  <si>
    <t>57117076</t>
  </si>
  <si>
    <t>GARCIA RADA ERIKA PATRICIA</t>
  </si>
  <si>
    <t>GAR*** RAD* ERI** PAT*****</t>
  </si>
  <si>
    <t>57117083</t>
  </si>
  <si>
    <t>PATERNOSTRO LOBO LORENA PATRICIA</t>
  </si>
  <si>
    <t>PAT******** LOB* LOR*** PAT*****</t>
  </si>
  <si>
    <t>57117159</t>
  </si>
  <si>
    <t>ANDRADE DEL VALLE MARIA ISABEL</t>
  </si>
  <si>
    <t>AND**** DEL VAL** MAR** ISA***</t>
  </si>
  <si>
    <t>57117168</t>
  </si>
  <si>
    <t>LOZANO BECERRA MARIA JOSE</t>
  </si>
  <si>
    <t>LOZ*** BEC**** MAR** JOS*</t>
  </si>
  <si>
    <t>57117172</t>
  </si>
  <si>
    <t>BARRIOS DE AGUAS DIANA LUCIA</t>
  </si>
  <si>
    <t>BAR**** DE AGU** DIA** LUC**</t>
  </si>
  <si>
    <t>57117207</t>
  </si>
  <si>
    <t>SERRANO HERRERA VANESSA ESTHER</t>
  </si>
  <si>
    <t>SER**** HER**** VAN**** EST***</t>
  </si>
  <si>
    <t>57117224</t>
  </si>
  <si>
    <t>CONTRERAS DELGADO FABIOLA VANESSA</t>
  </si>
  <si>
    <t>CON****** DEL**** FAB**** VAN****</t>
  </si>
  <si>
    <t>57117249</t>
  </si>
  <si>
    <t>CARDENAS PERCY NINI DAYANA</t>
  </si>
  <si>
    <t>CAR***** PER** NIN* DAY***</t>
  </si>
  <si>
    <t>57117334</t>
  </si>
  <si>
    <t>PADILLA TORRIJOS MONICA PATRICIA</t>
  </si>
  <si>
    <t>PAD**** TOR***** MON*** PAT*****</t>
  </si>
  <si>
    <t>57117362</t>
  </si>
  <si>
    <t>ESCORCIA ALMANZA YERCELIS DEL CARMEN</t>
  </si>
  <si>
    <t>ESC***** ALM**** YER***** DEL CAR***</t>
  </si>
  <si>
    <t>57117645</t>
  </si>
  <si>
    <t>GAMARRA DE AVILA MARIA DEL CARMEN</t>
  </si>
  <si>
    <t>GAM**** DE AVI** MAR** DEL CAR***</t>
  </si>
  <si>
    <t>57117722</t>
  </si>
  <si>
    <t>GARCIA BARRETO MIRLA ESTHER</t>
  </si>
  <si>
    <t>GAR*** BAR**** MIR** EST***</t>
  </si>
  <si>
    <t>57117723</t>
  </si>
  <si>
    <t>RODRIGUEZ BERMUDEZ INES</t>
  </si>
  <si>
    <t>ROD****** BER***** INE*</t>
  </si>
  <si>
    <t>57117910</t>
  </si>
  <si>
    <t>MEJIA CONTRERAS ROSA LUZ</t>
  </si>
  <si>
    <t>MEJ** CON****** ROS* LUZ</t>
  </si>
  <si>
    <t>57117934</t>
  </si>
  <si>
    <t>MEDINA OÑORO LUZ MARY</t>
  </si>
  <si>
    <t>MED*** OÑO** LUZ MAR*</t>
  </si>
  <si>
    <t>57140182</t>
  </si>
  <si>
    <t>MORALES PIÑA USMERYS MARIA</t>
  </si>
  <si>
    <t>MOR**** PIÑ* USM**** MAR**</t>
  </si>
  <si>
    <t>57140227</t>
  </si>
  <si>
    <t>MENDOZA TEHERAN MARIA IRENE</t>
  </si>
  <si>
    <t>MEN**** TEH**** MAR** IRE**</t>
  </si>
  <si>
    <t>57150036</t>
  </si>
  <si>
    <t>CASTILLO BUJATO ROSA ISABEL</t>
  </si>
  <si>
    <t>CAS***** BUJ*** ROS* ISA***</t>
  </si>
  <si>
    <t>57150059</t>
  </si>
  <si>
    <t>ORELLANO CASTILLO ELSY</t>
  </si>
  <si>
    <t>ORE***** CAS***** ELS*</t>
  </si>
  <si>
    <t>57170104</t>
  </si>
  <si>
    <t>LOZANO MOZO ZULEIMA DEL CARMEN</t>
  </si>
  <si>
    <t>LOZ*** MOZ* ZUL**** DEL CAR***</t>
  </si>
  <si>
    <t>57170111</t>
  </si>
  <si>
    <t>CABELLO ARIZA LUZ ELENA</t>
  </si>
  <si>
    <t>CAB**** ARI** LUZ ELE**</t>
  </si>
  <si>
    <t>57170178</t>
  </si>
  <si>
    <t>ARCON VIDAL CARMEN SOFIA</t>
  </si>
  <si>
    <t>ARC** VID** CAR*** SOF**</t>
  </si>
  <si>
    <t>57170372</t>
  </si>
  <si>
    <t>BERDUGO AYOLA MARYORIS</t>
  </si>
  <si>
    <t>BER**** AYO** MAR*****</t>
  </si>
  <si>
    <t>57170530</t>
  </si>
  <si>
    <t>CUENTA SARA SARA</t>
  </si>
  <si>
    <t>CUE*** SAR* SAR*</t>
  </si>
  <si>
    <t>57170840</t>
  </si>
  <si>
    <t>SANDOVAL PEINADO LISBETH PATRICIA</t>
  </si>
  <si>
    <t>SAN***** PEI**** LIS**** PAT*****</t>
  </si>
  <si>
    <t>57171039</t>
  </si>
  <si>
    <t>ROYERO BARRIOS IBETH MARIA</t>
  </si>
  <si>
    <t>ROY*** BAR**** IBE** MAR**</t>
  </si>
  <si>
    <t>57171472</t>
  </si>
  <si>
    <t>CASTILLO PALACIO ADELA MERCEDES</t>
  </si>
  <si>
    <t>CAS***** PAL**** ADE** MER*****</t>
  </si>
  <si>
    <t>57172054</t>
  </si>
  <si>
    <t>MARTINEZ BARRIOS ANA ROSA</t>
  </si>
  <si>
    <t>MAR***** BAR**** ANA ROS*</t>
  </si>
  <si>
    <t>57172106</t>
  </si>
  <si>
    <t>NAVARRO OROZCO KAREN PAOLA</t>
  </si>
  <si>
    <t>NAV**** ORO*** KAR** PAO**</t>
  </si>
  <si>
    <t>57200057</t>
  </si>
  <si>
    <t>RODRIGUEZ HERNANDEZ CAROLINA ISABEL</t>
  </si>
  <si>
    <t>ROD****** HER****** CAR***** ISA***</t>
  </si>
  <si>
    <t>57200110</t>
  </si>
  <si>
    <t>PERTUZ DE AVILA YADIS ELENA</t>
  </si>
  <si>
    <t>PER*** DE AVI** YAD** ELE**</t>
  </si>
  <si>
    <t>57270088</t>
  </si>
  <si>
    <t>CHIQUILLO MANOTAS DELFINA ROSA</t>
  </si>
  <si>
    <t>CHI****** MAN**** DEL**** ROS*</t>
  </si>
  <si>
    <t>57270124</t>
  </si>
  <si>
    <t>PEREIRA IBAÑEZ SARAY CECILIA</t>
  </si>
  <si>
    <t>PER**** IBA*** SAR** CEC****</t>
  </si>
  <si>
    <t>57270154</t>
  </si>
  <si>
    <t>AGRESOTH PAEZ BELLYS JANETH</t>
  </si>
  <si>
    <t>AGR***** PAE* BEL*** JAN***</t>
  </si>
  <si>
    <t>57270256</t>
  </si>
  <si>
    <t>PALENCIA BELTRAN LILIANA PATRICIA</t>
  </si>
  <si>
    <t>PAL***** BEL**** LIL**** PAT*****</t>
  </si>
  <si>
    <t>57270348</t>
  </si>
  <si>
    <t>MONTOYA VIZCAINO OSIRIS YOHANA</t>
  </si>
  <si>
    <t>MON**** VIZ***** OSI*** YOH***</t>
  </si>
  <si>
    <t>57270349</t>
  </si>
  <si>
    <t>RODRIGUEZ LOPEZ KAREN SOFIA</t>
  </si>
  <si>
    <t>ROD****** LOP** KAR** SOF**</t>
  </si>
  <si>
    <t>57270433</t>
  </si>
  <si>
    <t>CANTILLO LINERO CARMEN BEATRIZ</t>
  </si>
  <si>
    <t>CAN***** LIN*** CAR*** BEA****</t>
  </si>
  <si>
    <t>57270560</t>
  </si>
  <si>
    <t>TABORDA COTES LISBETH</t>
  </si>
  <si>
    <t>TAB**** COT** LIS****</t>
  </si>
  <si>
    <t>57270595</t>
  </si>
  <si>
    <t>HUELVAS BORJA LISETH PAOLA</t>
  </si>
  <si>
    <t>HUE**** BOR** LIS*** PAO**</t>
  </si>
  <si>
    <t>57270863</t>
  </si>
  <si>
    <t>RODRIGUEZ BARON YOLIDIS MILENA</t>
  </si>
  <si>
    <t>ROD****** BAR** YOL**** MIL***</t>
  </si>
  <si>
    <t>57270943</t>
  </si>
  <si>
    <t>BELEÑO NAVARRO DARLYS PAOLA</t>
  </si>
  <si>
    <t>BEL*** NAV**** DAR*** PAO**</t>
  </si>
  <si>
    <t>57271074</t>
  </si>
  <si>
    <t>ROMERO MEJIA MEREDITH</t>
  </si>
  <si>
    <t>ROM*** MEJ** MER*****</t>
  </si>
  <si>
    <t>57271528</t>
  </si>
  <si>
    <t>POLO CASTRO YORLEIDIS ESTHER</t>
  </si>
  <si>
    <t>POL* CAS*** YOR****** EST***</t>
  </si>
  <si>
    <t>57271591</t>
  </si>
  <si>
    <t>DE AGUA DIAZ YOSNEBYS SOFIA</t>
  </si>
  <si>
    <t>DE AGU* DIA* YOS***** SOF**</t>
  </si>
  <si>
    <t>57271605</t>
  </si>
  <si>
    <t>CARRILLO PONCE YURANIS</t>
  </si>
  <si>
    <t>CAR***** PON** YUR****</t>
  </si>
  <si>
    <t>57271891</t>
  </si>
  <si>
    <t>CASIANI CABALLERO KELIS MERCEDES</t>
  </si>
  <si>
    <t>CAS**** CAB****** KEL** MER*****</t>
  </si>
  <si>
    <t>57271982</t>
  </si>
  <si>
    <t>GUTIERREZ VILLAMIL MARINA BEATRIZ</t>
  </si>
  <si>
    <t>GUT****** VIL***** MAR*** BEA****</t>
  </si>
  <si>
    <t>57272007</t>
  </si>
  <si>
    <t>DUARTE FLOREZ ELIDA CENITH</t>
  </si>
  <si>
    <t>DUA*** FLO*** ELI** CEN***</t>
  </si>
  <si>
    <t>57272016</t>
  </si>
  <si>
    <t>BUELVAS OROZCO ELSA JUDITH</t>
  </si>
  <si>
    <t>BUE**** ORO*** ELS* JUD***</t>
  </si>
  <si>
    <t>57272225</t>
  </si>
  <si>
    <t>VARELA MONTERROZA KAREN PATRICIA</t>
  </si>
  <si>
    <t>VAR*** MON******* KAR** PAT*****</t>
  </si>
  <si>
    <t>57272792</t>
  </si>
  <si>
    <t>FLOREZ LOPEZ LIDIS MARINA</t>
  </si>
  <si>
    <t>FLO*** LOP** LID** MAR***</t>
  </si>
  <si>
    <t>57272819</t>
  </si>
  <si>
    <t>LARIOS DE LEON WENDY YURANY</t>
  </si>
  <si>
    <t>LAR*** DE LEO* WEN** YUR***</t>
  </si>
  <si>
    <t>57272820</t>
  </si>
  <si>
    <t>ROCA ESCORCIA GREYS MADELEYNE</t>
  </si>
  <si>
    <t>ROC* ESC***** GRE** MAD******</t>
  </si>
  <si>
    <t>57272867</t>
  </si>
  <si>
    <t>ARRIETA CONTRERAS DIANIS ZENITH</t>
  </si>
  <si>
    <t>ARR**** CON****** DIA*** ZEN***</t>
  </si>
  <si>
    <t>57272906</t>
  </si>
  <si>
    <t>ROJAS AREVALO LUZ ESTELLA</t>
  </si>
  <si>
    <t>ROJ** ARE**** LUZ EST****</t>
  </si>
  <si>
    <t>57272955</t>
  </si>
  <si>
    <t>VALENCIA DE LA HOZ ALICIA ESTHER</t>
  </si>
  <si>
    <t>VAL***** DE LA HOZ ALI*** EST***</t>
  </si>
  <si>
    <t>57273247</t>
  </si>
  <si>
    <t>JIMENEZ FERREIRA CINDY PATRICIA</t>
  </si>
  <si>
    <t>JIM**** FER***** CIN** PAT*****</t>
  </si>
  <si>
    <t>57273520</t>
  </si>
  <si>
    <t>ORTIZ BARROS NINIBETH ROSA</t>
  </si>
  <si>
    <t>ORT** BAR*** NIN***** ROS*</t>
  </si>
  <si>
    <t>57280046</t>
  </si>
  <si>
    <t>PUELLO TORREGROSA FLOR DE MARIA</t>
  </si>
  <si>
    <t>PUE*** TOR******* FLO* DE MAR**</t>
  </si>
  <si>
    <t>57280047</t>
  </si>
  <si>
    <t>PUELLO TORREGROSA MARIBEL CRISTINA</t>
  </si>
  <si>
    <t>PUE*** TOR******* MAR**** CRI*****</t>
  </si>
  <si>
    <t>57280060</t>
  </si>
  <si>
    <t>MORENO OROZCO HERLINDA</t>
  </si>
  <si>
    <t>MOR*** ORO*** HER*****</t>
  </si>
  <si>
    <t>57280112</t>
  </si>
  <si>
    <t>ALTAHONA CERVANTES LUDIS ESPERANZA</t>
  </si>
  <si>
    <t>ALT***** CER****** LUD** ESP******</t>
  </si>
  <si>
    <t>57280120</t>
  </si>
  <si>
    <t>ACOSTA CABALLERO ROSMERY</t>
  </si>
  <si>
    <t>ACO*** CAB****** ROS****</t>
  </si>
  <si>
    <t>57280167</t>
  </si>
  <si>
    <t>GRANADOS LOBO MAVIS BEATRIZ</t>
  </si>
  <si>
    <t>GRA***** LOB* MAV** BEA****</t>
  </si>
  <si>
    <t>57280168</t>
  </si>
  <si>
    <t>ESCALANTE CHARRIS VALDIS MARIA</t>
  </si>
  <si>
    <t>ESC****** CHA**** VAL*** MAR**</t>
  </si>
  <si>
    <t>57280306</t>
  </si>
  <si>
    <t>HERNANDEZ MOLINA NAYS BEATRIZ</t>
  </si>
  <si>
    <t>HER****** MOL*** NAY* BEA****</t>
  </si>
  <si>
    <t>57280330</t>
  </si>
  <si>
    <t>ZAPATA CABALLERO XIOMARA DE JESUS</t>
  </si>
  <si>
    <t>ZAP*** CAB****** XIO**** DE JES**</t>
  </si>
  <si>
    <t>57280339</t>
  </si>
  <si>
    <t>ZAPATA CABALLERO NARCISA SAMIRA</t>
  </si>
  <si>
    <t>ZAP*** CAB****** NAR**** SAM***</t>
  </si>
  <si>
    <t>57280344</t>
  </si>
  <si>
    <t>PEREZ AVILA NELSI ALICIA</t>
  </si>
  <si>
    <t>PER** AVI** NEL** ALI***</t>
  </si>
  <si>
    <t>57280345</t>
  </si>
  <si>
    <t>CABALLERO ALTAHONA MILEIDA MARINA</t>
  </si>
  <si>
    <t>CAB****** ALT***** MIL**** MAR***</t>
  </si>
  <si>
    <t>57280368</t>
  </si>
  <si>
    <t>DAVILA PERTUZ VICTORIA ELENA</t>
  </si>
  <si>
    <t>DAV*** PER*** VIC***** ELE**</t>
  </si>
  <si>
    <t>57280442</t>
  </si>
  <si>
    <t>ALTAMAR MARTINEZ MARTHA ISABEL</t>
  </si>
  <si>
    <t>ALT**** MAR***** MAR*** ISA***</t>
  </si>
  <si>
    <t>57280447</t>
  </si>
  <si>
    <t>APARICIO ORTEGA GILMA ISABEL</t>
  </si>
  <si>
    <t>APA***** ORT*** GIL** ISA***</t>
  </si>
  <si>
    <t>57280470</t>
  </si>
  <si>
    <t>VILLAFAÑA BORRERO MARTA CECILIA</t>
  </si>
  <si>
    <t>VIL****** BOR**** MAR** CEC****</t>
  </si>
  <si>
    <t>57280496</t>
  </si>
  <si>
    <t>VIZCAINO RUIZ ENUA BEATRIZ</t>
  </si>
  <si>
    <t>VIZ***** RUI* ENU* BEA****</t>
  </si>
  <si>
    <t>57280517</t>
  </si>
  <si>
    <t>ROVIRA SIERRA MANUELA ESTHER</t>
  </si>
  <si>
    <t>ROV*** SIE*** MAN**** EST***</t>
  </si>
  <si>
    <t>57280518</t>
  </si>
  <si>
    <t>PERTUZ MEJIA MARIA DEL ROSARIO</t>
  </si>
  <si>
    <t>PER*** MEJ** MAR** DEL ROS****</t>
  </si>
  <si>
    <t>57280548</t>
  </si>
  <si>
    <t>CERVANTES DE LA MATA DAMID DEL AMPARO</t>
  </si>
  <si>
    <t>CER****** DE LA MAT* DAM** DEL AMP***</t>
  </si>
  <si>
    <t>57280550</t>
  </si>
  <si>
    <t>RIVERA GOMEZ YASNIRELDA ANAYS</t>
  </si>
  <si>
    <t>RIV*** GOM** YAS******* ANA**</t>
  </si>
  <si>
    <t>57280551</t>
  </si>
  <si>
    <t>LOPEZ POLO YANET MARIA</t>
  </si>
  <si>
    <t>LOP** POL* YAN** MAR**</t>
  </si>
  <si>
    <t>57280584</t>
  </si>
  <si>
    <t>MORENO CARRETERO EMPERATRIZ</t>
  </si>
  <si>
    <t>MOR*** CAR****** EMP*******</t>
  </si>
  <si>
    <t>57280595</t>
  </si>
  <si>
    <t>AVENDAÑO VILLAMIL DALIDA ESTELA</t>
  </si>
  <si>
    <t>AVE***** VIL***** DAL*** EST***</t>
  </si>
  <si>
    <t>57280691</t>
  </si>
  <si>
    <t>MORALES MORENO LUZ DIBIA</t>
  </si>
  <si>
    <t>MOR**** MOR*** LUZ DIB**</t>
  </si>
  <si>
    <t>57280756</t>
  </si>
  <si>
    <t>MANCILLA SARMIENTO JULIA ANTONIA</t>
  </si>
  <si>
    <t>MAN***** SAR****** JUL** ANT****</t>
  </si>
  <si>
    <t>57280796</t>
  </si>
  <si>
    <t>LEAL CERVANTES ROSALBINA</t>
  </si>
  <si>
    <t>LEA* CER****** ROS******</t>
  </si>
  <si>
    <t>57280826</t>
  </si>
  <si>
    <t>CHACON MIRANDA ANGELICA MARIA</t>
  </si>
  <si>
    <t>CHA*** MIR**** ANG***** MAR**</t>
  </si>
  <si>
    <t>57280833</t>
  </si>
  <si>
    <t>ALTAHONA DE LA HOZ MARTHA CECILIA</t>
  </si>
  <si>
    <t>ALT***** DE LA HOZ MAR*** CEC****</t>
  </si>
  <si>
    <t>57280834</t>
  </si>
  <si>
    <t>AVENDAÑO VILLAMIL AIDA LUZ</t>
  </si>
  <si>
    <t>AVE***** VIL***** AID* LUZ</t>
  </si>
  <si>
    <t>57280835</t>
  </si>
  <si>
    <t>VILLALOBOS RODRIGUEZ MILADIS ISABEL</t>
  </si>
  <si>
    <t>VIL******* ROD****** MIL**** ISA***</t>
  </si>
  <si>
    <t>57280842</t>
  </si>
  <si>
    <t>BARRIOS HERNANDEZ ERNESTINA ISABEL</t>
  </si>
  <si>
    <t>BAR**** HER****** ERN****** ISA***</t>
  </si>
  <si>
    <t>57280858</t>
  </si>
  <si>
    <t>SIERRA CONRADO INES DEL SOCORRO</t>
  </si>
  <si>
    <t>SIE*** CON**** INE* DEL SOC****</t>
  </si>
  <si>
    <t>57280934</t>
  </si>
  <si>
    <t>ACUÑA GARIZABALO BEATRIZ ELENA</t>
  </si>
  <si>
    <t>ACU** GAR******* BEA**** ELE**</t>
  </si>
  <si>
    <t>57280936</t>
  </si>
  <si>
    <t>GARCIA VILORIA MILADIS ESTHER</t>
  </si>
  <si>
    <t>GAR*** VIL**** MIL**** EST***</t>
  </si>
  <si>
    <t>57280938</t>
  </si>
  <si>
    <t>SEGURA LIGARDO NANCY CECILIA</t>
  </si>
  <si>
    <t>SEG*** LIG**** NAN** CEC****</t>
  </si>
  <si>
    <t>57280942</t>
  </si>
  <si>
    <t>ZUÑIGA RODRIGUEZ LIGIA DEL CARMEN</t>
  </si>
  <si>
    <t>ZUÑ*** ROD****** LIG** DEL CAR***</t>
  </si>
  <si>
    <t>57280949</t>
  </si>
  <si>
    <t>FIGUEROA ACOSTA DILMA JUDITH</t>
  </si>
  <si>
    <t>FIG***** ACO*** DIL** JUD***</t>
  </si>
  <si>
    <t>57280953</t>
  </si>
  <si>
    <t>PACHECO AVILA CANDELARIA MARIA</t>
  </si>
  <si>
    <t>PAC**** AVI** CAN******* MAR**</t>
  </si>
  <si>
    <t>57280967</t>
  </si>
  <si>
    <t>CASALIN POLO ELMORA DE JESUS</t>
  </si>
  <si>
    <t>CAS**** POL* ELM*** DE JES**</t>
  </si>
  <si>
    <t>57280979</t>
  </si>
  <si>
    <t>BARROS BARCELO MARIA ZARINA</t>
  </si>
  <si>
    <t>BAR*** BAR**** MAR** ZAR***</t>
  </si>
  <si>
    <t>57280981</t>
  </si>
  <si>
    <t>ESCORCIA CONTRERAS ELSA LEONOR</t>
  </si>
  <si>
    <t>ESC***** CON****** ELS* LEO***</t>
  </si>
  <si>
    <t>57280982</t>
  </si>
  <si>
    <t>BARRETO MARTINEZ ROSMERY ERENIA</t>
  </si>
  <si>
    <t>BAR**** MAR***** ROS**** ERE***</t>
  </si>
  <si>
    <t>57280983</t>
  </si>
  <si>
    <t>PEREZ HERRERA ANA ELENA</t>
  </si>
  <si>
    <t>PER** HER**** ANA ELE**</t>
  </si>
  <si>
    <t>57280992</t>
  </si>
  <si>
    <t>IBAÑEZ PATRICIA ELENA</t>
  </si>
  <si>
    <t>IBA*** PAT***** ELE**</t>
  </si>
  <si>
    <t>57281014</t>
  </si>
  <si>
    <t>BENITEZ ACOSTA TANIA BEATRIZ</t>
  </si>
  <si>
    <t>BEN**** ACO*** TAN** BEA****</t>
  </si>
  <si>
    <t>57281059</t>
  </si>
  <si>
    <t>ALVAREZ MENDOZA INGRIS YOJANA</t>
  </si>
  <si>
    <t>ALV**** MEN**** ING*** YOJ***</t>
  </si>
  <si>
    <t>57281061</t>
  </si>
  <si>
    <t>NAVARRO JARAMILLO MARTA CECILIA</t>
  </si>
  <si>
    <t>NAV**** JAR****** MAR** CEC****</t>
  </si>
  <si>
    <t>57281082</t>
  </si>
  <si>
    <t>PUELLO PERTUZ EMMA ROSA</t>
  </si>
  <si>
    <t>PUE*** PER*** EMM* ROS*</t>
  </si>
  <si>
    <t>57281085</t>
  </si>
  <si>
    <t>PUELLO LOPEZ MARINELLA</t>
  </si>
  <si>
    <t>PUE*** LOP** MAR******</t>
  </si>
  <si>
    <t>57281102</t>
  </si>
  <si>
    <t>VAN STRAHLEN MARTINEZ MARGITH</t>
  </si>
  <si>
    <t>VAN STR***** MAR***** MAR****</t>
  </si>
  <si>
    <t>57281105</t>
  </si>
  <si>
    <t>VILLARREAL PINZON ERNESTINA</t>
  </si>
  <si>
    <t>VIL******* PIN*** ERN******</t>
  </si>
  <si>
    <t>57281122</t>
  </si>
  <si>
    <t>BORRERO TORREGROZA YASMIN GREGORIA</t>
  </si>
  <si>
    <t>BOR**** TOR******* YAS*** GRE*****</t>
  </si>
  <si>
    <t>57281165</t>
  </si>
  <si>
    <t>SIERRA CONRADO IBETH ROCIO</t>
  </si>
  <si>
    <t>SIE*** CON**** IBE** ROC**</t>
  </si>
  <si>
    <t>57281218</t>
  </si>
  <si>
    <t>JIMENEZ YEPEZ BIUDITH</t>
  </si>
  <si>
    <t>JIM**** YEP** BIU****</t>
  </si>
  <si>
    <t>57290083</t>
  </si>
  <si>
    <t>CORDOBA ARBOLEDA SANDRA LORENA</t>
  </si>
  <si>
    <t>COR**** ARB***** SAN*** LOR***</t>
  </si>
  <si>
    <t>57290680</t>
  </si>
  <si>
    <t>MICHEL CANTILLO ADRIANA JUDITH</t>
  </si>
  <si>
    <t>MIC*** CAN***** ADR**** JUD***</t>
  </si>
  <si>
    <t>57290712</t>
  </si>
  <si>
    <t>CASTILLO PEREZ JUSTINA EMILIA</t>
  </si>
  <si>
    <t>CAS***** PER** JUS**** EMI***</t>
  </si>
  <si>
    <t>57290831</t>
  </si>
  <si>
    <t>MAIGUEL RODRIGUEZ SARA CRISTINA</t>
  </si>
  <si>
    <t>MAI**** ROD****** SAR* CRI*****</t>
  </si>
  <si>
    <t>57291149</t>
  </si>
  <si>
    <t>MOVILLA GOMEZ ENA LUZ</t>
  </si>
  <si>
    <t>MOV**** GOM** ENA LUZ</t>
  </si>
  <si>
    <t>57291209</t>
  </si>
  <si>
    <t>PADILLA CASTRO ELICETH KATHERINE</t>
  </si>
  <si>
    <t>PAD**** CAS*** ELI**** KAT******</t>
  </si>
  <si>
    <t>57292106</t>
  </si>
  <si>
    <t>PADILLA JIMENEZ LOLY INES</t>
  </si>
  <si>
    <t>PAD**** JIM**** LOL* INE*</t>
  </si>
  <si>
    <t>57292552</t>
  </si>
  <si>
    <t>PARRAS BOHORQUEZ YARLENIS JUDITH</t>
  </si>
  <si>
    <t>PAR*** BOH****** YAR***** JUD***</t>
  </si>
  <si>
    <t>57293184</t>
  </si>
  <si>
    <t>VEGA VACA WENDYS PAOLA</t>
  </si>
  <si>
    <t>VEG* VAC* WEN*** PAO**</t>
  </si>
  <si>
    <t>57293762</t>
  </si>
  <si>
    <t>RODRIGUEZ MARTINEZ ANGELICA MARIA</t>
  </si>
  <si>
    <t>ROD****** MAR***** ANG***** MAR**</t>
  </si>
  <si>
    <t>57293919</t>
  </si>
  <si>
    <t>DE ARCO MENDOZA YIRLYS YISNEY</t>
  </si>
  <si>
    <t>DE ARC* MEN**** YIR*** YIS***</t>
  </si>
  <si>
    <t>57294093</t>
  </si>
  <si>
    <t>NARVAEZ BOVEA TATIANA ISABEL</t>
  </si>
  <si>
    <t>NAR**** BOV** TAT**** ISA***</t>
  </si>
  <si>
    <t>57294096</t>
  </si>
  <si>
    <t>OLIVEROS ROJAS YENNIS</t>
  </si>
  <si>
    <t>OLI***** ROJ** YEN***</t>
  </si>
  <si>
    <t>57294209</t>
  </si>
  <si>
    <t>SAENZ GUTIERREZ GREYS SOFIA</t>
  </si>
  <si>
    <t>SAE** GUT****** GRE** SOF**</t>
  </si>
  <si>
    <t>57294299</t>
  </si>
  <si>
    <t>CANDELARIO MARTINEZ SHIRLEY PATRICIA</t>
  </si>
  <si>
    <t>CAN******* MAR***** SHI**** PAT*****</t>
  </si>
  <si>
    <t>57294445</t>
  </si>
  <si>
    <t>CASTILLO MARTINEZ JENNIFER MARIA</t>
  </si>
  <si>
    <t>CAS***** MAR***** JEN***** MAR**</t>
  </si>
  <si>
    <t>57294950</t>
  </si>
  <si>
    <t>PARDO RINCONES YEIMY SULEY</t>
  </si>
  <si>
    <t>PAR** RIN***** YEI** SUL**</t>
  </si>
  <si>
    <t>57296235</t>
  </si>
  <si>
    <t>VEGA AGUILAR ANGELA KATERINE</t>
  </si>
  <si>
    <t>VEG* AGU**** ANG*** KAT*****</t>
  </si>
  <si>
    <t>57296267</t>
  </si>
  <si>
    <t>PINEDA ROJAS KARLA ESMERALDA</t>
  </si>
  <si>
    <t>PIN*** ROJ** KAR** ESM******</t>
  </si>
  <si>
    <t>57296393</t>
  </si>
  <si>
    <t>DIAZ CHAMORRO MARLY DEL SOCORRO</t>
  </si>
  <si>
    <t>DIA* CHA***** MAR** DEL SOC****</t>
  </si>
  <si>
    <t>57296419</t>
  </si>
  <si>
    <t>ROJAS RADA ROSAURA</t>
  </si>
  <si>
    <t>ROJ** RAD* ROS****</t>
  </si>
  <si>
    <t>57296632</t>
  </si>
  <si>
    <t>MANJARRES BOLAÑO SANDY JULIE</t>
  </si>
  <si>
    <t>MAN****** BOL*** SAN** JUL**</t>
  </si>
  <si>
    <t>57296863</t>
  </si>
  <si>
    <t>VERGARA MARTINEZ ARLETH PATRICIA</t>
  </si>
  <si>
    <t>VER**** MAR***** ARL*** PAT*****</t>
  </si>
  <si>
    <t>57296984</t>
  </si>
  <si>
    <t>RIVERA POLO LIANA LUZ</t>
  </si>
  <si>
    <t>RIV*** POL* LIA** LUZ</t>
  </si>
  <si>
    <t>57297012</t>
  </si>
  <si>
    <t>JARMA MARTINEZ ANA MARIA</t>
  </si>
  <si>
    <t>JAR** MAR***** ANA MAR**</t>
  </si>
  <si>
    <t>57297124</t>
  </si>
  <si>
    <t>PEÑARANDA HERNANDEZ PAULY KAROLINA</t>
  </si>
  <si>
    <t>PEÑ****** HER****** PAU** KAR*****</t>
  </si>
  <si>
    <t>57297168</t>
  </si>
  <si>
    <t>BELEÑO CERVANTES MARCELA ROSANA</t>
  </si>
  <si>
    <t>BEL*** CER****** MAR**** ROS***</t>
  </si>
  <si>
    <t>57297222</t>
  </si>
  <si>
    <t>MOLINA PARDO MELISSA MERCEDES</t>
  </si>
  <si>
    <t>MOL*** PAR** MEL**** MER*****</t>
  </si>
  <si>
    <t>57297365</t>
  </si>
  <si>
    <t>SANCHEZ AVENDAÑO YESENIA JUDITH</t>
  </si>
  <si>
    <t>SAN**** AVE***** YES**** JUD***</t>
  </si>
  <si>
    <t>57297457</t>
  </si>
  <si>
    <t>CAMPUZANO HERNANDEZ ANELENA CRISTINA</t>
  </si>
  <si>
    <t>CAM****** HER****** ANE**** CRI*****</t>
  </si>
  <si>
    <t>57297507</t>
  </si>
  <si>
    <t>LOPEZ FUENTES LIZBETH</t>
  </si>
  <si>
    <t>LOP** FUE**** LIZ****</t>
  </si>
  <si>
    <t>57297757</t>
  </si>
  <si>
    <t>FRANCO ARZUAGA DORIS LUCELIS</t>
  </si>
  <si>
    <t>FRA*** ARZ**** DOR** LUC****</t>
  </si>
  <si>
    <t>57297877</t>
  </si>
  <si>
    <t>HERNANDEZ SEGRERA YOICE ELINA</t>
  </si>
  <si>
    <t>HER****** SEG**** YOI** ELI**</t>
  </si>
  <si>
    <t>57297947</t>
  </si>
  <si>
    <t>RHENALS GARCIA SALLY CAROLINA</t>
  </si>
  <si>
    <t>RHE**** GAR*** SAL** CAR*****</t>
  </si>
  <si>
    <t>57298022</t>
  </si>
  <si>
    <t>MOLINA CERVANTES ANGELY MARY</t>
  </si>
  <si>
    <t>MOL*** CER****** ANG*** MAR*</t>
  </si>
  <si>
    <t>57298243</t>
  </si>
  <si>
    <t>RODRIGUEZ PEREZ DAMARIS</t>
  </si>
  <si>
    <t>ROD****** PER** DAM****</t>
  </si>
  <si>
    <t>57298280</t>
  </si>
  <si>
    <t>DIAZGRANADOS VALLE OMARIS SANDI</t>
  </si>
  <si>
    <t>DIA********* VAL** OMA*** SAN**</t>
  </si>
  <si>
    <t>57298857</t>
  </si>
  <si>
    <t>ARAUJO SOLANO JULIA EDITH</t>
  </si>
  <si>
    <t>ARA*** SOL*** JUL** EDI**</t>
  </si>
  <si>
    <t>57299685</t>
  </si>
  <si>
    <t>MARTINEZ BROCHERO BEATRIZ ELENA</t>
  </si>
  <si>
    <t>MAR***** BRO***** BEA**** ELE**</t>
  </si>
  <si>
    <t>57300035</t>
  </si>
  <si>
    <t>PERTUZ PERTUZ YADIRA LUZ</t>
  </si>
  <si>
    <t>PER*** PER*** YAD*** LUZ</t>
  </si>
  <si>
    <t>57300065</t>
  </si>
  <si>
    <t>CASTRO DE LA CRUZ ROSALBA</t>
  </si>
  <si>
    <t>CAS*** DE LA CRU* ROS****</t>
  </si>
  <si>
    <t>57300178</t>
  </si>
  <si>
    <t>BOLAÑO OROZCO LOURDES YANETH</t>
  </si>
  <si>
    <t>BOL*** ORO*** LOU**** YAN***</t>
  </si>
  <si>
    <t>57300239</t>
  </si>
  <si>
    <t>CASTAÑEDA CEBALLOS DIANA</t>
  </si>
  <si>
    <t>CAS****** CEB***** DIA**</t>
  </si>
  <si>
    <t>57300334</t>
  </si>
  <si>
    <t>CABALLERO PAREJO ELVIRA</t>
  </si>
  <si>
    <t>CAB****** PAR*** ELV***</t>
  </si>
  <si>
    <t>57300339</t>
  </si>
  <si>
    <t>CRESPO AREVALO ALICIA ESTHER</t>
  </si>
  <si>
    <t>CRE*** ARE**** ALI*** EST***</t>
  </si>
  <si>
    <t>57300361</t>
  </si>
  <si>
    <t>CEPEDA ACOSTA ALICIA ESTHER</t>
  </si>
  <si>
    <t>CEP*** ACO*** ALI*** EST***</t>
  </si>
  <si>
    <t>57300369</t>
  </si>
  <si>
    <t>ARIZA BARCINILLA MARGARITA DE LA TRINIDAD</t>
  </si>
  <si>
    <t>ARI** BAR******* MAR****** DE LA TRI*****</t>
  </si>
  <si>
    <t>57300434</t>
  </si>
  <si>
    <t>GOMEZ HERNANDEZ DELCY JUDITH</t>
  </si>
  <si>
    <t>GOM** HER****** DEL** JUD***</t>
  </si>
  <si>
    <t>57300451</t>
  </si>
  <si>
    <t>RODRIGUEZ TORRES VIANI ESTHER</t>
  </si>
  <si>
    <t>ROD****** TOR*** VIA** EST***</t>
  </si>
  <si>
    <t>57300455</t>
  </si>
  <si>
    <t>DE LA HOZ PADILLA NANCY ESTHER</t>
  </si>
  <si>
    <t>DE LA HOZ PAD**** NAN** EST***</t>
  </si>
  <si>
    <t>57300489</t>
  </si>
  <si>
    <t>PEREZ DE GOMEZ EUCARIS ENETH</t>
  </si>
  <si>
    <t>PER** DE GOM** EUC**** ENE**</t>
  </si>
  <si>
    <t>57300504</t>
  </si>
  <si>
    <t>VARELA VARELA RUTH MARIA</t>
  </si>
  <si>
    <t>VAR*** VAR*** RUT* MAR**</t>
  </si>
  <si>
    <t>57300552</t>
  </si>
  <si>
    <t>VARGAS MORALES AMELIA MARIA</t>
  </si>
  <si>
    <t>VAR*** MOR**** AME*** MAR**</t>
  </si>
  <si>
    <t>57300566</t>
  </si>
  <si>
    <t>MAESTRE POLO ROSA MERCEDES</t>
  </si>
  <si>
    <t>MAE**** POL* ROS* MER*****</t>
  </si>
  <si>
    <t>57300603</t>
  </si>
  <si>
    <t>PERTUZ SEGRERA BELEN DOLORES</t>
  </si>
  <si>
    <t>PER*** SEG**** BEL** DOL****</t>
  </si>
  <si>
    <t>57300614</t>
  </si>
  <si>
    <t>ALVAREZ LOBO ELIZABETH MARINA</t>
  </si>
  <si>
    <t>ALV**** LOB* ELI****** MAR***</t>
  </si>
  <si>
    <t>57300617</t>
  </si>
  <si>
    <t>GONZALEZ CASTAÑEDA MARIA NATIVIDAD</t>
  </si>
  <si>
    <t>GON***** CAS****** MAR** NAT******</t>
  </si>
  <si>
    <t>57300694</t>
  </si>
  <si>
    <t>CANTILLO MERCADO MERCEDES ELENA</t>
  </si>
  <si>
    <t>CAN***** MER**** MER***** ELE**</t>
  </si>
  <si>
    <t>57300697</t>
  </si>
  <si>
    <t>POLO VILLA ELVIRA ROSA</t>
  </si>
  <si>
    <t>POL* VIL** ELV*** ROS*</t>
  </si>
  <si>
    <t>57300705</t>
  </si>
  <si>
    <t>MEDINA RODRIGUEZ ARLEDIS</t>
  </si>
  <si>
    <t>MED*** ROD****** ARL****</t>
  </si>
  <si>
    <t>57300732</t>
  </si>
  <si>
    <t>LOBATO BARRIOS DENIS ESTHER</t>
  </si>
  <si>
    <t>LOB*** BAR**** DEN** EST***</t>
  </si>
  <si>
    <t>57300753</t>
  </si>
  <si>
    <t>VILLA TOBIAS CARMEN HELENA</t>
  </si>
  <si>
    <t>VIL** TOB*** CAR*** HEL***</t>
  </si>
  <si>
    <t>57300758</t>
  </si>
  <si>
    <t>MEDINA RODRIGUEZ EMILSE ISABEL</t>
  </si>
  <si>
    <t>MED*** ROD****** EMI*** ISA***</t>
  </si>
  <si>
    <t>57300775</t>
  </si>
  <si>
    <t>RODRIGUEZ GARCIA BUENAVENTURA</t>
  </si>
  <si>
    <t>ROD****** GAR*** BUE*********</t>
  </si>
  <si>
    <t>57300778</t>
  </si>
  <si>
    <t>ROMO ROMO MARIA MERCEDES</t>
  </si>
  <si>
    <t>ROM* ROM* MAR** MER*****</t>
  </si>
  <si>
    <t>57300863</t>
  </si>
  <si>
    <t>RODRIGUEZ CARDENAS ANA ESTHER</t>
  </si>
  <si>
    <t>ROD****** CAR***** ANA EST***</t>
  </si>
  <si>
    <t>57300990</t>
  </si>
  <si>
    <t>CABALLERO CABALLERO MILAGRO DEL AMPARO</t>
  </si>
  <si>
    <t>CAB****** CAB****** MIL**** DEL AMP***</t>
  </si>
  <si>
    <t>57300992</t>
  </si>
  <si>
    <t>LLANOS MANGA RITA CARLOTA</t>
  </si>
  <si>
    <t>LLA*** MAN** RIT* CAR****</t>
  </si>
  <si>
    <t>57300998</t>
  </si>
  <si>
    <t>PERTUZ PEREZ CARMEN CECILIA</t>
  </si>
  <si>
    <t>PER*** PER** CAR*** CEC****</t>
  </si>
  <si>
    <t>57301092</t>
  </si>
  <si>
    <t>MOLINA ALARCON MARIA ENCARNACION</t>
  </si>
  <si>
    <t>MOL*** ALA**** MAR** ENC********</t>
  </si>
  <si>
    <t>57301150</t>
  </si>
  <si>
    <t>ROSAS ROPAIN LIRALBA BEATRIZ</t>
  </si>
  <si>
    <t>ROS** ROP*** LIR**** BEA****</t>
  </si>
  <si>
    <t>57301159</t>
  </si>
  <si>
    <t>BOLAÑO GUTIERREZ NASLY ESTHER</t>
  </si>
  <si>
    <t>BOL*** GUT****** NAS** EST***</t>
  </si>
  <si>
    <t>57301169</t>
  </si>
  <si>
    <t>PABON GUETTE SIRIS CONSUELO</t>
  </si>
  <si>
    <t>PAB** GUE*** SIR** CON*****</t>
  </si>
  <si>
    <t>57301231</t>
  </si>
  <si>
    <t>ROMERO GARCIA INES MARIA</t>
  </si>
  <si>
    <t>ROM*** GAR*** INE* MAR**</t>
  </si>
  <si>
    <t>57301298</t>
  </si>
  <si>
    <t>GUTIERREZ PABON YOVANIL</t>
  </si>
  <si>
    <t>GUT****** PAB** YOV****</t>
  </si>
  <si>
    <t>57301299</t>
  </si>
  <si>
    <t>MERCADO RUIZ EDILMA JUDITH</t>
  </si>
  <si>
    <t>MER**** RUI* EDI*** JUD***</t>
  </si>
  <si>
    <t>57301317</t>
  </si>
  <si>
    <t>TORREGROZA YANCY ANA VICTORIA</t>
  </si>
  <si>
    <t>TOR******* YAN** ANA VIC*****</t>
  </si>
  <si>
    <t>57301350</t>
  </si>
  <si>
    <t>BOLAÑO BROCHERO ISELA JUDITH</t>
  </si>
  <si>
    <t>BOL*** BRO***** ISE** JUD***</t>
  </si>
  <si>
    <t>57301360</t>
  </si>
  <si>
    <t>PERTUZ PERTUZ IRIS MARGOTH</t>
  </si>
  <si>
    <t>PER*** PER*** IRI* MAR****</t>
  </si>
  <si>
    <t>57301362</t>
  </si>
  <si>
    <t>OROZCO GARCIA ALICIA</t>
  </si>
  <si>
    <t>ORO*** GAR*** ALI***</t>
  </si>
  <si>
    <t>57301469</t>
  </si>
  <si>
    <t>REYES PEREZ NORVELI JUDITH</t>
  </si>
  <si>
    <t>REY** PER** NOR**** JUD***</t>
  </si>
  <si>
    <t>57301522</t>
  </si>
  <si>
    <t>RIQUETT ESCORCIA YANETTE CECILIA</t>
  </si>
  <si>
    <t>RIQ**** ESC***** YAN**** CEC****</t>
  </si>
  <si>
    <t>57301533</t>
  </si>
  <si>
    <t>OROZCO PERTUZ CARMELINA ISABEL</t>
  </si>
  <si>
    <t>ORO*** PER*** CAR****** ISA***</t>
  </si>
  <si>
    <t>57301541</t>
  </si>
  <si>
    <t>MOZO RODRIGUEZ CARLOTA JOSEFA</t>
  </si>
  <si>
    <t>MOZ* ROD****** CAR**** JOS***</t>
  </si>
  <si>
    <t>57301558</t>
  </si>
  <si>
    <t>ROMO MONTERO CLARA JOSEFINA</t>
  </si>
  <si>
    <t>ROM* MON**** CLA** JOS*****</t>
  </si>
  <si>
    <t>57301562</t>
  </si>
  <si>
    <t>DE LA CRUZ DE LA CRUZ EMILIA ESTHER</t>
  </si>
  <si>
    <t>DE LA CRU* DE LA CRU* EMI*** EST***</t>
  </si>
  <si>
    <t>57301571</t>
  </si>
  <si>
    <t>AMAYA FONTALVO ESTHER COLOMBIA</t>
  </si>
  <si>
    <t>AMA** FON***** EST*** COL*****</t>
  </si>
  <si>
    <t>57301572</t>
  </si>
  <si>
    <t>OLIVERO CASTRO NURY DEL CARMEN</t>
  </si>
  <si>
    <t>OLI**** CAS*** NUR* DEL CAR***</t>
  </si>
  <si>
    <t>57301595</t>
  </si>
  <si>
    <t>DE LA CRUZ BARRAZA STELLA MARGOTH</t>
  </si>
  <si>
    <t>DE LA CRU* BAR**** STE*** MAR****</t>
  </si>
  <si>
    <t>57301596</t>
  </si>
  <si>
    <t>MARENCO HURTADO LESBIA LEONOR</t>
  </si>
  <si>
    <t>MAR**** HUR**** LES*** LEO***</t>
  </si>
  <si>
    <t>57301598</t>
  </si>
  <si>
    <t>PALACIN ALVAREZ ANA JULIA</t>
  </si>
  <si>
    <t>PAL**** ALV**** ANA JUL**</t>
  </si>
  <si>
    <t>57301617</t>
  </si>
  <si>
    <t>MEDINA TORREGROZA BRUNILDA ISABEL</t>
  </si>
  <si>
    <t>MED*** TOR******* BRU***** ISA***</t>
  </si>
  <si>
    <t>57301632</t>
  </si>
  <si>
    <t>BONNET PERTUZ VILMA</t>
  </si>
  <si>
    <t>BON*** PER*** VIL**</t>
  </si>
  <si>
    <t>57301651</t>
  </si>
  <si>
    <t>VARGAS DIAZ LEDIS ELENA</t>
  </si>
  <si>
    <t>VAR*** DIA* LED** ELE**</t>
  </si>
  <si>
    <t>57301663</t>
  </si>
  <si>
    <t>CABARCAS OROZCO MANUELA ANTONIA</t>
  </si>
  <si>
    <t>CAB***** ORO*** MAN**** ANT****</t>
  </si>
  <si>
    <t>57301675</t>
  </si>
  <si>
    <t>LINDADO CANTILLO DUBERLIN DEL CARMEN</t>
  </si>
  <si>
    <t>LIN**** CAN***** DUB***** DEL CAR***</t>
  </si>
  <si>
    <t>57301695</t>
  </si>
  <si>
    <t>GONZALEZ PALLARES LEONOR ELENA</t>
  </si>
  <si>
    <t>GON***** PAL***** LEO*** ELE**</t>
  </si>
  <si>
    <t>57301728</t>
  </si>
  <si>
    <t>PEREZ GARCIA HISMELDA ESTHER</t>
  </si>
  <si>
    <t>PER** GAR*** HIS***** EST***</t>
  </si>
  <si>
    <t>57301758</t>
  </si>
  <si>
    <t>ALVAREZ BERBEL OSIRIS MARIA</t>
  </si>
  <si>
    <t>ALV**** BER*** OSI*** MAR**</t>
  </si>
  <si>
    <t>57301770</t>
  </si>
  <si>
    <t>CABALLERO BOLAÑO SORNESTA ELENA</t>
  </si>
  <si>
    <t>CAB****** BOL*** SOR***** ELE**</t>
  </si>
  <si>
    <t>57301802</t>
  </si>
  <si>
    <t>VIDES PERTUZ NELY ISABEL</t>
  </si>
  <si>
    <t>VID** PER*** NEL* ISA***</t>
  </si>
  <si>
    <t>57301849</t>
  </si>
  <si>
    <t>GARCIA ACOSTA YAMILES</t>
  </si>
  <si>
    <t>GAR*** ACO*** YAM****</t>
  </si>
  <si>
    <t>57301861</t>
  </si>
  <si>
    <t>CASTRO DE LA CRUZ MARTHA LIGIA</t>
  </si>
  <si>
    <t>CAS*** DE LA CRU* MAR*** LIG**</t>
  </si>
  <si>
    <t>57301902</t>
  </si>
  <si>
    <t>FERNANDEZ BARON YADIRA YANET</t>
  </si>
  <si>
    <t>FER****** BAR** YAD*** YAN**</t>
  </si>
  <si>
    <t>57301908</t>
  </si>
  <si>
    <t>OROZCO PERTUZ ANA ROSA</t>
  </si>
  <si>
    <t>ORO*** PER*** ANA ROS*</t>
  </si>
  <si>
    <t>57302001</t>
  </si>
  <si>
    <t>CANTILLO OROZCO ANA ELVIA</t>
  </si>
  <si>
    <t>CAN***** ORO*** ANA ELV**</t>
  </si>
  <si>
    <t>57302050</t>
  </si>
  <si>
    <t>BARANDICA GUTIERREZ BERSELIA JUDITH</t>
  </si>
  <si>
    <t>BAR****** GUT****** BER***** JUD***</t>
  </si>
  <si>
    <t>57302082</t>
  </si>
  <si>
    <t>CABARCAS GOMEZ MARIBEL</t>
  </si>
  <si>
    <t>CAB***** GOM** MAR****</t>
  </si>
  <si>
    <t>57302102</t>
  </si>
  <si>
    <t>MERCADO GARCIA LUZ MILA</t>
  </si>
  <si>
    <t>MER**** GAR*** LUZ MIL*</t>
  </si>
  <si>
    <t>57302151</t>
  </si>
  <si>
    <t>MEDINA SAMPER MARIA PETRONILA</t>
  </si>
  <si>
    <t>MED*** SAM*** MAR** PET******</t>
  </si>
  <si>
    <t>57302180</t>
  </si>
  <si>
    <t>OROZCO OROZCO TOMASA DE JESUS</t>
  </si>
  <si>
    <t>ORO*** ORO*** TOM*** DE JES**</t>
  </si>
  <si>
    <t>57302221</t>
  </si>
  <si>
    <t>DE LA HOZ SALAS BERKYS MARIA</t>
  </si>
  <si>
    <t>DE LA HOZ SAL** BER*** MAR**</t>
  </si>
  <si>
    <t>57302226</t>
  </si>
  <si>
    <t>DE LA CRUZ MANGA GRACIELA ESTHER</t>
  </si>
  <si>
    <t>DE LA CRU* MAN** GRA***** EST***</t>
  </si>
  <si>
    <t>57302227</t>
  </si>
  <si>
    <t>ROMERO ORTIZ MARIA EDUVIGIS</t>
  </si>
  <si>
    <t>ROM*** ORT** MAR** EDU*****</t>
  </si>
  <si>
    <t>57302240</t>
  </si>
  <si>
    <t>MOZO MERCADO ARAMINTA ESTER</t>
  </si>
  <si>
    <t>MOZ* MER**** ARA***** EST**</t>
  </si>
  <si>
    <t>57302245</t>
  </si>
  <si>
    <t>NOSSA PLATA AMPARO</t>
  </si>
  <si>
    <t>NOS** PLA** AMP***</t>
  </si>
  <si>
    <t>57302251</t>
  </si>
  <si>
    <t>PERTUZ DE LA HOZ MONICA PATRICIA</t>
  </si>
  <si>
    <t>PER*** DE LA HOZ MON*** PAT*****</t>
  </si>
  <si>
    <t>57302256</t>
  </si>
  <si>
    <t>BOLAÑOS POTES IGNACIA YANETH</t>
  </si>
  <si>
    <t>BOL**** POT** IGN**** YAN***</t>
  </si>
  <si>
    <t>57302318</t>
  </si>
  <si>
    <t>GUTIERREZ CANTILLO CARMEN MANUELA</t>
  </si>
  <si>
    <t>GUT****** CAN***** CAR*** MAN****</t>
  </si>
  <si>
    <t>57302324</t>
  </si>
  <si>
    <t>CABALLERO CABALLERO AMPARO DEL SOCORRO</t>
  </si>
  <si>
    <t>CAB****** CAB****** AMP*** DEL SOC****</t>
  </si>
  <si>
    <t>57302326</t>
  </si>
  <si>
    <t>RAMBAL DE LA CRUZ MARIA TERESA</t>
  </si>
  <si>
    <t>RAM*** DE LA CRU* MAR** TER***</t>
  </si>
  <si>
    <t>57302327</t>
  </si>
  <si>
    <t>PAREJO CAMPO DEYCY ESTHER</t>
  </si>
  <si>
    <t>PAR*** CAM** DEY** EST***</t>
  </si>
  <si>
    <t>57302381</t>
  </si>
  <si>
    <t>BARRANCO OROZCO ALBERTINA DE JESUS</t>
  </si>
  <si>
    <t>BAR***** ORO*** ALB****** DE JES**</t>
  </si>
  <si>
    <t>57302398</t>
  </si>
  <si>
    <t>LOBO LOPEZ MARIA ESPERANZA</t>
  </si>
  <si>
    <t>LOB* LOP** MAR** ESP******</t>
  </si>
  <si>
    <t>57302508</t>
  </si>
  <si>
    <t>POLO GAMARRA MONICA PATRICIA</t>
  </si>
  <si>
    <t>POL* GAM**** MON*** PAT*****</t>
  </si>
  <si>
    <t>57302517</t>
  </si>
  <si>
    <t>GAMARRA ARIZA BLANCA LUZ</t>
  </si>
  <si>
    <t>GAM**** ARI** BLA*** LUZ</t>
  </si>
  <si>
    <t>57302535</t>
  </si>
  <si>
    <t>ESCORCIA ROMO ZOILA MARGARITA</t>
  </si>
  <si>
    <t>ESC***** ROM* ZOI** MAR******</t>
  </si>
  <si>
    <t>57302539</t>
  </si>
  <si>
    <t>PACHECO MANGA NANCY ESTHER</t>
  </si>
  <si>
    <t>PAC**** MAN** NAN** EST***</t>
  </si>
  <si>
    <t>57302559</t>
  </si>
  <si>
    <t>CANTILLO MEJIA MARIA DE LA CRUZ</t>
  </si>
  <si>
    <t>CAN***** MEJ** MAR** DE LA CRU*</t>
  </si>
  <si>
    <t>57302561</t>
  </si>
  <si>
    <t>MERCADO MANGA BLANCA ESTELA</t>
  </si>
  <si>
    <t>MER**** MAN** BLA*** EST***</t>
  </si>
  <si>
    <t>57302600</t>
  </si>
  <si>
    <t>MERCADO PALACIO DARLYS</t>
  </si>
  <si>
    <t>MER**** PAL**** DAR***</t>
  </si>
  <si>
    <t>57302642</t>
  </si>
  <si>
    <t>MEZA BUELVAS INES MARIA</t>
  </si>
  <si>
    <t>MEZ* BUE**** INE* MAR**</t>
  </si>
  <si>
    <t>57302659</t>
  </si>
  <si>
    <t>CERVANTES MADRID ADALGY</t>
  </si>
  <si>
    <t>CER****** MAD*** ADA***</t>
  </si>
  <si>
    <t>57302660</t>
  </si>
  <si>
    <t>MEDINA VILLARREAL BRUNILDA ISABEL</t>
  </si>
  <si>
    <t>MED*** VIL******* BRU***** ISA***</t>
  </si>
  <si>
    <t>57302681</t>
  </si>
  <si>
    <t>MARTINEZ SUAREZ NORIS LORENA</t>
  </si>
  <si>
    <t>MAR***** SUA*** NOR** LOR***</t>
  </si>
  <si>
    <t>57302707</t>
  </si>
  <si>
    <t>BOLA¿O MARTINEZ MIRTA CRISTINA</t>
  </si>
  <si>
    <t>BOL*** MAR***** MIR** CRI*****</t>
  </si>
  <si>
    <t>57302820</t>
  </si>
  <si>
    <t>TOLOZA CERVANTES PABLA JOSEFA</t>
  </si>
  <si>
    <t>TOL*** CER****** PAB** JOS***</t>
  </si>
  <si>
    <t>57302825</t>
  </si>
  <si>
    <t>MOZO CARRANZA ROSMARI</t>
  </si>
  <si>
    <t>MOZ* CAR***** ROS****</t>
  </si>
  <si>
    <t>57302836</t>
  </si>
  <si>
    <t>LARA PERTUZ MARIA DEL CARMEN</t>
  </si>
  <si>
    <t>LAR* PER*** MAR** DEL CAR***</t>
  </si>
  <si>
    <t>57302853</t>
  </si>
  <si>
    <t>GUTIERREZ MOYA PIEDAD DEL CARMEN</t>
  </si>
  <si>
    <t>GUT****** MOY* PIE*** DEL CAR***</t>
  </si>
  <si>
    <t>57302880</t>
  </si>
  <si>
    <t>CHIMAS TORREGROZA VIRGELINA ESTHER</t>
  </si>
  <si>
    <t>CHI*** TOR******* VIR****** EST***</t>
  </si>
  <si>
    <t>57303016</t>
  </si>
  <si>
    <t>CORMANE LOPEZ CLAUDINA MARIA</t>
  </si>
  <si>
    <t>COR**** LOP** CLA***** MAR**</t>
  </si>
  <si>
    <t>57303056</t>
  </si>
  <si>
    <t>MERCADO SALAS MILDRED</t>
  </si>
  <si>
    <t>MER**** SAL** MIL****</t>
  </si>
  <si>
    <t>57303078</t>
  </si>
  <si>
    <t>COLLAZO SANTODOMINGO ACENETH ZENITH</t>
  </si>
  <si>
    <t>COL**** SAN********* ACE**** ZEN***</t>
  </si>
  <si>
    <t>57303117</t>
  </si>
  <si>
    <t>LARA PERTUZ LEDIS ESTHER</t>
  </si>
  <si>
    <t>LAR* PER*** LED** EST***</t>
  </si>
  <si>
    <t>57303124</t>
  </si>
  <si>
    <t>PERTUZ PERTUZ VERA JUDITH</t>
  </si>
  <si>
    <t>PER*** PER*** VER* JUD***</t>
  </si>
  <si>
    <t>57303138</t>
  </si>
  <si>
    <t>BORJA OROZCO ADELA ISABEL</t>
  </si>
  <si>
    <t>BOR** ORO*** ADE** ISA***</t>
  </si>
  <si>
    <t>57303191</t>
  </si>
  <si>
    <t>GARCIA CABALLERO MARGARITA ROSA</t>
  </si>
  <si>
    <t>GAR*** CAB****** MAR****** ROS*</t>
  </si>
  <si>
    <t>57303196</t>
  </si>
  <si>
    <t>LOPEZ VILLAREAL ALICIA CANDELARIA</t>
  </si>
  <si>
    <t>LOP** VIL****** ALI*** CAN*******</t>
  </si>
  <si>
    <t>57303197</t>
  </si>
  <si>
    <t>PALACIO VILLA MONICA MARIA</t>
  </si>
  <si>
    <t>PAL**** VIL** MON*** MAR**</t>
  </si>
  <si>
    <t>57303198</t>
  </si>
  <si>
    <t>QUESADA JURE YOLIMA ESTHER</t>
  </si>
  <si>
    <t>QUE**** JUR* YOL*** EST***</t>
  </si>
  <si>
    <t>57303206</t>
  </si>
  <si>
    <t>ESCORCIA RUDAS LIVIDA ROSA</t>
  </si>
  <si>
    <t>ESC***** RUD** LIV*** ROS*</t>
  </si>
  <si>
    <t>57303275</t>
  </si>
  <si>
    <t>SAMPER RUIZ MARIA DE LAS NIEVES</t>
  </si>
  <si>
    <t>SAM*** RUI* MAR** DE LAS NIE***</t>
  </si>
  <si>
    <t>57303280</t>
  </si>
  <si>
    <t>GUTIERREZ DE MOYA LESTER MARIA</t>
  </si>
  <si>
    <t>GUT****** DE MOY* LES*** MAR**</t>
  </si>
  <si>
    <t>57303301</t>
  </si>
  <si>
    <t>PERTUZ RIVERA CLAUDIA ANA</t>
  </si>
  <si>
    <t>PER*** RIV*** CLA**** ANA</t>
  </si>
  <si>
    <t>57303317</t>
  </si>
  <si>
    <t>DE LA CRUZ GARCIA YINA LUZ</t>
  </si>
  <si>
    <t>DE LA CRU* GAR*** YIN* LUZ</t>
  </si>
  <si>
    <t>57303327</t>
  </si>
  <si>
    <t>PERTUZ ORTIZ RITA LUZ</t>
  </si>
  <si>
    <t>PER*** ORT** RIT* LUZ</t>
  </si>
  <si>
    <t>57303361</t>
  </si>
  <si>
    <t>ORTIZ POZO GUADALUPE ISABEL</t>
  </si>
  <si>
    <t>ORT** POZ* GUA****** ISA***</t>
  </si>
  <si>
    <t>57303362</t>
  </si>
  <si>
    <t>DE LA CRUZ CASTAÑEDA ESPERANZA</t>
  </si>
  <si>
    <t>DE LA CRU* CAS****** ESP******</t>
  </si>
  <si>
    <t>57303392</t>
  </si>
  <si>
    <t>OROZCO BARON LUZ ESTELLA</t>
  </si>
  <si>
    <t>ORO*** BAR** LUZ EST****</t>
  </si>
  <si>
    <t>57303408</t>
  </si>
  <si>
    <t>GARCIA ESQUEA LUZ MILA</t>
  </si>
  <si>
    <t>GAR*** ESQ*** LUZ MIL*</t>
  </si>
  <si>
    <t>57303410</t>
  </si>
  <si>
    <t>POLO PALACIN ANA ELVIRA</t>
  </si>
  <si>
    <t>POL* PAL**** ANA ELV***</t>
  </si>
  <si>
    <t>57303416</t>
  </si>
  <si>
    <t>OROZCO ORTIZ ROSA LUZ</t>
  </si>
  <si>
    <t>ORO*** ORT** ROS* LUZ</t>
  </si>
  <si>
    <t>57303444</t>
  </si>
  <si>
    <t>HERNANDEZ DOMINGUEZ ANA BEATRIZ</t>
  </si>
  <si>
    <t>HER****** DOM****** ANA BEA****</t>
  </si>
  <si>
    <t>57303578</t>
  </si>
  <si>
    <t>MARTINEZ DE LA HOZ MILADIS MARIA</t>
  </si>
  <si>
    <t>MAR***** DE LA HOZ MIL**** MAR**</t>
  </si>
  <si>
    <t>57303616</t>
  </si>
  <si>
    <t>VERGARA GUETTE ROSA MARIA</t>
  </si>
  <si>
    <t>VER**** GUE*** ROS* MAR**</t>
  </si>
  <si>
    <t>57303657</t>
  </si>
  <si>
    <t>BORJA FONTALVO NASLY LUZ</t>
  </si>
  <si>
    <t>BOR** FON***** NAS** LUZ</t>
  </si>
  <si>
    <t>57303667</t>
  </si>
  <si>
    <t>GOMEZ HERNANDEZ YADIRIS CECILIA</t>
  </si>
  <si>
    <t>GOM** HER****** YAD**** CEC****</t>
  </si>
  <si>
    <t>57303672</t>
  </si>
  <si>
    <t>HERRERA SANCHEZ MARIBEL</t>
  </si>
  <si>
    <t>HER**** SAN**** MAR****</t>
  </si>
  <si>
    <t>57303688</t>
  </si>
  <si>
    <t>ACOSTA PERTUZ BENILDA ISABEL</t>
  </si>
  <si>
    <t>ACO*** PER*** BEN**** ISA***</t>
  </si>
  <si>
    <t>57303695</t>
  </si>
  <si>
    <t>PEREZ CAMPO NORALDA PATRICIA</t>
  </si>
  <si>
    <t>PER** CAM** NOR**** PAT*****</t>
  </si>
  <si>
    <t>57303701</t>
  </si>
  <si>
    <t>PEREZ OROZCO MARELVIS ESTHER</t>
  </si>
  <si>
    <t>PER** ORO*** MAR***** EST***</t>
  </si>
  <si>
    <t>57303723</t>
  </si>
  <si>
    <t>PAYARES ORTEGA CLARIBEL</t>
  </si>
  <si>
    <t>PAY**** ORT*** CLA*****</t>
  </si>
  <si>
    <t>57303732</t>
  </si>
  <si>
    <t>DIAZ DIAZ MELFY PETRONA</t>
  </si>
  <si>
    <t>DIA* DIA* MEL** PET****</t>
  </si>
  <si>
    <t>57303754</t>
  </si>
  <si>
    <t>PEDROZA MIRANDA OLGA MARIA</t>
  </si>
  <si>
    <t>PED**** MIR**** OLG* MAR**</t>
  </si>
  <si>
    <t>57303767</t>
  </si>
  <si>
    <t>POLO POLO ROSIRIS ESTHER</t>
  </si>
  <si>
    <t>POL* POL* ROS**** EST***</t>
  </si>
  <si>
    <t>57303773</t>
  </si>
  <si>
    <t>OROZCO GARCIA XIOMARA ESTHER</t>
  </si>
  <si>
    <t>ORO*** GAR*** XIO**** EST***</t>
  </si>
  <si>
    <t>57303776</t>
  </si>
  <si>
    <t>TAIBEL PAYARES ROSSE MARY</t>
  </si>
  <si>
    <t>TAI*** PAY**** ROS** MAR*</t>
  </si>
  <si>
    <t>57303804</t>
  </si>
  <si>
    <t>CASTAÑEDA DE LA CRUZ PATRICIA HELENA</t>
  </si>
  <si>
    <t>CAS****** DE LA CRU* PAT***** HEL***</t>
  </si>
  <si>
    <t>57303820</t>
  </si>
  <si>
    <t>CASTAÑEDA DE LA CRUZ LILIANA PATRICIA</t>
  </si>
  <si>
    <t>CAS****** DE LA CRU* LIL**** PAT*****</t>
  </si>
  <si>
    <t>57303849</t>
  </si>
  <si>
    <t>LARA PERTUZ GLENIS ESTHER</t>
  </si>
  <si>
    <t>LAR* PER*** GLE*** EST***</t>
  </si>
  <si>
    <t>57303864</t>
  </si>
  <si>
    <t>VILLA PAEZ ARELIS JOSEFINA</t>
  </si>
  <si>
    <t>VIL** PAE* ARE*** JOS*****</t>
  </si>
  <si>
    <t>57303873</t>
  </si>
  <si>
    <t>SALAS ORTIZ MIRNA CANDELARIA</t>
  </si>
  <si>
    <t>SAL** ORT** MIR** CAN*******</t>
  </si>
  <si>
    <t>57303909</t>
  </si>
  <si>
    <t>CAMACHO YANCY NOHORYS DEL CARMEN</t>
  </si>
  <si>
    <t>CAM**** YAN** NOH**** DEL CAR***</t>
  </si>
  <si>
    <t>57303929</t>
  </si>
  <si>
    <t>COLLAZOS SANTODOMINGO ZENITH MARIA</t>
  </si>
  <si>
    <t>COL***** SAN********* ZEN*** MAR**</t>
  </si>
  <si>
    <t>57303942</t>
  </si>
  <si>
    <t>OROZCO VILLA BELKIS MARIBE</t>
  </si>
  <si>
    <t>ORO*** VIL** BEL*** MAR***</t>
  </si>
  <si>
    <t>57303967</t>
  </si>
  <si>
    <t>HERNANDEZ VARGAS DORA ISABEL</t>
  </si>
  <si>
    <t>HER****** VAR*** DOR* ISA***</t>
  </si>
  <si>
    <t>57304013</t>
  </si>
  <si>
    <t>PALACIO MERCADO GLORIA</t>
  </si>
  <si>
    <t>PAL**** MER**** GLO***</t>
  </si>
  <si>
    <t>57304044</t>
  </si>
  <si>
    <t>PERTUZ PERTUZ DINA LUZ</t>
  </si>
  <si>
    <t>PER*** PER*** DIN* LUZ</t>
  </si>
  <si>
    <t>57304047</t>
  </si>
  <si>
    <t>DE LA HOZ PERTUZ YULIETH JUDITH</t>
  </si>
  <si>
    <t>DE LA HOZ PER*** YUL**** JUD***</t>
  </si>
  <si>
    <t>57304070</t>
  </si>
  <si>
    <t>DE LA HOZ MARENCO MARIA PETRONA</t>
  </si>
  <si>
    <t>DE LA HOZ MAR**** MAR** PET****</t>
  </si>
  <si>
    <t>57304121</t>
  </si>
  <si>
    <t>DE LA HOZ PABON ELVIRA ROSA</t>
  </si>
  <si>
    <t>DE LA HOZ PAB** ELV*** ROS*</t>
  </si>
  <si>
    <t>57304317</t>
  </si>
  <si>
    <t>GARCIA BARRIOS MARTA CECILIA</t>
  </si>
  <si>
    <t>GAR*** BAR**** MAR** CEC****</t>
  </si>
  <si>
    <t>57304319</t>
  </si>
  <si>
    <t>GUETTE CARRILLO PATRICIA ESTHER</t>
  </si>
  <si>
    <t>GUE*** CAR***** PAT***** EST***</t>
  </si>
  <si>
    <t>57304408</t>
  </si>
  <si>
    <t>MERCADO PALACIO DIANA DUVIS</t>
  </si>
  <si>
    <t>MER**** PAL**** DIA** DUV**</t>
  </si>
  <si>
    <t>57304557</t>
  </si>
  <si>
    <t>GUTIERREZ NIÑO CONSUELO MILENA</t>
  </si>
  <si>
    <t>GUT****** NIÑ* CON***** MIL***</t>
  </si>
  <si>
    <t>57304663</t>
  </si>
  <si>
    <t>WILCHES PEREZ MERIAGNE PATRICIA</t>
  </si>
  <si>
    <t>WIL**** PER** MER***** PAT*****</t>
  </si>
  <si>
    <t>57304771</t>
  </si>
  <si>
    <t>GARCIA MARTINEZ SUGEIDIS ELENA</t>
  </si>
  <si>
    <t>GAR*** MAR***** SUG***** ELE**</t>
  </si>
  <si>
    <t>57304783</t>
  </si>
  <si>
    <t>LOBELO CAMPO MASIEL PATRICIA</t>
  </si>
  <si>
    <t>LOB*** CAM** MAS*** PAT*****</t>
  </si>
  <si>
    <t>57304861</t>
  </si>
  <si>
    <t>PALACIO RODRIGUEZ ROGELIA ESTHER</t>
  </si>
  <si>
    <t>PAL**** ROD****** ROG**** EST***</t>
  </si>
  <si>
    <t>57304875</t>
  </si>
  <si>
    <t>SANCHEZ HERNANDEZ EMI LUZ</t>
  </si>
  <si>
    <t>SAN**** HER****** EMI LUZ</t>
  </si>
  <si>
    <t>57304938</t>
  </si>
  <si>
    <t>PERTUZ PEREZ EDILSA ROSA</t>
  </si>
  <si>
    <t>PER*** PER** EDI*** ROS*</t>
  </si>
  <si>
    <t>57304950</t>
  </si>
  <si>
    <t>DE CASTRO VILLA ELIANA MARGARITA</t>
  </si>
  <si>
    <t>DE CAS*** VIL** ELI*** MAR******</t>
  </si>
  <si>
    <t>57304957</t>
  </si>
  <si>
    <t>BARRIOS PEREZ DEISY JOSEFINA</t>
  </si>
  <si>
    <t>BAR**** PER** DEI** JOS*****</t>
  </si>
  <si>
    <t>57304984</t>
  </si>
  <si>
    <t>GARCIA DE LA HOZ YAMITH MADELEYNE</t>
  </si>
  <si>
    <t>GAR*** DE LA HOZ YAM*** MAD******</t>
  </si>
  <si>
    <t>57305022</t>
  </si>
  <si>
    <t>CASTAÑEDA PARRA IBIS DE JESUS</t>
  </si>
  <si>
    <t>CAS****** PAR** IBI* DE JES**</t>
  </si>
  <si>
    <t>57305036</t>
  </si>
  <si>
    <t>MEJIA FLOREZ ANA LUZ</t>
  </si>
  <si>
    <t>MEJ** FLO*** ANA LUZ</t>
  </si>
  <si>
    <t>57305039</t>
  </si>
  <si>
    <t>CONTRERAS CHARRY ELSA ISABEL</t>
  </si>
  <si>
    <t>CON****** CHA*** ELS* ISA***</t>
  </si>
  <si>
    <t>57305060</t>
  </si>
  <si>
    <t>TORRES RODRIGUEZ ALICIA ESTER</t>
  </si>
  <si>
    <t>TOR*** ROD****** ALI*** EST**</t>
  </si>
  <si>
    <t>57305139</t>
  </si>
  <si>
    <t>CABALLERO PEREZ TATIANA JUDITH</t>
  </si>
  <si>
    <t>CAB****** PER** TAT**** JUD***</t>
  </si>
  <si>
    <t>57305251</t>
  </si>
  <si>
    <t>PABON PALLARES CELINA BEATRIZ</t>
  </si>
  <si>
    <t>PAB** PAL***** CEL*** BEA****</t>
  </si>
  <si>
    <t>57305522</t>
  </si>
  <si>
    <t>DE LA HOZ CERA LILA MARGARITA</t>
  </si>
  <si>
    <t>DE LA HOZ CER* LIL* MAR******</t>
  </si>
  <si>
    <t>57305539</t>
  </si>
  <si>
    <t>SALAS MARTINEZ MILENA PATRICIA</t>
  </si>
  <si>
    <t>SAL** MAR***** MIL*** PAT*****</t>
  </si>
  <si>
    <t>57305563</t>
  </si>
  <si>
    <t>CERVANTES MADRID MARIA VICTORIA</t>
  </si>
  <si>
    <t>CER****** MAD*** MAR** VIC*****</t>
  </si>
  <si>
    <t>57305570</t>
  </si>
  <si>
    <t>SILVA DIAZ ANA MARIA</t>
  </si>
  <si>
    <t>SIL** DIA* ANA MAR**</t>
  </si>
  <si>
    <t>57305596</t>
  </si>
  <si>
    <t>FERNANDEZ MERIÑO IBIS MARGOTH</t>
  </si>
  <si>
    <t>FER****** MER*** IBI* MAR****</t>
  </si>
  <si>
    <t>57305646</t>
  </si>
  <si>
    <t>MENDOZA RODRIGUEZ GLORIA CARMEN</t>
  </si>
  <si>
    <t>MEN**** ROD****** GLO*** CAR***</t>
  </si>
  <si>
    <t>57305958</t>
  </si>
  <si>
    <t>ORTEGA MORENO LILEIVA LUZ</t>
  </si>
  <si>
    <t>ORT*** MOR*** LIL**** LUZ</t>
  </si>
  <si>
    <t>57306042</t>
  </si>
  <si>
    <t>YANCY CASTRO CELINA ESTHER</t>
  </si>
  <si>
    <t>YAN** CAS*** CEL*** EST***</t>
  </si>
  <si>
    <t>57306106</t>
  </si>
  <si>
    <t>BORJA FONTALVO CLAUDIA PATRICIA</t>
  </si>
  <si>
    <t>BOR** FON***** CLA**** PAT*****</t>
  </si>
  <si>
    <t>57306190</t>
  </si>
  <si>
    <t>CERVANTES LARA ROCIO DEL PILAR</t>
  </si>
  <si>
    <t>CER****** LAR* ROC** DEL PIL**</t>
  </si>
  <si>
    <t>57306202</t>
  </si>
  <si>
    <t>ECHENIQUE PERTUZ MARIA CLAUDIA</t>
  </si>
  <si>
    <t>ECH****** PER*** MAR** CLA****</t>
  </si>
  <si>
    <t>57306343</t>
  </si>
  <si>
    <t>CASTRO VARELA CARMEN JUDITH</t>
  </si>
  <si>
    <t>CAS*** VAR*** CAR*** JUD***</t>
  </si>
  <si>
    <t>57306425</t>
  </si>
  <si>
    <t>ACOSTA SANTODOMINGO BERTHINA BEATRIZ</t>
  </si>
  <si>
    <t>ACO*** SAN********* BER***** BEA****</t>
  </si>
  <si>
    <t>57306427</t>
  </si>
  <si>
    <t>SALAH ROPAIN GLORIA MARIA</t>
  </si>
  <si>
    <t>SAL** ROP*** GLO*** MAR**</t>
  </si>
  <si>
    <t>57306607</t>
  </si>
  <si>
    <t>PERTUZ OSPINO NOHORA LUZ</t>
  </si>
  <si>
    <t>PER*** OSP*** NOH*** LUZ</t>
  </si>
  <si>
    <t>57306731</t>
  </si>
  <si>
    <t>GARCIA VARELA ANA MILENA</t>
  </si>
  <si>
    <t>GAR*** VAR*** ANA MIL***</t>
  </si>
  <si>
    <t>57306901</t>
  </si>
  <si>
    <t>ORTEGA MORENO LIJANEY PAOLA</t>
  </si>
  <si>
    <t>ORT*** MOR*** LIJ**** PAO**</t>
  </si>
  <si>
    <t>57307014</t>
  </si>
  <si>
    <t>OLIVARES SILVA ELIZABETH SOFIA</t>
  </si>
  <si>
    <t>OLI***** SIL** ELI****** SOF**</t>
  </si>
  <si>
    <t>57307035</t>
  </si>
  <si>
    <t>ARAGON DE LA CRUZ MARIA MARTHA</t>
  </si>
  <si>
    <t>ARA*** DE LA CRU* MAR** MAR***</t>
  </si>
  <si>
    <t>57307179</t>
  </si>
  <si>
    <t>MONTENEGRO MONTERO MARTHA ESTHER</t>
  </si>
  <si>
    <t>MON******* MON**** MAR*** EST***</t>
  </si>
  <si>
    <t>57307181</t>
  </si>
  <si>
    <t>GONZALEZ GUTIERREZ INGRIS LISETTE</t>
  </si>
  <si>
    <t>GON***** GUT****** ING*** LIS****</t>
  </si>
  <si>
    <t>57307216</t>
  </si>
  <si>
    <t>GONZALEZ MOVILLA MELY JUDITH</t>
  </si>
  <si>
    <t>GON***** MOV**** MEL* JUD***</t>
  </si>
  <si>
    <t>57307275</t>
  </si>
  <si>
    <t>MERCADO GARCIA LUZ MERY</t>
  </si>
  <si>
    <t>MER**** GAR*** LUZ MER*</t>
  </si>
  <si>
    <t>57307276</t>
  </si>
  <si>
    <t>GUTIERREZ YANCY NORIS DEL CARMEN</t>
  </si>
  <si>
    <t>GUT****** YAN** NOR** DEL CAR***</t>
  </si>
  <si>
    <t>57307373</t>
  </si>
  <si>
    <t>ROMO MERCADO AMPARO MATILDE</t>
  </si>
  <si>
    <t>ROM* MER**** AMP*** MAT****</t>
  </si>
  <si>
    <t>57307528</t>
  </si>
  <si>
    <t>CERVANTES DE LA CRUZ DEIVIS LISETH</t>
  </si>
  <si>
    <t>CER****** DE LA CRU* DEI*** LIS***</t>
  </si>
  <si>
    <t>57307580</t>
  </si>
  <si>
    <t>MONTENEGRO CARRILLO SINIVA MARTA</t>
  </si>
  <si>
    <t>MON******* CAR***** SIN*** MAR**</t>
  </si>
  <si>
    <t>57307745</t>
  </si>
  <si>
    <t>CHIQUILLO JIMENEZ ANA CECILIA</t>
  </si>
  <si>
    <t>CHI****** JIM**** ANA CEC****</t>
  </si>
  <si>
    <t>57308014</t>
  </si>
  <si>
    <t>SOLANO VALENCIA MARIA VICTORIA</t>
  </si>
  <si>
    <t>SOL*** VAL***** MAR** VIC*****</t>
  </si>
  <si>
    <t>57308077</t>
  </si>
  <si>
    <t>BOLAÑO LARA LESLY MARIA</t>
  </si>
  <si>
    <t>BOL*** LAR* LES** MAR**</t>
  </si>
  <si>
    <t>57308191</t>
  </si>
  <si>
    <t>PALACIO MERCADO YACENIA ESTHER</t>
  </si>
  <si>
    <t>PAL**** MER**** YAC**** EST***</t>
  </si>
  <si>
    <t>57308506</t>
  </si>
  <si>
    <t>MONTENEGRO ALVAREZ CELMIRA ROSA</t>
  </si>
  <si>
    <t>MON******* ALV**** CEL**** ROS*</t>
  </si>
  <si>
    <t>57308560</t>
  </si>
  <si>
    <t>ESCAÑO CARO LORENA PATRICIA</t>
  </si>
  <si>
    <t>ESC*** CAR* LOR*** PAT*****</t>
  </si>
  <si>
    <t>57308725</t>
  </si>
  <si>
    <t>LINDADO CANTILLO YINA BEL</t>
  </si>
  <si>
    <t>LIN**** CAN***** YIN* BEL</t>
  </si>
  <si>
    <t>57308765</t>
  </si>
  <si>
    <t>PEREZ TERNERA YURIS BICETH</t>
  </si>
  <si>
    <t>PER** TER**** YUR** BIC***</t>
  </si>
  <si>
    <t>57308782</t>
  </si>
  <si>
    <t>DE LA CRUZ CASTRO KATIA LUZ</t>
  </si>
  <si>
    <t>DE LA CRU* CAS*** KAT** LUZ</t>
  </si>
  <si>
    <t>57309137</t>
  </si>
  <si>
    <t>DE LA CRUZ CANTILLO ANAIBIS</t>
  </si>
  <si>
    <t>DE LA CRU* CAN***** ANA****</t>
  </si>
  <si>
    <t>57309676</t>
  </si>
  <si>
    <t>PERTUZ OBESO YENIFER DEL CARMEN</t>
  </si>
  <si>
    <t>PER*** OBE** YEN**** DEL CAR***</t>
  </si>
  <si>
    <t>57340084</t>
  </si>
  <si>
    <t>RETAMOZO OROZCO LISBETH DE JESUS</t>
  </si>
  <si>
    <t>RET***** ORO*** LIS**** DE JES**</t>
  </si>
  <si>
    <t>57349376</t>
  </si>
  <si>
    <t>LOPEZ ROBLES PAUBLINA ISABEL</t>
  </si>
  <si>
    <t>LOP** ROB*** PAU***** ISA***</t>
  </si>
  <si>
    <t>57349383</t>
  </si>
  <si>
    <t>FERNANDEZ BORJA KERLYS</t>
  </si>
  <si>
    <t>FER****** BOR** KER***</t>
  </si>
  <si>
    <t>57350003</t>
  </si>
  <si>
    <t>GUERRERO GARCIA MIRNA ROSMARY</t>
  </si>
  <si>
    <t>GUE***** GAR*** MIR** ROS****</t>
  </si>
  <si>
    <t>57350035</t>
  </si>
  <si>
    <t>CASTILLO DE AGUAS JOSEFA MARIA</t>
  </si>
  <si>
    <t>CAS***** DE AGU** JOS*** MAR**</t>
  </si>
  <si>
    <t>57350047</t>
  </si>
  <si>
    <t>YANCE ARAUJO SONIA ESTHER</t>
  </si>
  <si>
    <t>YAN** ARA*** SON** EST***</t>
  </si>
  <si>
    <t>57350061</t>
  </si>
  <si>
    <t>VELASQUEZ MARTINEZ OLGA TERESA</t>
  </si>
  <si>
    <t>VEL****** MAR***** OLG* TER***</t>
  </si>
  <si>
    <t>57380242</t>
  </si>
  <si>
    <t>RIVERA LOPEZ GLENYS ESTHER</t>
  </si>
  <si>
    <t>RIV*** LOP** GLE*** EST***</t>
  </si>
  <si>
    <t>57380314</t>
  </si>
  <si>
    <t>MORENO HERRERA ELY JOHANA</t>
  </si>
  <si>
    <t>MOR*** HER**** ELY JOH***</t>
  </si>
  <si>
    <t>57380331</t>
  </si>
  <si>
    <t>MORALES MADARIAGA MIRETH DE JESUS</t>
  </si>
  <si>
    <t>MOR**** MAD****** MIR*** DE JES**</t>
  </si>
  <si>
    <t>57390080</t>
  </si>
  <si>
    <t>GAMARRA GAMARRA YURIS PATRICIA</t>
  </si>
  <si>
    <t>GAM**** GAM**** YUR** PAT*****</t>
  </si>
  <si>
    <t>57400194</t>
  </si>
  <si>
    <t>ANDRADE BERMUDEZ DENYS MARINA</t>
  </si>
  <si>
    <t>AND**** BER***** DEN** MAR***</t>
  </si>
  <si>
    <t>57400316</t>
  </si>
  <si>
    <t>FADULL SANJUAN NADIME ISABEL</t>
  </si>
  <si>
    <t>FAD*** SAN**** NAD*** ISA***</t>
  </si>
  <si>
    <t>57400572</t>
  </si>
  <si>
    <t>CABANA HERNANDEZ MARIA DEL PILAR</t>
  </si>
  <si>
    <t>CAB*** HER****** MAR** DEL PIL**</t>
  </si>
  <si>
    <t>57400602</t>
  </si>
  <si>
    <t>BARROS MEJIA MARIELA ELENA</t>
  </si>
  <si>
    <t>BAR*** MEJ** MAR**** ELE**</t>
  </si>
  <si>
    <t>57400613</t>
  </si>
  <si>
    <t>RUIZ MOTERROSA CARMEN CECILIA</t>
  </si>
  <si>
    <t>RUI* MOT****** CAR*** CEC****</t>
  </si>
  <si>
    <t>57400619</t>
  </si>
  <si>
    <t>DIAZGRANADOS PEREZ AMARILIS ESTHER</t>
  </si>
  <si>
    <t>DIA********* PER** AMA***** EST***</t>
  </si>
  <si>
    <t>57400647</t>
  </si>
  <si>
    <t>NAVARRO NAVARRO BEATRIZ CECILIA</t>
  </si>
  <si>
    <t>NAV**** NAV**** BEA**** CEC****</t>
  </si>
  <si>
    <t>57400745</t>
  </si>
  <si>
    <t>LOZADA PORRAS LIBIA</t>
  </si>
  <si>
    <t>LOZ*** POR*** LIB**</t>
  </si>
  <si>
    <t>57400797</t>
  </si>
  <si>
    <t>ROBAYO PUENTES GEORGINA DEL SOCORRO</t>
  </si>
  <si>
    <t>ROB*** PUE**** GEO***** DEL SOC****</t>
  </si>
  <si>
    <t>57400826</t>
  </si>
  <si>
    <t>BARRANCO FERREIRA ALMA DOLORES</t>
  </si>
  <si>
    <t>BAR***** FER***** ALM* DOL****</t>
  </si>
  <si>
    <t>57400847</t>
  </si>
  <si>
    <t>OROZCO DE LA HOZ NORALBA HIDILIA</t>
  </si>
  <si>
    <t>ORO*** DE LA HOZ NOR**** HID****</t>
  </si>
  <si>
    <t>57400853</t>
  </si>
  <si>
    <t>VIZCAINO ROSELLON DILIA MERCEDES</t>
  </si>
  <si>
    <t>VIZ***** ROS***** DIL** MER*****</t>
  </si>
  <si>
    <t>57400895</t>
  </si>
  <si>
    <t>BERMUDEZ CANTILLO ROSA MARIA</t>
  </si>
  <si>
    <t>BER***** CAN***** ROS* MAR**</t>
  </si>
  <si>
    <t>57400961</t>
  </si>
  <si>
    <t>MARTINEZ PULIDO CAROLINA ROSA</t>
  </si>
  <si>
    <t>MAR***** PUL*** CAR***** ROS*</t>
  </si>
  <si>
    <t>57401007</t>
  </si>
  <si>
    <t>MONTENEGRO RADA CARMEN DOLORES</t>
  </si>
  <si>
    <t>MON******* RAD* CAR*** DOL****</t>
  </si>
  <si>
    <t>57401014</t>
  </si>
  <si>
    <t>CANTILLO MANJARREZ ILUMINADA ESTHER</t>
  </si>
  <si>
    <t>CAN***** MAN****** ILU****** EST***</t>
  </si>
  <si>
    <t>57401024</t>
  </si>
  <si>
    <t>MESTRE PONCE MARIA DEL SOCORRO</t>
  </si>
  <si>
    <t>MES*** PON** MAR** DEL SOC****</t>
  </si>
  <si>
    <t>57401067</t>
  </si>
  <si>
    <t>ESCORCIA ANGARITA ANA MATILDE</t>
  </si>
  <si>
    <t>ESC***** ANG***** ANA MAT****</t>
  </si>
  <si>
    <t>57401125</t>
  </si>
  <si>
    <t>FLOREZ PARODI LISETH VICTORIA</t>
  </si>
  <si>
    <t>FLO*** PAR*** LIS*** VIC*****</t>
  </si>
  <si>
    <t>57401212</t>
  </si>
  <si>
    <t>SERRANO HERNANDEZ AURA MARIA</t>
  </si>
  <si>
    <t>SER**** HER****** AUR* MAR**</t>
  </si>
  <si>
    <t>57401247</t>
  </si>
  <si>
    <t>OROZCO CASTRO BUENA VENTURA</t>
  </si>
  <si>
    <t>ORO*** CAS*** BUE** VEN****</t>
  </si>
  <si>
    <t>57401262</t>
  </si>
  <si>
    <t>MARTINEZ SOLANO EDILVIA EMILCE</t>
  </si>
  <si>
    <t>MAR***** SOL*** EDI**** EMI***</t>
  </si>
  <si>
    <t>57401273</t>
  </si>
  <si>
    <t>CASADIEGO CORTINA ELSA LEONOR</t>
  </si>
  <si>
    <t>CAS****** COR**** ELS* LEO***</t>
  </si>
  <si>
    <t>57401326</t>
  </si>
  <si>
    <t>DOMINGUEZ BLANCO AIDA BEATRIZ</t>
  </si>
  <si>
    <t>DOM****** BLA*** AID* BEA****</t>
  </si>
  <si>
    <t>57401351</t>
  </si>
  <si>
    <t>RUIZ MONTERROZA GLADYS EDITH</t>
  </si>
  <si>
    <t>RUI* MON******* GLA*** EDI**</t>
  </si>
  <si>
    <t>57401373</t>
  </si>
  <si>
    <t>BOCANEGRA BARRAZA LESBIA JOSEFINA</t>
  </si>
  <si>
    <t>BOC****** BAR**** LES*** JOS*****</t>
  </si>
  <si>
    <t>57401399</t>
  </si>
  <si>
    <t>PALMERA PEREZ MARIA ENCARNACION</t>
  </si>
  <si>
    <t>PAL**** PER** MAR** ENC********</t>
  </si>
  <si>
    <t>57401421</t>
  </si>
  <si>
    <t>MERCADO MANGAS MATILDE LUCIA</t>
  </si>
  <si>
    <t>MER**** MAN*** MAT**** LUC**</t>
  </si>
  <si>
    <t>57401452</t>
  </si>
  <si>
    <t>MORENO FERRER ROSIMBER MARIA</t>
  </si>
  <si>
    <t>MOR*** FER*** ROS***** MAR**</t>
  </si>
  <si>
    <t>57401619</t>
  </si>
  <si>
    <t>RODRIGUEZ ZUÑIGA GILMA</t>
  </si>
  <si>
    <t>ROD****** ZUÑ*** GIL**</t>
  </si>
  <si>
    <t>57401712</t>
  </si>
  <si>
    <t>FERREIRA STAND BELINDA ROSA</t>
  </si>
  <si>
    <t>FER***** STA** BEL**** ROS*</t>
  </si>
  <si>
    <t>57401760</t>
  </si>
  <si>
    <t>AMASTHA RAMIREZ JELUE ANNE</t>
  </si>
  <si>
    <t>AMA**** RAM**** JEL** ANN*</t>
  </si>
  <si>
    <t>57401895</t>
  </si>
  <si>
    <t>MEZA RAMOS MILADIS MARIANA</t>
  </si>
  <si>
    <t>MEZ* RAM** MIL**** MAR****</t>
  </si>
  <si>
    <t>57401938</t>
  </si>
  <si>
    <t>BLANCO MERCADO MARIA ISABEL</t>
  </si>
  <si>
    <t>BLA*** MER**** MAR** ISA***</t>
  </si>
  <si>
    <t>57401951</t>
  </si>
  <si>
    <t>CUELLO SALGADO ODALIS ROCIO</t>
  </si>
  <si>
    <t>CUE*** SAL**** ODA*** ROC**</t>
  </si>
  <si>
    <t>57401964</t>
  </si>
  <si>
    <t>LOBELO PERTUZ ALBA LUZ</t>
  </si>
  <si>
    <t>LOB*** PER*** ALB* LUZ</t>
  </si>
  <si>
    <t>57401975</t>
  </si>
  <si>
    <t>BARON HERNANDEZ CARMEN ELENA</t>
  </si>
  <si>
    <t>BAR** HER****** CAR*** ELE**</t>
  </si>
  <si>
    <t>57402016</t>
  </si>
  <si>
    <t>DE LA HOZ MERCADO JUDITH</t>
  </si>
  <si>
    <t>DE LA HOZ MER**** JUD***</t>
  </si>
  <si>
    <t>57402060</t>
  </si>
  <si>
    <t>BRAVO DE LA ROSA MARIBEL</t>
  </si>
  <si>
    <t>BRA** DE LA ROS* MAR****</t>
  </si>
  <si>
    <t>57402190</t>
  </si>
  <si>
    <t>ALTAHONA MERCADO IBETH MARINA</t>
  </si>
  <si>
    <t>ALT***** MER**** IBE** MAR***</t>
  </si>
  <si>
    <t>57402280</t>
  </si>
  <si>
    <t>ELIS CARDENAS YENIS ESTHER</t>
  </si>
  <si>
    <t>ELI* CAR***** YEN** EST***</t>
  </si>
  <si>
    <t>57402422</t>
  </si>
  <si>
    <t>PERTUZ SAMPER MARIA DEL ROSARIO</t>
  </si>
  <si>
    <t>PER*** SAM*** MAR** DEL ROS****</t>
  </si>
  <si>
    <t>57402456</t>
  </si>
  <si>
    <t>CAMACHO PARRA MARGARITA BEATRIZ</t>
  </si>
  <si>
    <t>CAM**** PAR** MAR****** BEA****</t>
  </si>
  <si>
    <t>57402509</t>
  </si>
  <si>
    <t>OROZCO OROZCO ELSA MARIA</t>
  </si>
  <si>
    <t>ORO*** ORO*** ELS* MAR**</t>
  </si>
  <si>
    <t>57402576</t>
  </si>
  <si>
    <t>EGUIS VASQUEZ ANTONIA ISABEL</t>
  </si>
  <si>
    <t>EGU** VAS**** ANT**** ISA***</t>
  </si>
  <si>
    <t>57402593</t>
  </si>
  <si>
    <t>PEREZ PEDROZA VITELMA</t>
  </si>
  <si>
    <t>PER** PED**** VIT****</t>
  </si>
  <si>
    <t>57402676</t>
  </si>
  <si>
    <t>BLANCO GARCIA MARIA DOLORES</t>
  </si>
  <si>
    <t>BLA*** GAR*** MAR** DOL****</t>
  </si>
  <si>
    <t>57402686</t>
  </si>
  <si>
    <t>SANCHEZ PALMERA ANA MERCEDES</t>
  </si>
  <si>
    <t>SAN**** PAL**** ANA MER*****</t>
  </si>
  <si>
    <t>57402691</t>
  </si>
  <si>
    <t>CANTILLO MONTERO DELVIS ZENITH</t>
  </si>
  <si>
    <t>CAN***** MON**** DEL*** ZEN***</t>
  </si>
  <si>
    <t>57402695</t>
  </si>
  <si>
    <t>CALLEJAS CAMACHO MARILYS RUTH</t>
  </si>
  <si>
    <t>CAL***** CAM**** MAR**** RUT*</t>
  </si>
  <si>
    <t>57402711</t>
  </si>
  <si>
    <t>GOMEZ MACHADO NERIS ELITH</t>
  </si>
  <si>
    <t>GOM** MAC**** NER** ELI**</t>
  </si>
  <si>
    <t>57402734</t>
  </si>
  <si>
    <t>JARABA BERMUDEZ DIGNA ROSA</t>
  </si>
  <si>
    <t>JAR*** BER***** DIG** ROS*</t>
  </si>
  <si>
    <t>57402758</t>
  </si>
  <si>
    <t>SALDAÑA ANDRADE LUZ ESTELLA</t>
  </si>
  <si>
    <t>SAL**** AND**** LUZ EST****</t>
  </si>
  <si>
    <t>57402828</t>
  </si>
  <si>
    <t>MONTERO SALGADO YARITZA DE JESUS</t>
  </si>
  <si>
    <t>MON**** SAL**** YAR**** DE JES**</t>
  </si>
  <si>
    <t>57402900</t>
  </si>
  <si>
    <t>GUERRA MERCADO YOLANDA ESTHER</t>
  </si>
  <si>
    <t>GUE*** MER**** YOL**** EST***</t>
  </si>
  <si>
    <t>57402917</t>
  </si>
  <si>
    <t>PEREZ URIBE ANA RITA</t>
  </si>
  <si>
    <t>PER** URI** ANA RIT*</t>
  </si>
  <si>
    <t>57402942</t>
  </si>
  <si>
    <t>VERGARA LUNA LUZ MARINA</t>
  </si>
  <si>
    <t>VER**** LUN* LUZ MAR***</t>
  </si>
  <si>
    <t>57402962</t>
  </si>
  <si>
    <t>RIVERA MARTINEZ NESLE EDITH</t>
  </si>
  <si>
    <t>RIV*** MAR***** NES** EDI**</t>
  </si>
  <si>
    <t>57402991</t>
  </si>
  <si>
    <t>LARA POLO ENAYDA SOFIA</t>
  </si>
  <si>
    <t>LAR* POL* ENA*** SOF**</t>
  </si>
  <si>
    <t>57402992</t>
  </si>
  <si>
    <t>SALDAÑA ANDRADE MARIA ELENA</t>
  </si>
  <si>
    <t>SAL**** AND**** MAR** ELE**</t>
  </si>
  <si>
    <t>57402995</t>
  </si>
  <si>
    <t>MOLINA GONZALEZ LAUDITH LEYLA</t>
  </si>
  <si>
    <t>MOL*** GON***** LAU**** LEY**</t>
  </si>
  <si>
    <t>57403081</t>
  </si>
  <si>
    <t>DE LA CRUZ PEDROZA YOLANDA ESTHER</t>
  </si>
  <si>
    <t>DE LA CRU* PED**** YOL**** EST***</t>
  </si>
  <si>
    <t>57403084</t>
  </si>
  <si>
    <t>GIRALDO CAMACHO RUBIS MARIA</t>
  </si>
  <si>
    <t>GIR**** CAM**** RUB** MAR**</t>
  </si>
  <si>
    <t>57403156</t>
  </si>
  <si>
    <t>GAMARRA ANDRADE CELINDA ROSA</t>
  </si>
  <si>
    <t>GAM**** AND**** CEL**** ROS*</t>
  </si>
  <si>
    <t>57403162</t>
  </si>
  <si>
    <t>HERNANDEZ DE LA CRUZ CONSUELO MARIA</t>
  </si>
  <si>
    <t>HER****** DE LA CRU* CON***** MAR**</t>
  </si>
  <si>
    <t>57403165</t>
  </si>
  <si>
    <t>CALLEJAS BOLAÑO CARMEN AMINTA</t>
  </si>
  <si>
    <t>CAL***** BOL*** CAR*** AMI***</t>
  </si>
  <si>
    <t>57403166</t>
  </si>
  <si>
    <t>URIBE GRAJALES VENUS ESTHER</t>
  </si>
  <si>
    <t>URI** GRA***** VEN** EST***</t>
  </si>
  <si>
    <t>57403219</t>
  </si>
  <si>
    <t>ESCORCIA MARTINEZ GRETTEL MORELIA</t>
  </si>
  <si>
    <t>ESC***** MAR***** GRE**** MOR****</t>
  </si>
  <si>
    <t>57403221</t>
  </si>
  <si>
    <t>CANTILLO GONZALEZ ALCIRA ROSA</t>
  </si>
  <si>
    <t>CAN***** GON***** ALC*** ROS*</t>
  </si>
  <si>
    <t>57403243</t>
  </si>
  <si>
    <t>RACINES BENITEZ MARIA DEL CARMEN</t>
  </si>
  <si>
    <t>RAC**** BEN**** MAR** DEL CAR***</t>
  </si>
  <si>
    <t>57403245</t>
  </si>
  <si>
    <t>GUTIERREZ DUBIS ESTHER</t>
  </si>
  <si>
    <t>GUT****** DUB** EST***</t>
  </si>
  <si>
    <t>57403253</t>
  </si>
  <si>
    <t>PALMA SANCHEZ DUBYS ESTHER</t>
  </si>
  <si>
    <t>PAL** SAN**** DUB** EST***</t>
  </si>
  <si>
    <t>57403367</t>
  </si>
  <si>
    <t>PEREZ MEJIA JUANA MARIA</t>
  </si>
  <si>
    <t>PER** MEJ** JUA** MAR**</t>
  </si>
  <si>
    <t>57403453</t>
  </si>
  <si>
    <t>MONSALVE MUÑOZ MARIA EUGENIA</t>
  </si>
  <si>
    <t>MON***** MUÑ** MAR** EUG****</t>
  </si>
  <si>
    <t>57403465</t>
  </si>
  <si>
    <t>DE LA HOZ MERCADO DEVIS</t>
  </si>
  <si>
    <t>DE LA HOZ MER**** DEV**</t>
  </si>
  <si>
    <t>57403485</t>
  </si>
  <si>
    <t>TERNERA ANDRADE MARIA CONCEPCION</t>
  </si>
  <si>
    <t>TER**** AND**** MAR** CON*******</t>
  </si>
  <si>
    <t>57403487</t>
  </si>
  <si>
    <t>BARRIOS BUELVAS MERYS LUZ</t>
  </si>
  <si>
    <t>BAR**** BUE**** MER** LUZ</t>
  </si>
  <si>
    <t>57403499</t>
  </si>
  <si>
    <t>HERNANDEZ DE LA CRUZ VIBIANA</t>
  </si>
  <si>
    <t>HER****** DE LA CRU* VIB****</t>
  </si>
  <si>
    <t>57403527</t>
  </si>
  <si>
    <t>CASTAÑEDA DE LA CRUZ OLARIS DEL SOCORRO</t>
  </si>
  <si>
    <t>CAS****** DE LA CRU* OLA*** DEL SOC****</t>
  </si>
  <si>
    <t>57403577</t>
  </si>
  <si>
    <t>AVILA DIAZ NURIS JEANETH</t>
  </si>
  <si>
    <t>AVI** DIA* NUR** JEA****</t>
  </si>
  <si>
    <t>57403703</t>
  </si>
  <si>
    <t>VARELA SUAREZ BELKIS ESTHER</t>
  </si>
  <si>
    <t>VAR*** SUA*** BEL*** EST***</t>
  </si>
  <si>
    <t>57403705</t>
  </si>
  <si>
    <t>BERMUDEZ GUTIERREZ ANA VALENTINA</t>
  </si>
  <si>
    <t>BER***** GUT****** ANA VAL******</t>
  </si>
  <si>
    <t>57403743</t>
  </si>
  <si>
    <t>RENDE ALVAREZ PIEDAD DE LOS REYES</t>
  </si>
  <si>
    <t>REN** ALV**** PIE*** DE LOS REY**</t>
  </si>
  <si>
    <t>57403776</t>
  </si>
  <si>
    <t>GOMEZ ROMERO MARIA DEL CARMEN</t>
  </si>
  <si>
    <t>GOM** ROM*** MAR** DEL CAR***</t>
  </si>
  <si>
    <t>57403824</t>
  </si>
  <si>
    <t>ESTRADA YANETH</t>
  </si>
  <si>
    <t>EST**** YAN***</t>
  </si>
  <si>
    <t>57403870</t>
  </si>
  <si>
    <t>COLON LUNA NEYIDE ISABEL</t>
  </si>
  <si>
    <t>COL** LUN* NEY*** ISA***</t>
  </si>
  <si>
    <t>57403877</t>
  </si>
  <si>
    <t>BOSSIO MENDOZA ANA MARIA</t>
  </si>
  <si>
    <t>BOS*** MEN**** ANA MAR**</t>
  </si>
  <si>
    <t>57403887</t>
  </si>
  <si>
    <t>PINEDA ZURITA IBIS ESTHER</t>
  </si>
  <si>
    <t>PIN*** ZUR*** IBI* EST***</t>
  </si>
  <si>
    <t>57403936</t>
  </si>
  <si>
    <t>GONZALEZ GARCIA ADELFA ETILVIA</t>
  </si>
  <si>
    <t>GON***** GAR*** ADE*** ETI****</t>
  </si>
  <si>
    <t>57403942</t>
  </si>
  <si>
    <t>JARABA BERMUDEZ ELEINE ESTHER</t>
  </si>
  <si>
    <t>JAR*** BER***** ELE*** EST***</t>
  </si>
  <si>
    <t>57403962</t>
  </si>
  <si>
    <t>RADA JARABA DORILIS</t>
  </si>
  <si>
    <t>RAD* JAR*** DOR****</t>
  </si>
  <si>
    <t>57403970</t>
  </si>
  <si>
    <t>BARROS ANAYA ROSIRIS BEATRIZ</t>
  </si>
  <si>
    <t>BAR*** ANA** ROS**** BEA****</t>
  </si>
  <si>
    <t>57403982</t>
  </si>
  <si>
    <t>LOPEZ MENDINUETA PATRICIA MARIA</t>
  </si>
  <si>
    <t>LOP** MEN******* PAT***** MAR**</t>
  </si>
  <si>
    <t>57404000</t>
  </si>
  <si>
    <t>POSTERARO SOCARRAS ITALA MERCEDES</t>
  </si>
  <si>
    <t>POS****** SOC***** ITA** MER*****</t>
  </si>
  <si>
    <t>57404028</t>
  </si>
  <si>
    <t>OSPINO HERNANDEZ DAMARIS ESTHER</t>
  </si>
  <si>
    <t>OSP*** HER****** DAM**** EST***</t>
  </si>
  <si>
    <t>57404048</t>
  </si>
  <si>
    <t>SILVERA REDONDO ARACELYS MARIA</t>
  </si>
  <si>
    <t>SIL**** RED**** ARA***** MAR**</t>
  </si>
  <si>
    <t>57404073</t>
  </si>
  <si>
    <t>MARTINEZ RUDAS JAQUELINE ESTHER</t>
  </si>
  <si>
    <t>MAR***** RUD** JAQ****** EST***</t>
  </si>
  <si>
    <t>57404079</t>
  </si>
  <si>
    <t>GUTIERREZ HERNANDEZ CONSUELO JUDITH</t>
  </si>
  <si>
    <t>GUT****** HER****** CON***** JUD***</t>
  </si>
  <si>
    <t>57404104</t>
  </si>
  <si>
    <t>ANDRADE VENERA ROSA MERCEDES</t>
  </si>
  <si>
    <t>AND**** VEN*** ROS* MER*****</t>
  </si>
  <si>
    <t>57404108</t>
  </si>
  <si>
    <t>PIÑA RODRIGUEZ ZULAY ISABEL</t>
  </si>
  <si>
    <t>PIÑ* ROD****** ZUL** ISA***</t>
  </si>
  <si>
    <t>57404109</t>
  </si>
  <si>
    <t>JIMENEZ MERCADO NOHORA DE JESUS</t>
  </si>
  <si>
    <t>JIM**** MER**** NOH*** DE JES**</t>
  </si>
  <si>
    <t>57404111</t>
  </si>
  <si>
    <t>CANTILLO MOLINA NERIS MARINA</t>
  </si>
  <si>
    <t>CAN***** MOL*** NER** MAR***</t>
  </si>
  <si>
    <t>57404133</t>
  </si>
  <si>
    <t>GARCIA PASSO LUZ ELENA</t>
  </si>
  <si>
    <t>GAR*** PAS** LUZ ELE**</t>
  </si>
  <si>
    <t>57404137</t>
  </si>
  <si>
    <t>PEREA MELENDEZ LUISA MARIA</t>
  </si>
  <si>
    <t>PER** MEL***** LUI** MAR**</t>
  </si>
  <si>
    <t>57404252</t>
  </si>
  <si>
    <t>VEGA MACIAS LEDA MERCEDES</t>
  </si>
  <si>
    <t>VEG* MAC*** LED* MER*****</t>
  </si>
  <si>
    <t>57404262</t>
  </si>
  <si>
    <t>BOLAÑO ROMERO MALVI MILEDY</t>
  </si>
  <si>
    <t>BOL*** ROM*** MAL** MIL***</t>
  </si>
  <si>
    <t>57404277</t>
  </si>
  <si>
    <t>DIAZ VILLARREAL MARINA DEL PILAR</t>
  </si>
  <si>
    <t>DIA* VIL******* MAR*** DEL PIL**</t>
  </si>
  <si>
    <t>57404310</t>
  </si>
  <si>
    <t>MARTINEZ VASQUEZ MARIA ESTHER</t>
  </si>
  <si>
    <t>MAR***** VAS**** MAR** EST***</t>
  </si>
  <si>
    <t>57404338</t>
  </si>
  <si>
    <t>ORTIZ GUETTE CELIA INES</t>
  </si>
  <si>
    <t>ORT** GUE*** CEL** INE*</t>
  </si>
  <si>
    <t>57404352</t>
  </si>
  <si>
    <t>DAVILA GARCIA SULEYMA LEONOR</t>
  </si>
  <si>
    <t>DAV*** GAR*** SUL**** LEO***</t>
  </si>
  <si>
    <t>57404364</t>
  </si>
  <si>
    <t>RADA BRIEVA MARIELA INES</t>
  </si>
  <si>
    <t>RAD* BRI*** MAR**** INE*</t>
  </si>
  <si>
    <t>57404427</t>
  </si>
  <si>
    <t>PATIÑO VALENCIA YUDIS MARIA</t>
  </si>
  <si>
    <t>PAT*** VAL***** YUD** MAR**</t>
  </si>
  <si>
    <t>57404461</t>
  </si>
  <si>
    <t>LOPEZ TORRES LUZ MARY</t>
  </si>
  <si>
    <t>LOP** TOR*** LUZ MAR*</t>
  </si>
  <si>
    <t>57404468</t>
  </si>
  <si>
    <t>DE LA CRUZ LOZANO MONICA ESTHER</t>
  </si>
  <si>
    <t>DE LA CRU* LOZ*** MON*** EST***</t>
  </si>
  <si>
    <t>57404469</t>
  </si>
  <si>
    <t>JARABA MARTINEZ HELIA MODESTA</t>
  </si>
  <si>
    <t>JAR*** MAR***** HEL** MOD****</t>
  </si>
  <si>
    <t>57404479</t>
  </si>
  <si>
    <t>RODRIGUEZ VARGAS TOMASA ESTHER</t>
  </si>
  <si>
    <t>ROD****** VAR*** TOM*** EST***</t>
  </si>
  <si>
    <t>57404507</t>
  </si>
  <si>
    <t>PIZARRO URIELES ROSANA ESTHER</t>
  </si>
  <si>
    <t>PIZ**** URI**** ROS*** EST***</t>
  </si>
  <si>
    <t>57404522</t>
  </si>
  <si>
    <t>JIMENEZ VITOLA LUZ ESTELA</t>
  </si>
  <si>
    <t>JIM**** VIT*** LUZ EST***</t>
  </si>
  <si>
    <t>57404543</t>
  </si>
  <si>
    <t>PEÑALOZA ROBLES ZORELLY YANETH</t>
  </si>
  <si>
    <t>PEÑ***** ROB*** ZOR**** YAN***</t>
  </si>
  <si>
    <t>57404544</t>
  </si>
  <si>
    <t>GAVIRIA CANTILLO ROSA MARIA</t>
  </si>
  <si>
    <t>GAV**** CAN***** ROS* MAR**</t>
  </si>
  <si>
    <t>57404547</t>
  </si>
  <si>
    <t>VILLAZON DE LA CRUZ ALBA LUZ</t>
  </si>
  <si>
    <t>VIL***** DE LA CRU* ALB* LUZ</t>
  </si>
  <si>
    <t>57404566</t>
  </si>
  <si>
    <t>PINEDA CASTIBLANCO MARINA MARIA</t>
  </si>
  <si>
    <t>PIN*** CAS******** MAR*** MAR**</t>
  </si>
  <si>
    <t>57404575</t>
  </si>
  <si>
    <t>SAAVEDRA DORA DENNYS</t>
  </si>
  <si>
    <t>SAA***** DOR* DEN***</t>
  </si>
  <si>
    <t>57404600</t>
  </si>
  <si>
    <t>VIZCAINO BOLAÑOS MARILIS JUDITH</t>
  </si>
  <si>
    <t>VIZ***** BOL**** MAR**** JUD***</t>
  </si>
  <si>
    <t>57404626</t>
  </si>
  <si>
    <t>LOPEZ TRIGOS TORCOROMA</t>
  </si>
  <si>
    <t>LOP** TRI*** TOR******</t>
  </si>
  <si>
    <t>57404629</t>
  </si>
  <si>
    <t>ORTA CASTRO SOL MARINA</t>
  </si>
  <si>
    <t>ORT* CAS*** SOL MAR***</t>
  </si>
  <si>
    <t>57404632</t>
  </si>
  <si>
    <t>ESCORCIA CAMPO LUZ CELIS</t>
  </si>
  <si>
    <t>ESC***** CAM** LUZ CEL**</t>
  </si>
  <si>
    <t>57404635</t>
  </si>
  <si>
    <t>GUTIERREZ PEREZ JUDITH RAQUEL</t>
  </si>
  <si>
    <t>GUT****** PER** JUD*** RAQ***</t>
  </si>
  <si>
    <t>57404690</t>
  </si>
  <si>
    <t>CONTRERAS ANAYA LASTENIA CONCEPCION</t>
  </si>
  <si>
    <t>CON****** ANA** LAS***** CON*******</t>
  </si>
  <si>
    <t>57404725</t>
  </si>
  <si>
    <t>PABON SANCHEZ EVILA ISABEL</t>
  </si>
  <si>
    <t>PAB** SAN**** EVI** ISA***</t>
  </si>
  <si>
    <t>57404747</t>
  </si>
  <si>
    <t>PEDROZO MORA INGRID MARIA</t>
  </si>
  <si>
    <t>PED**** MOR* ING*** MAR**</t>
  </si>
  <si>
    <t>57404754</t>
  </si>
  <si>
    <t>DURAN OSPINO MARIA VICTORIA</t>
  </si>
  <si>
    <t>DUR** OSP*** MAR** VIC*****</t>
  </si>
  <si>
    <t>57404799</t>
  </si>
  <si>
    <t>MARTINEZ DOMINGUEZ ANA CRISTINA</t>
  </si>
  <si>
    <t>MAR***** DOM****** ANA CRI*****</t>
  </si>
  <si>
    <t>57404804</t>
  </si>
  <si>
    <t>SANCHEZ VILLERO DELFINA ROSIO</t>
  </si>
  <si>
    <t>SAN**** VIL**** DEL**** ROS**</t>
  </si>
  <si>
    <t>57404805</t>
  </si>
  <si>
    <t>MONTERO LOBO IRIS ESTER</t>
  </si>
  <si>
    <t>MON**** LOB* IRI* EST**</t>
  </si>
  <si>
    <t>57404939</t>
  </si>
  <si>
    <t>OROZCO BOLAÑO LEONOR CECILIA</t>
  </si>
  <si>
    <t>ORO*** BOL*** LEO*** CEC****</t>
  </si>
  <si>
    <t>57404940</t>
  </si>
  <si>
    <t>OSORIO MACHADO MONICA PATRICIA</t>
  </si>
  <si>
    <t>OSO*** MAC**** MON*** PAT*****</t>
  </si>
  <si>
    <t>57404965</t>
  </si>
  <si>
    <t>SALDAÑA ANDRADES ROSA MERCEDES</t>
  </si>
  <si>
    <t>SAL**** AND***** ROS* MER*****</t>
  </si>
  <si>
    <t>57404971</t>
  </si>
  <si>
    <t>OSPINO CASTRO ROSALBA</t>
  </si>
  <si>
    <t>OSP*** CAS*** ROS****</t>
  </si>
  <si>
    <t>57405035</t>
  </si>
  <si>
    <t>PEREA DE LEON YACENIA</t>
  </si>
  <si>
    <t>PER** DE LEO* YAC****</t>
  </si>
  <si>
    <t>57405039</t>
  </si>
  <si>
    <t>DE LEON SANTANA YAMARLIS JUDITH</t>
  </si>
  <si>
    <t>DE LEO* SAN**** YAM***** JUD***</t>
  </si>
  <si>
    <t>57405143</t>
  </si>
  <si>
    <t>ILIAS MUÑOZ BELYS JUDITH</t>
  </si>
  <si>
    <t>ILI** MUÑ** BEL** JUD***</t>
  </si>
  <si>
    <t>57405590</t>
  </si>
  <si>
    <t>URUETA MAESTRE SAID ANGELICA</t>
  </si>
  <si>
    <t>URU*** MAE**** SAI* ANG*****</t>
  </si>
  <si>
    <t>57405627</t>
  </si>
  <si>
    <t>AGUIAR LOPEZ MARIA DEL ROSARIO</t>
  </si>
  <si>
    <t>AGU*** LOP** MAR** DEL ROS****</t>
  </si>
  <si>
    <t>57405714</t>
  </si>
  <si>
    <t>FONTALVO ARZUAGA BRENDA INGRIS</t>
  </si>
  <si>
    <t>FON***** ARZ**** BRE*** ING***</t>
  </si>
  <si>
    <t>57405748</t>
  </si>
  <si>
    <t>MALDONADO SIERRA FARIDIS ORTENCIA</t>
  </si>
  <si>
    <t>MAL****** SIE*** FAR**** ORT*****</t>
  </si>
  <si>
    <t>57405799</t>
  </si>
  <si>
    <t>CHIQUILLO JULIO SANDRA LUZ</t>
  </si>
  <si>
    <t>CHI****** JUL** SAN*** LUZ</t>
  </si>
  <si>
    <t>57406401</t>
  </si>
  <si>
    <t>ARRIETA GUERRA SOLFANNY</t>
  </si>
  <si>
    <t>ARR**** GUE*** SOL*****</t>
  </si>
  <si>
    <t>57406485</t>
  </si>
  <si>
    <t>VILLARREAL GARRIDO IRINA</t>
  </si>
  <si>
    <t>VIL******* GAR**** IRI**</t>
  </si>
  <si>
    <t>57406496</t>
  </si>
  <si>
    <t>VILLEGAS CRESPO NETTY</t>
  </si>
  <si>
    <t>VIL***** CRE*** NET**</t>
  </si>
  <si>
    <t>57406554</t>
  </si>
  <si>
    <t>AVENDAÑO PUNDOR ESTHER JUDITH</t>
  </si>
  <si>
    <t>AVE***** PUN*** EST*** JUD***</t>
  </si>
  <si>
    <t>57406600</t>
  </si>
  <si>
    <t>MERLANO BORJA SHIRLEY</t>
  </si>
  <si>
    <t>MER**** BOR** SHI****</t>
  </si>
  <si>
    <t>57406680</t>
  </si>
  <si>
    <t>PEDROZO PEDROZO PABLA JOVINA</t>
  </si>
  <si>
    <t>PED**** PED**** PAB** JOV***</t>
  </si>
  <si>
    <t>57406709</t>
  </si>
  <si>
    <t>VILLALOBOS VILLARRUEL MARIA CONCEPCION</t>
  </si>
  <si>
    <t>VIL******* VIL******* MAR** CON*******</t>
  </si>
  <si>
    <t>57406755</t>
  </si>
  <si>
    <t>LENGUA MUÑOZ MARIA ZENITH</t>
  </si>
  <si>
    <t>LEN*** MUÑ** MAR** ZEN***</t>
  </si>
  <si>
    <t>57406774</t>
  </si>
  <si>
    <t>RODRIGUEZ RAMOS NOHORA</t>
  </si>
  <si>
    <t>ROD****** RAM** NOH***</t>
  </si>
  <si>
    <t>57406802</t>
  </si>
  <si>
    <t>LENGUA QUIROGA ENILFA</t>
  </si>
  <si>
    <t>LEN*** QUI**** ENI***</t>
  </si>
  <si>
    <t>57406808</t>
  </si>
  <si>
    <t>LOGREIRA RODRIGUEZ YANETH VIVIANA</t>
  </si>
  <si>
    <t>LOG***** ROD****** YAN*** VIV****</t>
  </si>
  <si>
    <t>57406892</t>
  </si>
  <si>
    <t>ZAMBRANO RANGEL ORIDIS ESTHER</t>
  </si>
  <si>
    <t>ZAM***** RAN*** ORI*** EST***</t>
  </si>
  <si>
    <t>57406928</t>
  </si>
  <si>
    <t>LASCARRO MOYA NORBELIS</t>
  </si>
  <si>
    <t>LAS***** MOY* NOR*****</t>
  </si>
  <si>
    <t>57406929</t>
  </si>
  <si>
    <t>MUÑOZ TORRES YINA LUZ</t>
  </si>
  <si>
    <t>MUÑ** TOR*** YIN* LUZ</t>
  </si>
  <si>
    <t>57406935</t>
  </si>
  <si>
    <t>SAUCEDO ALFARO OLGA MARINA</t>
  </si>
  <si>
    <t>SAU**** ALF*** OLG* MAR***</t>
  </si>
  <si>
    <t>57406939</t>
  </si>
  <si>
    <t>GUERRA PALOMINO TULIA</t>
  </si>
  <si>
    <t>GUE*** PAL***** TUL**</t>
  </si>
  <si>
    <t>57406995</t>
  </si>
  <si>
    <t>MERLANO BORJA YINA JOSEFA</t>
  </si>
  <si>
    <t>MER**** BOR** YIN* JOS***</t>
  </si>
  <si>
    <t>57407015</t>
  </si>
  <si>
    <t>AVENDAÑO VILLARREAL IRIS</t>
  </si>
  <si>
    <t>AVE***** VIL******* IRI*</t>
  </si>
  <si>
    <t>57407064</t>
  </si>
  <si>
    <t>VILLARREAL OVIEDO MILDRETH</t>
  </si>
  <si>
    <t>VIL******* OVI*** MIL*****</t>
  </si>
  <si>
    <t>57407104</t>
  </si>
  <si>
    <t>VARGAS CADENA CIRA DEL CARMEN</t>
  </si>
  <si>
    <t>VAR*** CAD*** CIR* DEL CAR***</t>
  </si>
  <si>
    <t>57407156</t>
  </si>
  <si>
    <t>GUTIERREZ GONZALEZ NEVIS</t>
  </si>
  <si>
    <t>GUT****** GON***** NEV**</t>
  </si>
  <si>
    <t>57407262</t>
  </si>
  <si>
    <t>SANCHEZ RUIDIAZ MARTHA LUZ</t>
  </si>
  <si>
    <t>SAN**** RUI**** MAR*** LUZ</t>
  </si>
  <si>
    <t>57407294</t>
  </si>
  <si>
    <t>VILLALOBOS VILLARRUEL AMAR FLORENCIA</t>
  </si>
  <si>
    <t>VIL******* VIL******* AMA* FLO******</t>
  </si>
  <si>
    <t>57407305</t>
  </si>
  <si>
    <t>TRESPALACIOS RUIDIAZ CECILIA BEATRIZ</t>
  </si>
  <si>
    <t>TRE********* RUI**** CEC**** BEA****</t>
  </si>
  <si>
    <t>57407335</t>
  </si>
  <si>
    <t>PEREZ ALFARO NILMA LUCIA</t>
  </si>
  <si>
    <t>PER** ALF*** NIL** LUC**</t>
  </si>
  <si>
    <t>57407373</t>
  </si>
  <si>
    <t>MERCADO ARDILA ARACELLY</t>
  </si>
  <si>
    <t>MER**** ARD*** ARA*****</t>
  </si>
  <si>
    <t>57407404</t>
  </si>
  <si>
    <t>GUTIERREZ GONZALEZ NORALBA</t>
  </si>
  <si>
    <t>GUT****** GON***** NOR****</t>
  </si>
  <si>
    <t>57407408</t>
  </si>
  <si>
    <t>VANEGAS OSPINO MELVA ROSA</t>
  </si>
  <si>
    <t>VAN**** OSP*** MEL** ROS*</t>
  </si>
  <si>
    <t>57407447</t>
  </si>
  <si>
    <t>PABA PEREZ MARIA LOURDES</t>
  </si>
  <si>
    <t>PAB* PER** MAR** LOU****</t>
  </si>
  <si>
    <t>57407520</t>
  </si>
  <si>
    <t>SURMAY FERNANDEZ ONELIA</t>
  </si>
  <si>
    <t>SUR*** FER****** ONE***</t>
  </si>
  <si>
    <t>57407541</t>
  </si>
  <si>
    <t>RANGEL ARTEAGA MIRIAN</t>
  </si>
  <si>
    <t>RAN*** ART**** MIR***</t>
  </si>
  <si>
    <t>57407568</t>
  </si>
  <si>
    <t>RUIDIAZ GUERRA DIVA MARIA</t>
  </si>
  <si>
    <t>RUI**** GUE*** DIV* MAR**</t>
  </si>
  <si>
    <t>57407580</t>
  </si>
  <si>
    <t>ALCENDRA SIERRA LUZ MERY</t>
  </si>
  <si>
    <t>ALC***** SIE*** LUZ MER*</t>
  </si>
  <si>
    <t>57407586</t>
  </si>
  <si>
    <t>MARTINEZ HERNANDEZ ADA LUZ</t>
  </si>
  <si>
    <t>MAR***** HER****** ADA LUZ</t>
  </si>
  <si>
    <t>57407601</t>
  </si>
  <si>
    <t>FONSECA GUERRA YANET</t>
  </si>
  <si>
    <t>FON**** GUE*** YAN**</t>
  </si>
  <si>
    <t>57407608</t>
  </si>
  <si>
    <t>HERNANDEZ JIMENEZ MARTHA ISABEL</t>
  </si>
  <si>
    <t>HER****** JIM**** MAR*** ISA***</t>
  </si>
  <si>
    <t>57407630</t>
  </si>
  <si>
    <t>RANGEL AGUILAR LEDITH</t>
  </si>
  <si>
    <t>RAN*** AGU**** LED***</t>
  </si>
  <si>
    <t>57407637</t>
  </si>
  <si>
    <t>RANGEL DIAZ NEVIS</t>
  </si>
  <si>
    <t>RAN*** DIA* NEV**</t>
  </si>
  <si>
    <t>57407638</t>
  </si>
  <si>
    <t>ZAMBRANO RANGEL DELIA MARIA</t>
  </si>
  <si>
    <t>ZAM***** RAN*** DEL** MAR**</t>
  </si>
  <si>
    <t>57407650</t>
  </si>
  <si>
    <t>MIRANDA ALFARO LUZ ENITH</t>
  </si>
  <si>
    <t>MIR**** ALF*** LUZ ENI**</t>
  </si>
  <si>
    <t>57407722</t>
  </si>
  <si>
    <t>MORENO ARDILA MARIA DEL CARMEN</t>
  </si>
  <si>
    <t>MOR*** ARD*** MAR** DEL CAR***</t>
  </si>
  <si>
    <t>57407723</t>
  </si>
  <si>
    <t>DIAZ FLORIAN BENEDICTA</t>
  </si>
  <si>
    <t>DIA* FLO**** BEN******</t>
  </si>
  <si>
    <t>57407753</t>
  </si>
  <si>
    <t>VILLA ALVARADO PATRICIA</t>
  </si>
  <si>
    <t>VIL** ALV***** PAT*****</t>
  </si>
  <si>
    <t>57407757</t>
  </si>
  <si>
    <t>CANTILLO MARTINEZ MARLEDY</t>
  </si>
  <si>
    <t>CAN***** MAR***** MAR****</t>
  </si>
  <si>
    <t>57407763</t>
  </si>
  <si>
    <t>OSPINO RODRIGUEZ ENELDA</t>
  </si>
  <si>
    <t>OSP*** ROD****** ENE***</t>
  </si>
  <si>
    <t>57407767</t>
  </si>
  <si>
    <t>TORRES RUIDIAZ MONICA</t>
  </si>
  <si>
    <t>TOR*** RUI**** MON***</t>
  </si>
  <si>
    <t>57407820</t>
  </si>
  <si>
    <t>MARTINEZ NARVAEZ AMEISA</t>
  </si>
  <si>
    <t>MAR***** NAR**** AME***</t>
  </si>
  <si>
    <t>57407897</t>
  </si>
  <si>
    <t>VILLARRUEL DIAZ ENITH</t>
  </si>
  <si>
    <t>VIL******* DIA* ENI**</t>
  </si>
  <si>
    <t>57407914</t>
  </si>
  <si>
    <t>MARTINEZ RUIDIAZ MELBA</t>
  </si>
  <si>
    <t>MAR***** RUI**** MEL**</t>
  </si>
  <si>
    <t>57407971</t>
  </si>
  <si>
    <t>ALFARO ACOSTA NEIDIS</t>
  </si>
  <si>
    <t>ALF*** ACO*** NEI***</t>
  </si>
  <si>
    <t>57407978</t>
  </si>
  <si>
    <t>LOBO BUELVAS MARIBEL</t>
  </si>
  <si>
    <t>LOB* BUE**** MAR****</t>
  </si>
  <si>
    <t>57408014</t>
  </si>
  <si>
    <t>EPALZA LAGUNA MABELYS</t>
  </si>
  <si>
    <t>EPA*** LAG*** MAB****</t>
  </si>
  <si>
    <t>57408016</t>
  </si>
  <si>
    <t>PEDROZO OLIVERO DAMARIS</t>
  </si>
  <si>
    <t>PED**** OLI**** DAM****</t>
  </si>
  <si>
    <t>57408023</t>
  </si>
  <si>
    <t>PEREZ MORENO RUBIS</t>
  </si>
  <si>
    <t>PER** MOR*** RUB**</t>
  </si>
  <si>
    <t>57408037</t>
  </si>
  <si>
    <t>AVENDAÑO TERRAZA ISABEL ENITH</t>
  </si>
  <si>
    <t>AVE***** TER**** ISA*** ENI**</t>
  </si>
  <si>
    <t>57408129</t>
  </si>
  <si>
    <t>MARTINEZ FLORIAN ONALFA</t>
  </si>
  <si>
    <t>MAR***** FLO**** ONA***</t>
  </si>
  <si>
    <t>57408282</t>
  </si>
  <si>
    <t>GUTIERREZ GONZALEZ FABIOLA</t>
  </si>
  <si>
    <t>GUT****** GON***** FAB****</t>
  </si>
  <si>
    <t>57408338</t>
  </si>
  <si>
    <t>PUPO JIMENEZ CARMENZA MARGARITA</t>
  </si>
  <si>
    <t>PUP* JIM**** CAR***** MAR******</t>
  </si>
  <si>
    <t>57408359</t>
  </si>
  <si>
    <t>FONSECA CASTRO EUDIS</t>
  </si>
  <si>
    <t>FON**** CAS*** EUD**</t>
  </si>
  <si>
    <t>57408510</t>
  </si>
  <si>
    <t>ESCOBAR MARQUEZ ANIS ESTHER</t>
  </si>
  <si>
    <t>ESC**** MAR**** ANI* EST***</t>
  </si>
  <si>
    <t>57408546</t>
  </si>
  <si>
    <t>RUIDIAZ GUERRA SILVIA ROSA</t>
  </si>
  <si>
    <t>RUI**** GUE*** SIL*** ROS*</t>
  </si>
  <si>
    <t>57408658</t>
  </si>
  <si>
    <t>FLORIAN AGUILAR YERLIS ESPERANZA</t>
  </si>
  <si>
    <t>FLO**** AGU**** YER*** ESP******</t>
  </si>
  <si>
    <t>57408674</t>
  </si>
  <si>
    <t>OROZCO MENESES LIBNY OLARIS</t>
  </si>
  <si>
    <t>ORO*** MEN**** LIB** OLA***</t>
  </si>
  <si>
    <t>57408722</t>
  </si>
  <si>
    <t>MIRANDA ESTRADA BLANCA EDITH</t>
  </si>
  <si>
    <t>MIR**** EST**** BLA*** EDI**</t>
  </si>
  <si>
    <t>57408868</t>
  </si>
  <si>
    <t>HERNANDEZ HERNANDEZ ROCIO</t>
  </si>
  <si>
    <t>HER****** HER****** ROC**</t>
  </si>
  <si>
    <t>57408908</t>
  </si>
  <si>
    <t>MORENO ARDILA FANNY</t>
  </si>
  <si>
    <t>MOR*** ARD*** FAN**</t>
  </si>
  <si>
    <t>57408918</t>
  </si>
  <si>
    <t>TERRAZA PAVA CARMENZA</t>
  </si>
  <si>
    <t>TER**** PAV* CAR*****</t>
  </si>
  <si>
    <t>57408952</t>
  </si>
  <si>
    <t>ROJAS LOPEZ MARIA KELLYS</t>
  </si>
  <si>
    <t>ROJ** LOP** MAR** KEL***</t>
  </si>
  <si>
    <t>57409132</t>
  </si>
  <si>
    <t>NORIEGA CASTRO MARLIDYS</t>
  </si>
  <si>
    <t>NOR**** CAS*** MAR*****</t>
  </si>
  <si>
    <t>57409134</t>
  </si>
  <si>
    <t>CASTRO SANCHEZ YORLENYS</t>
  </si>
  <si>
    <t>CAS*** SAN**** YOR*****</t>
  </si>
  <si>
    <t>57409230</t>
  </si>
  <si>
    <t>MARTINEZ RODERO ELISA ISABEL</t>
  </si>
  <si>
    <t>MAR***** ROD*** ELI** ISA***</t>
  </si>
  <si>
    <t>57409367</t>
  </si>
  <si>
    <t>LOPEZ SANCHEZ ROSALBA</t>
  </si>
  <si>
    <t>LOP** SAN**** ROS****</t>
  </si>
  <si>
    <t>57409383</t>
  </si>
  <si>
    <t>BARROS PADILLA NORMA</t>
  </si>
  <si>
    <t>BAR*** PAD**** NOR**</t>
  </si>
  <si>
    <t>57411014</t>
  </si>
  <si>
    <t>JUVINAO RUIZ ROSA ELENA</t>
  </si>
  <si>
    <t>JUV**** RUI* ROS* ELE**</t>
  </si>
  <si>
    <t>57411031</t>
  </si>
  <si>
    <t>MONSALVO MARTINEZ ELIZABETH</t>
  </si>
  <si>
    <t>MON***** MAR***** ELI******</t>
  </si>
  <si>
    <t>57411083</t>
  </si>
  <si>
    <t>PEREIRA SIERRA FRANCISCA BEATRIZ</t>
  </si>
  <si>
    <t>PER**** SIE*** FRA****** BEA****</t>
  </si>
  <si>
    <t>57411126</t>
  </si>
  <si>
    <t>GUTIERREZ FONTALVO AMARILIS ESTHER</t>
  </si>
  <si>
    <t>GUT****** FON***** AMA***** EST***</t>
  </si>
  <si>
    <t>57411129</t>
  </si>
  <si>
    <t>LOPEZ FONTALVO CLARA</t>
  </si>
  <si>
    <t>LOP** FON***** CLA**</t>
  </si>
  <si>
    <t>57411171</t>
  </si>
  <si>
    <t>POLO GONZALEZ RUTH MARIA</t>
  </si>
  <si>
    <t>POL* GON***** RUT* MAR**</t>
  </si>
  <si>
    <t>57411204</t>
  </si>
  <si>
    <t>HERRERA MORALES ADELINA ESTHER</t>
  </si>
  <si>
    <t>HER**** MOR**** ADE**** EST***</t>
  </si>
  <si>
    <t>57411229</t>
  </si>
  <si>
    <t>ACENDRA GOMEZ SORAYA JUDITH</t>
  </si>
  <si>
    <t>ACE**** GOM** SOR*** JUD***</t>
  </si>
  <si>
    <t>57411295</t>
  </si>
  <si>
    <t>CORREA MALDONADO CELINA MARIA</t>
  </si>
  <si>
    <t>COR*** MAL****** CEL*** MAR**</t>
  </si>
  <si>
    <t>57411306</t>
  </si>
  <si>
    <t>PEREZ GUTIERREZ SARA DOLORES</t>
  </si>
  <si>
    <t>PER** GUT****** SAR* DOL****</t>
  </si>
  <si>
    <t>57411430</t>
  </si>
  <si>
    <t>RUDOLF VILLANUEVA MARTHA PATRICIA</t>
  </si>
  <si>
    <t>RUD*** VIL******* MAR*** PAT*****</t>
  </si>
  <si>
    <t>57411449</t>
  </si>
  <si>
    <t>UPARELA VANEGAS ROSALBA</t>
  </si>
  <si>
    <t>UPA**** VAN**** ROS****</t>
  </si>
  <si>
    <t>57411459</t>
  </si>
  <si>
    <t>ECHENIQUE MARGARITA EDNA MARGARITA</t>
  </si>
  <si>
    <t>ECH****** MAR****** EDN* MAR******</t>
  </si>
  <si>
    <t>57411496</t>
  </si>
  <si>
    <t>CARBONO ACOSTA ALMA ROSA</t>
  </si>
  <si>
    <t>CAR**** ACO*** ALM* ROS*</t>
  </si>
  <si>
    <t>57411500</t>
  </si>
  <si>
    <t>VIVES HENRIQUEZ CARMEN CECILIA</t>
  </si>
  <si>
    <t>VIV** HEN****** CAR*** CEC****</t>
  </si>
  <si>
    <t>57411533</t>
  </si>
  <si>
    <t>LOBELO OROZCO MARIA JOSE</t>
  </si>
  <si>
    <t>LOB*** ORO*** MAR** JOS*</t>
  </si>
  <si>
    <t>57411551</t>
  </si>
  <si>
    <t>POLO CANENCIO LUZ DARY</t>
  </si>
  <si>
    <t>POL* CAN***** LUZ DAR*</t>
  </si>
  <si>
    <t>57411564</t>
  </si>
  <si>
    <t>JUVINAO ROCHA DIANA MARIA</t>
  </si>
  <si>
    <t>JUV**** ROC** DIA** MAR**</t>
  </si>
  <si>
    <t>57411572</t>
  </si>
  <si>
    <t>MARTINEZ CASTRO HIROMALDI ARAHIZA</t>
  </si>
  <si>
    <t>MAR***** CAS*** HIR****** ARA****</t>
  </si>
  <si>
    <t>57411759</t>
  </si>
  <si>
    <t>QUINTO MUÑOZ ELISA</t>
  </si>
  <si>
    <t>QUI*** MUÑ** ELI**</t>
  </si>
  <si>
    <t>57411814</t>
  </si>
  <si>
    <t>GUAL PEREA LILIANA DEL SOCORRO</t>
  </si>
  <si>
    <t>GUA* PER** LIL**** DEL SOC****</t>
  </si>
  <si>
    <t>57411885</t>
  </si>
  <si>
    <t>OROZCO ARRIETA YANET</t>
  </si>
  <si>
    <t>ORO*** ARR**** YAN**</t>
  </si>
  <si>
    <t>57411998</t>
  </si>
  <si>
    <t>MONTAÑO FERNANDEZ MAYURIS MARIA</t>
  </si>
  <si>
    <t>MON**** FER****** MAY**** MAR**</t>
  </si>
  <si>
    <t>57412004</t>
  </si>
  <si>
    <t>IMITOLA LASCANO EMMA MARIA</t>
  </si>
  <si>
    <t>IMI**** LAS**** EMM* MAR**</t>
  </si>
  <si>
    <t>57412032</t>
  </si>
  <si>
    <t>VALENCIA LADRON DE GUEVARA MONICA DEL PILAR</t>
  </si>
  <si>
    <t>VAL***** LAD*** DE GUE**** MON*** DEL PIL**</t>
  </si>
  <si>
    <t>57412082</t>
  </si>
  <si>
    <t>MERIÑO BERMUDEZ DELIA ROSA</t>
  </si>
  <si>
    <t>MER*** BER***** DEL** ROS*</t>
  </si>
  <si>
    <t>57412260</t>
  </si>
  <si>
    <t>MANJARRES TEHERAN ZORAIDA DEL CARMEN</t>
  </si>
  <si>
    <t>MAN****** TEH**** ZOR**** DEL CAR***</t>
  </si>
  <si>
    <t>57412397</t>
  </si>
  <si>
    <t>CALDERON AVILA YANETH DE JESUS</t>
  </si>
  <si>
    <t>CAL***** AVI** YAN*** DE JES**</t>
  </si>
  <si>
    <t>57412481</t>
  </si>
  <si>
    <t>OROZCO CANTILLO NELCI DEL SOCORRO</t>
  </si>
  <si>
    <t>ORO*** CAN***** NEL** DEL SOC****</t>
  </si>
  <si>
    <t>57412574</t>
  </si>
  <si>
    <t>SOBRINO DE LA ROSA MARTHA CECILIA</t>
  </si>
  <si>
    <t>SOB**** DE LA ROS* MAR*** CEC****</t>
  </si>
  <si>
    <t>57412640</t>
  </si>
  <si>
    <t>VIZCAINO ECHEVERRIA ELVIRA ELENA</t>
  </si>
  <si>
    <t>VIZ***** ECH******* ELV*** ELE**</t>
  </si>
  <si>
    <t>57412650</t>
  </si>
  <si>
    <t>BRAVO PADILLA TERESA DEL CARMEN</t>
  </si>
  <si>
    <t>BRA** PAD**** TER*** DEL CAR***</t>
  </si>
  <si>
    <t>57412674</t>
  </si>
  <si>
    <t>BARRIOS HERRERA YANETH DEL SOCORRO</t>
  </si>
  <si>
    <t>BAR**** HER**** YAN*** DEL SOC****</t>
  </si>
  <si>
    <t>57412731</t>
  </si>
  <si>
    <t>VELASQUEZ BECERRA DILIA ISABEL</t>
  </si>
  <si>
    <t>VEL****** BEC**** DIL** ISA***</t>
  </si>
  <si>
    <t>57412800</t>
  </si>
  <si>
    <t>MERCADO MENDOZA MARIA PAULINA</t>
  </si>
  <si>
    <t>MER**** MEN**** MAR** PAU****</t>
  </si>
  <si>
    <t>57412943</t>
  </si>
  <si>
    <t>BORJA QUINTERO MARIELA BAUTISTA</t>
  </si>
  <si>
    <t>BOR** QUI***** MAR**** BAU*****</t>
  </si>
  <si>
    <t>57413105</t>
  </si>
  <si>
    <t>CARDENAS CAMACHO MARIA DEL PILAR</t>
  </si>
  <si>
    <t>CAR***** CAM**** MAR** DEL PIL**</t>
  </si>
  <si>
    <t>57413111</t>
  </si>
  <si>
    <t>HERRERA GARCIA ROSA MARIA</t>
  </si>
  <si>
    <t>HER**** GAR*** ROS* MAR**</t>
  </si>
  <si>
    <t>57413176</t>
  </si>
  <si>
    <t>NORIEGA CARBONO LUZ MIGDONIA</t>
  </si>
  <si>
    <t>NOR**** CAR**** LUZ MIG*****</t>
  </si>
  <si>
    <t>57413249</t>
  </si>
  <si>
    <t>BARRERA VILLARREAL ROCIO LEDESMA</t>
  </si>
  <si>
    <t>BAR**** VIL******* ROC** LED****</t>
  </si>
  <si>
    <t>57413358</t>
  </si>
  <si>
    <t>CHARRIS CHARRIS TERESA DE JESUS</t>
  </si>
  <si>
    <t>CHA**** CHA**** TER*** DE JES**</t>
  </si>
  <si>
    <t>57413392</t>
  </si>
  <si>
    <t>SANDOVAL LOPEZ MARIA EUGENIA</t>
  </si>
  <si>
    <t>SAN***** LOP** MAR** EUG****</t>
  </si>
  <si>
    <t>57413443</t>
  </si>
  <si>
    <t>HERNANDEZ GUTIERREZ LUISA BEATRIZ</t>
  </si>
  <si>
    <t>HER****** GUT****** LUI** BEA****</t>
  </si>
  <si>
    <t>57413451</t>
  </si>
  <si>
    <t>REALES PEREZ LEONOR BEATRIZ</t>
  </si>
  <si>
    <t>REA*** PER** LEO*** BEA****</t>
  </si>
  <si>
    <t>57413519</t>
  </si>
  <si>
    <t>AMADOR MIRANDA NELLY ESTHER</t>
  </si>
  <si>
    <t>AMA*** MIR**** NEL** EST***</t>
  </si>
  <si>
    <t>57413564</t>
  </si>
  <si>
    <t>OCHOA DIAZ LILIANA ESTHER</t>
  </si>
  <si>
    <t>OCH** DIA* LIL**** EST***</t>
  </si>
  <si>
    <t>57413621</t>
  </si>
  <si>
    <t>SANDOVAL MALDONADO CARMEN CECILIA</t>
  </si>
  <si>
    <t>SAN***** MAL****** CAR*** CEC****</t>
  </si>
  <si>
    <t>57413726</t>
  </si>
  <si>
    <t>HERNANDEZ DITTA DUVIS ELENA</t>
  </si>
  <si>
    <t>HER****** DIT** DUV** ELE**</t>
  </si>
  <si>
    <t>57413827</t>
  </si>
  <si>
    <t>GALUE BERMUDEZ LILIANA PATRICIA</t>
  </si>
  <si>
    <t>GAL** BER***** LIL**** PAT*****</t>
  </si>
  <si>
    <t>57413916</t>
  </si>
  <si>
    <t>AMADOR ESPINOZA MARITZA ISABEL</t>
  </si>
  <si>
    <t>AMA*** ESP***** MAR**** ISA***</t>
  </si>
  <si>
    <t>57414089</t>
  </si>
  <si>
    <t>ROJAS RADA MADELEHNE CECILIA</t>
  </si>
  <si>
    <t>ROJ** RAD* MAD****** CEC****</t>
  </si>
  <si>
    <t>57414104</t>
  </si>
  <si>
    <t>BOLAÑO HERNANDEZ DIOSA ESMERALDA</t>
  </si>
  <si>
    <t>BOL*** HER****** DIO** ESM******</t>
  </si>
  <si>
    <t>57414337</t>
  </si>
  <si>
    <t>COLINA CABANA NERY ESTHER</t>
  </si>
  <si>
    <t>COL*** CAB*** NER* EST***</t>
  </si>
  <si>
    <t>57414365</t>
  </si>
  <si>
    <t>ARRIETA HERNANDEZ YOLBIS DEL SOCORRO</t>
  </si>
  <si>
    <t>ARR**** HER****** YOL*** DEL SOC****</t>
  </si>
  <si>
    <t>57414387</t>
  </si>
  <si>
    <t>BOTELLO TRILLOS DIOCELINA</t>
  </si>
  <si>
    <t>BOT**** TRI**** DIO******</t>
  </si>
  <si>
    <t>57414488</t>
  </si>
  <si>
    <t>MARTINEZ CERVANTES LUZ MARYS</t>
  </si>
  <si>
    <t>MAR***** CER****** LUZ MAR**</t>
  </si>
  <si>
    <t>57414644</t>
  </si>
  <si>
    <t>HERNANDEZ NUÑEZ MARTHA ROSA</t>
  </si>
  <si>
    <t>HER****** NUÑ** MAR*** ROS*</t>
  </si>
  <si>
    <t>57414704</t>
  </si>
  <si>
    <t>ECHEVERRIA SERRANO ADELA ALVINA</t>
  </si>
  <si>
    <t>ECH******* SER**** ADE** ALV***</t>
  </si>
  <si>
    <t>57414787</t>
  </si>
  <si>
    <t>VILLAFAÑA ARIZA LILIANA ESTHER</t>
  </si>
  <si>
    <t>VIL****** ARI** LIL**** EST***</t>
  </si>
  <si>
    <t>57414788</t>
  </si>
  <si>
    <t>MONSALVO NUÑEZ MARITZA MERCEDES</t>
  </si>
  <si>
    <t>MON***** NUÑ** MAR**** MER*****</t>
  </si>
  <si>
    <t>57414810</t>
  </si>
  <si>
    <t>RODRIGUEZ MERCADO YOLANDA BEATRIZ</t>
  </si>
  <si>
    <t>ROD****** MER**** YOL**** BEA****</t>
  </si>
  <si>
    <t>57414921</t>
  </si>
  <si>
    <t>ROBLES PEREA MARIA DEL CARMEN</t>
  </si>
  <si>
    <t>ROB*** PER** MAR** DEL CAR***</t>
  </si>
  <si>
    <t>57414935</t>
  </si>
  <si>
    <t>BUSTAMANTE BRAVO EGRACIELYS PATRICIA</t>
  </si>
  <si>
    <t>BUS******* BRA** EGR******* PAT*****</t>
  </si>
  <si>
    <t>57414948</t>
  </si>
  <si>
    <t>BOVEA PEREZ LUZ MARIA</t>
  </si>
  <si>
    <t>BOV** PER** LUZ MAR**</t>
  </si>
  <si>
    <t>57415116</t>
  </si>
  <si>
    <t>CANTILLO ORTIZ YULIS DE JESUS</t>
  </si>
  <si>
    <t>CAN***** ORT** YUL** DE JES**</t>
  </si>
  <si>
    <t>57415125</t>
  </si>
  <si>
    <t>OROZCO RACINES NUBETH</t>
  </si>
  <si>
    <t>ORO*** RAC**** NUB***</t>
  </si>
  <si>
    <t>57415171</t>
  </si>
  <si>
    <t>POLO GONZALEZ LERIBETH</t>
  </si>
  <si>
    <t>POL* GON***** LER*****</t>
  </si>
  <si>
    <t>57415190</t>
  </si>
  <si>
    <t>FERNANDEZ CANTILLO MONICA PATRICIA</t>
  </si>
  <si>
    <t>FER****** CAN***** MON*** PAT*****</t>
  </si>
  <si>
    <t>57415259</t>
  </si>
  <si>
    <t>GAVIRIA GOMEZ LORENA DEL SOCORRO</t>
  </si>
  <si>
    <t>GAV**** GOM** LOR*** DEL SOC****</t>
  </si>
  <si>
    <t>57415342</t>
  </si>
  <si>
    <t>DE LA HOZ MARMOL MARIANELA MARIA</t>
  </si>
  <si>
    <t>DE LA HOZ MAR*** MAR****** MAR**</t>
  </si>
  <si>
    <t>57415350</t>
  </si>
  <si>
    <t>CAMPO CORREA MAREIRA DEL CARMEN</t>
  </si>
  <si>
    <t>CAM** COR*** MAR**** DEL CAR***</t>
  </si>
  <si>
    <t>57415395</t>
  </si>
  <si>
    <t>TORRES PEREIRA GILMA</t>
  </si>
  <si>
    <t>TOR*** PER**** GIL**</t>
  </si>
  <si>
    <t>57415434</t>
  </si>
  <si>
    <t>PEREZ ALVAREZ AMERICA DEL CARMEN</t>
  </si>
  <si>
    <t>PER** ALV**** AME**** DEL CAR***</t>
  </si>
  <si>
    <t>57415474</t>
  </si>
  <si>
    <t>MALDONADO NARVAEZ MARTA ELENA</t>
  </si>
  <si>
    <t>MAL****** NAR**** MAR** ELE**</t>
  </si>
  <si>
    <t>57415642</t>
  </si>
  <si>
    <t>GAMEZ GIRALDO NANCY CECILIA</t>
  </si>
  <si>
    <t>GAM** GIR**** NAN** CEC****</t>
  </si>
  <si>
    <t>57415662</t>
  </si>
  <si>
    <t>CASTILLO LEAL ANA MARY</t>
  </si>
  <si>
    <t>CAS***** LEA* ANA MAR*</t>
  </si>
  <si>
    <t>57415713</t>
  </si>
  <si>
    <t>ULLOA DE LA ROSA LIDYS ISABEL</t>
  </si>
  <si>
    <t>ULL** DE LA ROS* LID** ISA***</t>
  </si>
  <si>
    <t>57415800</t>
  </si>
  <si>
    <t>GAMEZ PEREZ ASUNCION MARIA</t>
  </si>
  <si>
    <t>GAM** PER** ASU***** MAR**</t>
  </si>
  <si>
    <t>57415803</t>
  </si>
  <si>
    <t>TRUYOT MONTENEGRO CECILIA MARIA</t>
  </si>
  <si>
    <t>TRU*** MON******* CEC**** MAR**</t>
  </si>
  <si>
    <t>57415978</t>
  </si>
  <si>
    <t>JULIO ALVAREZ ALCIRA MARIA</t>
  </si>
  <si>
    <t>JUL** ALV**** ALC*** MAR**</t>
  </si>
  <si>
    <t>57415986</t>
  </si>
  <si>
    <t>VILLALBA HENRIQUEZ ELEANA MARGARITA</t>
  </si>
  <si>
    <t>VIL***** HEN****** ELE*** MAR******</t>
  </si>
  <si>
    <t>57416083</t>
  </si>
  <si>
    <t>PAZ BERRIO MYRIAM SABINA</t>
  </si>
  <si>
    <t>PAZ BER*** MYR*** SAB***</t>
  </si>
  <si>
    <t>57416085</t>
  </si>
  <si>
    <t>MIER BOLAÑO LILIANA ANTONIA</t>
  </si>
  <si>
    <t>MIE* BOL*** LIL**** ANT****</t>
  </si>
  <si>
    <t>57416165</t>
  </si>
  <si>
    <t>MOLINA CASTILLO NADIA DE JESUS</t>
  </si>
  <si>
    <t>MOL*** CAS***** NAD** DE JES**</t>
  </si>
  <si>
    <t>57416259</t>
  </si>
  <si>
    <t>CASTRO DACONTE MILADYS MARIA</t>
  </si>
  <si>
    <t>CAS*** DAC**** MIL**** MAR**</t>
  </si>
  <si>
    <t>57416378</t>
  </si>
  <si>
    <t>PADILLA NAVARRO MONICA MARGARITA</t>
  </si>
  <si>
    <t>PAD**** NAV**** MON*** MAR******</t>
  </si>
  <si>
    <t>57416383</t>
  </si>
  <si>
    <t>MARRIAGA PEREZ ANALDY MARIA</t>
  </si>
  <si>
    <t>MAR***** PER** ANA*** MAR**</t>
  </si>
  <si>
    <t>57416450</t>
  </si>
  <si>
    <t>GUTIERREZ GUERRERO YOLMARIS DEL SOCORRO</t>
  </si>
  <si>
    <t>GUT****** GUE***** YOL***** DEL SOC****</t>
  </si>
  <si>
    <t>57416528</t>
  </si>
  <si>
    <t>CACERES DURAN ILIANA MARGARITA</t>
  </si>
  <si>
    <t>CAC**** DUR** ILI*** MAR******</t>
  </si>
  <si>
    <t>57416783</t>
  </si>
  <si>
    <t>SANTRICH ANGULO SOBEIDA ESTHER</t>
  </si>
  <si>
    <t>SAN***** ANG*** SOB**** EST***</t>
  </si>
  <si>
    <t>57416950</t>
  </si>
  <si>
    <t>LACERA ESCALANTE DUBIS STELLA</t>
  </si>
  <si>
    <t>LAC*** ESC****** DUB** STE***</t>
  </si>
  <si>
    <t>57416959</t>
  </si>
  <si>
    <t>BENAVIDES PIZARRO FARIS ESTER</t>
  </si>
  <si>
    <t>BEN****** PIZ**** FAR** EST**</t>
  </si>
  <si>
    <t>57417039</t>
  </si>
  <si>
    <t>PAZ MARMOL LILIANA MATILDE</t>
  </si>
  <si>
    <t>PAZ MAR*** LIL**** MAT****</t>
  </si>
  <si>
    <t>57417166</t>
  </si>
  <si>
    <t>JUVINAO MANGA ADALGIS ESTHER</t>
  </si>
  <si>
    <t>JUV**** MAN** ADA**** EST***</t>
  </si>
  <si>
    <t>57417189</t>
  </si>
  <si>
    <t>BONETT PEY NELA ISABEL</t>
  </si>
  <si>
    <t>BON*** PEY NEL* ISA***</t>
  </si>
  <si>
    <t>57417302</t>
  </si>
  <si>
    <t>JIMENEZ SAMIRA LUZ</t>
  </si>
  <si>
    <t>JIM**** SAM*** LUZ</t>
  </si>
  <si>
    <t>57417401</t>
  </si>
  <si>
    <t>ACOSTA HERNANDEZ EVELINA</t>
  </si>
  <si>
    <t>ACO*** HER****** EVE****</t>
  </si>
  <si>
    <t>57417455</t>
  </si>
  <si>
    <t>FLORES SAES MARTA ELENA</t>
  </si>
  <si>
    <t>FLO*** SAE* MAR** ELE**</t>
  </si>
  <si>
    <t>57417784</t>
  </si>
  <si>
    <t>MONTENEGRO EGUIS ADALGIZA ISABEL</t>
  </si>
  <si>
    <t>MON******* EGU** ADA***** ISA***</t>
  </si>
  <si>
    <t>57417825</t>
  </si>
  <si>
    <t>PRIETO AREVALO NAYIBIS ESTHER</t>
  </si>
  <si>
    <t>PRI*** ARE**** NAY**** EST***</t>
  </si>
  <si>
    <t>57417851</t>
  </si>
  <si>
    <t>BORNACHERA CASTILLA ANA RAMONA</t>
  </si>
  <si>
    <t>BOR******* CAS***** ANA RAM***</t>
  </si>
  <si>
    <t>57417868</t>
  </si>
  <si>
    <t>SALCEDO ALGARIN NINFA CECILIA</t>
  </si>
  <si>
    <t>SAL**** ALG**** NIN** CEC****</t>
  </si>
  <si>
    <t>57417916</t>
  </si>
  <si>
    <t>MEJIA CANTILLO LUZ ANGELICA</t>
  </si>
  <si>
    <t>MEJ** CAN***** LUZ ANG*****</t>
  </si>
  <si>
    <t>57418250</t>
  </si>
  <si>
    <t>NATERA MELENDEZ XIOMARA ROSA</t>
  </si>
  <si>
    <t>NAT*** MEL***** XIO**** ROS*</t>
  </si>
  <si>
    <t>57418415</t>
  </si>
  <si>
    <t>ZARATE MARTINEZ LUZ STELLA</t>
  </si>
  <si>
    <t>ZAR*** MAR***** LUZ STE***</t>
  </si>
  <si>
    <t>57418467</t>
  </si>
  <si>
    <t>RUIZ CONRADO AGRIPINA VICKY</t>
  </si>
  <si>
    <t>RUI* CON**** AGR***** VIC**</t>
  </si>
  <si>
    <t>57418479</t>
  </si>
  <si>
    <t>CAMACHO CALA RUBY</t>
  </si>
  <si>
    <t>CAM**** CAL* RUB*</t>
  </si>
  <si>
    <t>57418501</t>
  </si>
  <si>
    <t>PAZ INFANTE MARUXA DE JESUS</t>
  </si>
  <si>
    <t>PAZ INF**** MAR*** DE JES**</t>
  </si>
  <si>
    <t>57418510</t>
  </si>
  <si>
    <t>VELOZA SIERRA ELIKA SOCORRO</t>
  </si>
  <si>
    <t>VEL*** SIE*** ELI** SOC****</t>
  </si>
  <si>
    <t>57418574</t>
  </si>
  <si>
    <t>OSPINA GONZALEZ DIOCET CECILIA</t>
  </si>
  <si>
    <t>OSP*** GON***** DIO*** CEC****</t>
  </si>
  <si>
    <t>57418668</t>
  </si>
  <si>
    <t>JIMENEZ ACOSTA FIDELINA</t>
  </si>
  <si>
    <t>JIM**** ACO*** FID*****</t>
  </si>
  <si>
    <t>57418708</t>
  </si>
  <si>
    <t>TORREGROZA BOLAÑO NAYITH MARIA</t>
  </si>
  <si>
    <t>TOR******* BOL*** NAY*** MAR**</t>
  </si>
  <si>
    <t>57418735</t>
  </si>
  <si>
    <t>MOLINA BARRANCO JUDITH VERENICE</t>
  </si>
  <si>
    <t>MOL*** BAR***** JUD*** VER*****</t>
  </si>
  <si>
    <t>57418744</t>
  </si>
  <si>
    <t>ZUÑIGA TORRES DIONIS ESTHER</t>
  </si>
  <si>
    <t>ZUÑ*** TOR*** DIO*** EST***</t>
  </si>
  <si>
    <t>57419178</t>
  </si>
  <si>
    <t>ESCORCIA POLO YANETH MARIA</t>
  </si>
  <si>
    <t>ESC***** POL* YAN*** MAR**</t>
  </si>
  <si>
    <t>57419367</t>
  </si>
  <si>
    <t>MARTINEZ BUSTAMANTE AMINTA ESTELA</t>
  </si>
  <si>
    <t>MAR***** BUS******* AMI*** EST***</t>
  </si>
  <si>
    <t>57419530</t>
  </si>
  <si>
    <t>RODRIGUEZ GALARAGA MERLIN DEL SOCORRO</t>
  </si>
  <si>
    <t>ROD****** GAL***** MER*** DEL SOC****</t>
  </si>
  <si>
    <t>57419555</t>
  </si>
  <si>
    <t>GRANADOS VILORIA HEIDYS DENISSE</t>
  </si>
  <si>
    <t>GRA***** VIL**** HEI*** DEN****</t>
  </si>
  <si>
    <t>57419725</t>
  </si>
  <si>
    <t>GIL HERNANDEZ AMALIA MARGARITA</t>
  </si>
  <si>
    <t>GIL HER****** AMA*** MAR******</t>
  </si>
  <si>
    <t>57419769</t>
  </si>
  <si>
    <t>CAMPO PARODIS ANGELA PATRICIA</t>
  </si>
  <si>
    <t>CAM** PAR**** ANG*** PAT*****</t>
  </si>
  <si>
    <t>57419852</t>
  </si>
  <si>
    <t>MONTAÑO CARBONO NORMA ROSANA</t>
  </si>
  <si>
    <t>MON**** CAR**** NOR** ROS***</t>
  </si>
  <si>
    <t>57419887</t>
  </si>
  <si>
    <t>OLIVELLA RIVAS ELIANA DEL SOCORRO</t>
  </si>
  <si>
    <t>OLI***** RIV** ELI*** DEL SOC****</t>
  </si>
  <si>
    <t>57420183</t>
  </si>
  <si>
    <t>ALTAHONA LOPEZ HERMELINDA ROCIO</t>
  </si>
  <si>
    <t>ALT***** LOP** HER******* ROC**</t>
  </si>
  <si>
    <t>57420193</t>
  </si>
  <si>
    <t>MORENO RAMIREZ NACIRIS BEATRIZ</t>
  </si>
  <si>
    <t>MOR*** RAM**** NAC**** BEA****</t>
  </si>
  <si>
    <t>57420364</t>
  </si>
  <si>
    <t>ALGARIN URIELES MARTHA ISABEL</t>
  </si>
  <si>
    <t>ALG**** URI**** MAR*** ISA***</t>
  </si>
  <si>
    <t>57420453</t>
  </si>
  <si>
    <t>HERNANDEZ RAMIREZ FLOR CRISTINA</t>
  </si>
  <si>
    <t>HER****** RAM**** FLO* CRI*****</t>
  </si>
  <si>
    <t>57420600</t>
  </si>
  <si>
    <t>PAYARES ALMARALES MONICA LILIANA</t>
  </si>
  <si>
    <t>PAY**** ALM****** MON*** LIL****</t>
  </si>
  <si>
    <t>57420603</t>
  </si>
  <si>
    <t>GUILLOT PEREIRA OSMARI PATRICIA</t>
  </si>
  <si>
    <t>GUI**** PER**** OSM*** PAT*****</t>
  </si>
  <si>
    <t>57420606</t>
  </si>
  <si>
    <t>MADRID JIMENO MARGARED</t>
  </si>
  <si>
    <t>MAD*** JIM*** MAR*****</t>
  </si>
  <si>
    <t>57420856</t>
  </si>
  <si>
    <t>POLO CANDANOZA ANA ELENA</t>
  </si>
  <si>
    <t>POL* CAN****** ANA ELE**</t>
  </si>
  <si>
    <t>57420878</t>
  </si>
  <si>
    <t>TETE JARAMILLO GLENDA ESTHER</t>
  </si>
  <si>
    <t>TET* JAR****** GLE*** EST***</t>
  </si>
  <si>
    <t>57421070</t>
  </si>
  <si>
    <t>TORREGROSA THOMAS OMAIRA</t>
  </si>
  <si>
    <t>TOR******* THO*** OMA***</t>
  </si>
  <si>
    <t>57421085</t>
  </si>
  <si>
    <t>ROMO FIGUEROA ISIS MARINA</t>
  </si>
  <si>
    <t>ROM* FIG***** ISI* MAR***</t>
  </si>
  <si>
    <t>57421088</t>
  </si>
  <si>
    <t>FONTALVO CONTRERAS AMELIA ESTHER</t>
  </si>
  <si>
    <t>FON***** CON****** AME*** EST***</t>
  </si>
  <si>
    <t>57421092</t>
  </si>
  <si>
    <t>CANTILLO PERTUZ MIRTHA LUZ</t>
  </si>
  <si>
    <t>CAN***** PER*** MIR*** LUZ</t>
  </si>
  <si>
    <t>57421095</t>
  </si>
  <si>
    <t>GUERRA CANTILLO CARMELINA ANTONIA</t>
  </si>
  <si>
    <t>GUE*** CAN***** CAR****** ANT****</t>
  </si>
  <si>
    <t>57421099</t>
  </si>
  <si>
    <t>MOSCOTE ELIAS FIDELINA ESTHER</t>
  </si>
  <si>
    <t>MOS**** ELI** FID***** EST***</t>
  </si>
  <si>
    <t>57421119</t>
  </si>
  <si>
    <t>PEÑA OROZCO BRIGIDA ISABEL</t>
  </si>
  <si>
    <t>PEÑ* ORO*** BRI**** ISA***</t>
  </si>
  <si>
    <t>57421131</t>
  </si>
  <si>
    <t>LARA DE LA ROSA FRANCIA ELENA</t>
  </si>
  <si>
    <t>LAR* DE LA ROS* FRA**** ELE**</t>
  </si>
  <si>
    <t>57421142</t>
  </si>
  <si>
    <t>CUELLO HENRIQUEZ ROSA ELENA</t>
  </si>
  <si>
    <t>CUE*** HEN****** ROS* ELE**</t>
  </si>
  <si>
    <t>57421165</t>
  </si>
  <si>
    <t>POLO CAMARGO LUZ MARINA</t>
  </si>
  <si>
    <t>POL* CAM**** LUZ MAR***</t>
  </si>
  <si>
    <t>57421168</t>
  </si>
  <si>
    <t>DE LA CRUZ MARTINEZ ELIZABETH</t>
  </si>
  <si>
    <t>DE LA CRU* MAR***** ELI******</t>
  </si>
  <si>
    <t>57421276</t>
  </si>
  <si>
    <t>MONTERO BUELVAS LILIANA</t>
  </si>
  <si>
    <t>MON**** BUE**** LIL****</t>
  </si>
  <si>
    <t>57421349</t>
  </si>
  <si>
    <t>DAZA ESCORCIA CARMEN ELENA</t>
  </si>
  <si>
    <t>DAZ* ESC***** CAR*** ELE**</t>
  </si>
  <si>
    <t>57421367</t>
  </si>
  <si>
    <t>MAYA MARTINEZ MARTHA CECILIA</t>
  </si>
  <si>
    <t>MAY* MAR***** MAR*** CEC****</t>
  </si>
  <si>
    <t>57421433</t>
  </si>
  <si>
    <t>TORRES FONSECA ELEONOR ISABEL</t>
  </si>
  <si>
    <t>TOR*** FON**** ELE**** ISA***</t>
  </si>
  <si>
    <t>57421434</t>
  </si>
  <si>
    <t>RUIZ DIAZ NAYIBE</t>
  </si>
  <si>
    <t>RUI* DIA* NAY***</t>
  </si>
  <si>
    <t>57421448</t>
  </si>
  <si>
    <t>PERTUZ PEREZ MERLY ESTER</t>
  </si>
  <si>
    <t>PER*** PER** MER** EST**</t>
  </si>
  <si>
    <t>57421456</t>
  </si>
  <si>
    <t>REALES SILVA ELVIS BEATRIZ</t>
  </si>
  <si>
    <t>REA*** SIL** ELV** BEA****</t>
  </si>
  <si>
    <t>57421461</t>
  </si>
  <si>
    <t>MELENDEZ SEPULVEDA MARELVIS DEL SOCORRO</t>
  </si>
  <si>
    <t>MEL***** SEP****** MAR***** DEL SOC****</t>
  </si>
  <si>
    <t>57421478</t>
  </si>
  <si>
    <t>CAMACHO AMAYA ANA ISABEL</t>
  </si>
  <si>
    <t>CAM**** AMA** ANA ISA***</t>
  </si>
  <si>
    <t>57421486</t>
  </si>
  <si>
    <t>HERRERA GONZALEZ EVELIS BEATRIZ</t>
  </si>
  <si>
    <t>HER**** GON***** EVE*** BEA****</t>
  </si>
  <si>
    <t>57421526</t>
  </si>
  <si>
    <t>FERNANDEZ FERNANDEZ GLADYS ENEIDA</t>
  </si>
  <si>
    <t>FER****** FER****** GLA*** ENE***</t>
  </si>
  <si>
    <t>57421589</t>
  </si>
  <si>
    <t>ORTEGA CHARRIS MARTHA ELENA</t>
  </si>
  <si>
    <t>ORT*** CHA**** MAR*** ELE**</t>
  </si>
  <si>
    <t>57421619</t>
  </si>
  <si>
    <t>DE LA HOZ LOPEZ LUZ ELENA</t>
  </si>
  <si>
    <t>DE LA HOZ LOP** LUZ ELE**</t>
  </si>
  <si>
    <t>57421669</t>
  </si>
  <si>
    <t>GONZALEZ AARON EMMA MARIA</t>
  </si>
  <si>
    <t>GON***** AAR** EMM* MAR**</t>
  </si>
  <si>
    <t>57421674</t>
  </si>
  <si>
    <t>GARCIA THOMAS MARIA ISABEL</t>
  </si>
  <si>
    <t>GAR*** THO*** MAR** ISA***</t>
  </si>
  <si>
    <t>57421707</t>
  </si>
  <si>
    <t>GARIZABALO LAMBIS MARTHA LUZ</t>
  </si>
  <si>
    <t>GAR******* LAM*** MAR*** LUZ</t>
  </si>
  <si>
    <t>57421723</t>
  </si>
  <si>
    <t>RUIZ CASTAÑO NIBET MARITZA</t>
  </si>
  <si>
    <t>RUI* CAS**** NIB** MAR****</t>
  </si>
  <si>
    <t>57421735</t>
  </si>
  <si>
    <t>PEÑA RODRIGUEZ YUDI LUZ</t>
  </si>
  <si>
    <t>PEÑ* ROD****** YUD* LUZ</t>
  </si>
  <si>
    <t>57421760</t>
  </si>
  <si>
    <t>RIVERA HERNANDEZ AURORA BEATRIZ</t>
  </si>
  <si>
    <t>RIV*** HER****** AUR*** BEA****</t>
  </si>
  <si>
    <t>57421762</t>
  </si>
  <si>
    <t>MUÑOZ ACOSTA BENILDA</t>
  </si>
  <si>
    <t>MUÑ** ACO*** BEN****</t>
  </si>
  <si>
    <t>57421773</t>
  </si>
  <si>
    <t>BUITRAGO CABALLERO TEOTISTE MERCEDES</t>
  </si>
  <si>
    <t>BUI***** CAB****** TEO***** MER*****</t>
  </si>
  <si>
    <t>57421789</t>
  </si>
  <si>
    <t>TORREGROZA THOMAS AMERICA ESTER</t>
  </si>
  <si>
    <t>TOR******* THO*** AME**** EST**</t>
  </si>
  <si>
    <t>57421790</t>
  </si>
  <si>
    <t>POLO VARGAS LUZ ESTELA</t>
  </si>
  <si>
    <t>POL* VAR*** LUZ EST***</t>
  </si>
  <si>
    <t>57421796</t>
  </si>
  <si>
    <t>MARMOL MIRYAM ISABEL</t>
  </si>
  <si>
    <t>MAR*** MIR*** ISA***</t>
  </si>
  <si>
    <t>57421802</t>
  </si>
  <si>
    <t>LUNA MUÑOZ DEISY MARGOTH</t>
  </si>
  <si>
    <t>LUN* MUÑ** DEI** MAR****</t>
  </si>
  <si>
    <t>57421848</t>
  </si>
  <si>
    <t>VARGAS CONTRERAS MARILUZ</t>
  </si>
  <si>
    <t>VAR*** CON****** MAR****</t>
  </si>
  <si>
    <t>57421862</t>
  </si>
  <si>
    <t>GONZALEZ GARCIA CARMEN ROSA</t>
  </si>
  <si>
    <t>GON***** GAR*** CAR*** ROS*</t>
  </si>
  <si>
    <t>57421870</t>
  </si>
  <si>
    <t>APARICIO SALGADO LEONOR MARIA</t>
  </si>
  <si>
    <t>APA***** SAL**** LEO*** MAR**</t>
  </si>
  <si>
    <t>57421905</t>
  </si>
  <si>
    <t>CUJIA REALES GLENYS JUDITH</t>
  </si>
  <si>
    <t>CUJ** REA*** GLE*** JUD***</t>
  </si>
  <si>
    <t>57421910</t>
  </si>
  <si>
    <t>MARTINEZ JIMENEZ JALILA ROSA</t>
  </si>
  <si>
    <t>MAR***** JIM**** JAL*** ROS*</t>
  </si>
  <si>
    <t>57421920</t>
  </si>
  <si>
    <t>AGUDELO RAMOS KARLA LUZ</t>
  </si>
  <si>
    <t>AGU**** RAM** KAR** LUZ</t>
  </si>
  <si>
    <t>57421950</t>
  </si>
  <si>
    <t>MENDOZA MENDOZA RUTH MERCEDES</t>
  </si>
  <si>
    <t>MEN**** MEN**** RUT* MER*****</t>
  </si>
  <si>
    <t>57421977</t>
  </si>
  <si>
    <t>MARTINEZ BLANCO JAKELINE</t>
  </si>
  <si>
    <t>MAR***** BLA*** JAK*****</t>
  </si>
  <si>
    <t>57422024</t>
  </si>
  <si>
    <t>CANTILLO MUÑOZ HILDER SOFIA</t>
  </si>
  <si>
    <t>CAN***** MUÑ** HIL*** SOF**</t>
  </si>
  <si>
    <t>57422028</t>
  </si>
  <si>
    <t>CABALLERO OROZCO MARTHA LUZ</t>
  </si>
  <si>
    <t>CAB****** ORO*** MAR*** LUZ</t>
  </si>
  <si>
    <t>57422063</t>
  </si>
  <si>
    <t>LOPEZ DE LA HOZ CLEMENCIA DE LAS MERCEDES</t>
  </si>
  <si>
    <t>LOP** DE LA HOZ CLE****** DE LAS MER*****</t>
  </si>
  <si>
    <t>57422104</t>
  </si>
  <si>
    <t>MAYORGA ARIAS LINA MARIA</t>
  </si>
  <si>
    <t>MAY**** ARI** LIN* MAR**</t>
  </si>
  <si>
    <t>57422108</t>
  </si>
  <si>
    <t>CUELLAR DURAN SARAY</t>
  </si>
  <si>
    <t>CUE**** DUR** SAR**</t>
  </si>
  <si>
    <t>57422120</t>
  </si>
  <si>
    <t>MARQUEZ RODRIGUEZ HORTENCIA ISABEL</t>
  </si>
  <si>
    <t>MAR**** ROD****** HOR****** ISA***</t>
  </si>
  <si>
    <t>57422121</t>
  </si>
  <si>
    <t>LARA DE LA ROSA RAQUEL BEATRIZ</t>
  </si>
  <si>
    <t>LAR* DE LA ROS* RAQ*** BEA****</t>
  </si>
  <si>
    <t>57422175</t>
  </si>
  <si>
    <t>CARRILLO RONCO MARGARITA MARIA</t>
  </si>
  <si>
    <t>CAR***** RON** MAR****** MAR**</t>
  </si>
  <si>
    <t>57422185</t>
  </si>
  <si>
    <t>DE LAS NIEVES NARVAEZ MARIA</t>
  </si>
  <si>
    <t>DE LAS NIE*** NAR**** MAR**</t>
  </si>
  <si>
    <t>57422193</t>
  </si>
  <si>
    <t>GARCIA BARRIOS ROSIRIS DEL CARMEN</t>
  </si>
  <si>
    <t>GAR*** BAR**** ROS**** DEL CAR***</t>
  </si>
  <si>
    <t>57422204</t>
  </si>
  <si>
    <t>DOMINGUEZ VALIENTE BLEIDY MARITZA</t>
  </si>
  <si>
    <t>DOM****** VAL***** BLE*** MAR****</t>
  </si>
  <si>
    <t>57422226</t>
  </si>
  <si>
    <t>PEINADO CELIS MADELAINE</t>
  </si>
  <si>
    <t>PEI**** CEL** MAD******</t>
  </si>
  <si>
    <t>57422229</t>
  </si>
  <si>
    <t>GAMARRA CORDOBA NURIS</t>
  </si>
  <si>
    <t>GAM**** COR**** NUR**</t>
  </si>
  <si>
    <t>57422315</t>
  </si>
  <si>
    <t>MEDINA MANOSALVA AIDEE</t>
  </si>
  <si>
    <t>MED*** MAN****** AID**</t>
  </si>
  <si>
    <t>57422327</t>
  </si>
  <si>
    <t>HERNANDEZ ROSALES BERTA CRISTINA</t>
  </si>
  <si>
    <t>HER****** ROS**** BER** CRI*****</t>
  </si>
  <si>
    <t>57422362</t>
  </si>
  <si>
    <t>MARTINEZ ACOSTA AGAR MARINA</t>
  </si>
  <si>
    <t>MAR***** ACO*** AGA* MAR***</t>
  </si>
  <si>
    <t>57422370</t>
  </si>
  <si>
    <t>PEÑA OROZCO GLADYS MARIA</t>
  </si>
  <si>
    <t>PEÑ* ORO*** GLA*** MAR**</t>
  </si>
  <si>
    <t>57422416</t>
  </si>
  <si>
    <t>PERTUZ ACEVEDO EUNICE</t>
  </si>
  <si>
    <t>PER*** ACE**** EUN***</t>
  </si>
  <si>
    <t>57422483</t>
  </si>
  <si>
    <t>GARIZABAL BOLAÑO LUZ ESTELA</t>
  </si>
  <si>
    <t>GAR****** BOL*** LUZ EST***</t>
  </si>
  <si>
    <t>57422488</t>
  </si>
  <si>
    <t>CHIQUILLO BALDOMINO SILDANA MARIA</t>
  </si>
  <si>
    <t>CHI****** BAL****** SIL**** MAR**</t>
  </si>
  <si>
    <t>57422521</t>
  </si>
  <si>
    <t>OROZCO CORTES ERIKA MABEL</t>
  </si>
  <si>
    <t>ORO*** COR*** ERI** MAB**</t>
  </si>
  <si>
    <t>57422600</t>
  </si>
  <si>
    <t>BARANDICA CAMARGO GREISIS MERCEDES</t>
  </si>
  <si>
    <t>BAR****** CAM**** GRE**** MER*****</t>
  </si>
  <si>
    <t>57422623</t>
  </si>
  <si>
    <t>DACONTE BARRIOS ERNELDA MARIA</t>
  </si>
  <si>
    <t>DAC**** BAR**** ERN**** MAR**</t>
  </si>
  <si>
    <t>57422633</t>
  </si>
  <si>
    <t>DE LA ROSA MORELLY GRECIA CARMEN</t>
  </si>
  <si>
    <t>DE LA ROS* MOR**** GRE*** CAR***</t>
  </si>
  <si>
    <t>57422665</t>
  </si>
  <si>
    <t>AARON MARTINEZ CLAUDIA PATRICIA</t>
  </si>
  <si>
    <t>AAR** MAR***** CLA**** PAT*****</t>
  </si>
  <si>
    <t>57422688</t>
  </si>
  <si>
    <t>VARELA DE LA HOZ GENIT ESTELA</t>
  </si>
  <si>
    <t>VAR*** DE LA HOZ GEN** EST***</t>
  </si>
  <si>
    <t>57422867</t>
  </si>
  <si>
    <t>VIZCAINO GOMEZ CARMEN SOFIA</t>
  </si>
  <si>
    <t>VIZ***** GOM** CAR*** SOF**</t>
  </si>
  <si>
    <t>57422898</t>
  </si>
  <si>
    <t>SIERRA MORON MARY LUZ</t>
  </si>
  <si>
    <t>SIE*** MOR** MAR* LUZ</t>
  </si>
  <si>
    <t>57422979</t>
  </si>
  <si>
    <t>AROCA MOLINA LIGIA MARIA</t>
  </si>
  <si>
    <t>ARO** MOL*** LIG** MAR**</t>
  </si>
  <si>
    <t>57422980</t>
  </si>
  <si>
    <t>CANTILLO MOLINA BERTA LILA</t>
  </si>
  <si>
    <t>CAN***** MOL*** BER** LIL*</t>
  </si>
  <si>
    <t>57422989</t>
  </si>
  <si>
    <t>REALES GUTIERREZ MARGARITA ISABEL</t>
  </si>
  <si>
    <t>REA*** GUT****** MAR****** ISA***</t>
  </si>
  <si>
    <t>57422993</t>
  </si>
  <si>
    <t>DECOLA AGAMEZ BLANQUILIETH</t>
  </si>
  <si>
    <t>DEC*** AGA*** BLA*********</t>
  </si>
  <si>
    <t>57423128</t>
  </si>
  <si>
    <t>BUELVAS SALSA YARLENIS</t>
  </si>
  <si>
    <t>BUE**** SAL** YAR*****</t>
  </si>
  <si>
    <t>57423149</t>
  </si>
  <si>
    <t>DELGADO MARTINEZ MARELVIS</t>
  </si>
  <si>
    <t>DEL**** MAR***** MAR*****</t>
  </si>
  <si>
    <t>57423217</t>
  </si>
  <si>
    <t>PAREJA AGAMEZ PIEDAD PATRICIA</t>
  </si>
  <si>
    <t>PAR*** AGA*** PIE*** PAT*****</t>
  </si>
  <si>
    <t>57423244</t>
  </si>
  <si>
    <t>BONILLA LLANES ALEXANDRA EMPERATRIZ</t>
  </si>
  <si>
    <t>BON**** LLA*** ALE****** EMP*******</t>
  </si>
  <si>
    <t>57423292</t>
  </si>
  <si>
    <t>ARAUJO ACOSTA UBIDETH ROSA</t>
  </si>
  <si>
    <t>ARA*** ACO*** UBI**** ROS*</t>
  </si>
  <si>
    <t>57423479</t>
  </si>
  <si>
    <t>PONCE PE¿ALOZA DILIA ROSA</t>
  </si>
  <si>
    <t>PON** PE¿***** DIL** ROS*</t>
  </si>
  <si>
    <t>57423514</t>
  </si>
  <si>
    <t>CORREA RIQUETT LILIANA MERCEDES</t>
  </si>
  <si>
    <t>COR*** RIQ**** LIL**** MER*****</t>
  </si>
  <si>
    <t>57423543</t>
  </si>
  <si>
    <t>PACHECO AREVALO DORIS OTILIA</t>
  </si>
  <si>
    <t>PAC**** ARE**** DOR** OTI***</t>
  </si>
  <si>
    <t>57423683</t>
  </si>
  <si>
    <t>FELIPE CUENTAS ANA JULIA</t>
  </si>
  <si>
    <t>FEL*** CUE**** ANA JUL**</t>
  </si>
  <si>
    <t>57423754</t>
  </si>
  <si>
    <t>MOJICA ACOSTA IBIS SOFIA</t>
  </si>
  <si>
    <t>MOJ*** ACO*** IBI* SOF**</t>
  </si>
  <si>
    <t>57423787</t>
  </si>
  <si>
    <t>MEJIA MARTINEZ PIEDAD PATRICIA</t>
  </si>
  <si>
    <t>MEJ** MAR***** PIE*** PAT*****</t>
  </si>
  <si>
    <t>57424093</t>
  </si>
  <si>
    <t>DEL CASTILLO SALAS SANDRA PATRICIA</t>
  </si>
  <si>
    <t>DEL CAS***** SAL** SAN*** PAT*****</t>
  </si>
  <si>
    <t>57424167</t>
  </si>
  <si>
    <t>FERNANDEZ MERCADO MERYS ENEIDA</t>
  </si>
  <si>
    <t>FER****** MER**** MER** ENE***</t>
  </si>
  <si>
    <t>57424176</t>
  </si>
  <si>
    <t>ALTAHONA MORENO MARDEYES JUDITH</t>
  </si>
  <si>
    <t>ALT***** MOR*** MAR***** JUD***</t>
  </si>
  <si>
    <t>57424250</t>
  </si>
  <si>
    <t>BONILLA LLANES GERALDINE LUCIA</t>
  </si>
  <si>
    <t>BON**** LLA*** GER****** LUC**</t>
  </si>
  <si>
    <t>57424281</t>
  </si>
  <si>
    <t>BOLAÑO PUELLO YUDIS DEL CARMEN</t>
  </si>
  <si>
    <t>BOL*** PUE*** YUD** DEL CAR***</t>
  </si>
  <si>
    <t>57424390</t>
  </si>
  <si>
    <t>ALTAMAR MARTINEZ LUDIS ESTER</t>
  </si>
  <si>
    <t>ALT**** MAR***** LUD** EST**</t>
  </si>
  <si>
    <t>57424398</t>
  </si>
  <si>
    <t>VILLARREAL PINZON GREYS SENIT</t>
  </si>
  <si>
    <t>VIL******* PIN*** GRE** SEN**</t>
  </si>
  <si>
    <t>57424438</t>
  </si>
  <si>
    <t>BALLESTEROS POLO MARINELLA ESTER</t>
  </si>
  <si>
    <t>BAL******** POL* MAR****** EST**</t>
  </si>
  <si>
    <t>57424441</t>
  </si>
  <si>
    <t>VASQUEZ ROJANO MARISOL ROSA</t>
  </si>
  <si>
    <t>VAS**** ROJ*** MAR**** ROS*</t>
  </si>
  <si>
    <t>57424443</t>
  </si>
  <si>
    <t>POLO CANTILLO DAIMIS ESTHER</t>
  </si>
  <si>
    <t>POL* CAN***** DAI*** EST***</t>
  </si>
  <si>
    <t>57424579</t>
  </si>
  <si>
    <t>VILLAMIL FONTALVO INGRIS JUDITH</t>
  </si>
  <si>
    <t>VIL***** FON***** ING*** JUD***</t>
  </si>
  <si>
    <t>57424599</t>
  </si>
  <si>
    <t>MORA PERTUZ YANERIS DEL PILAR</t>
  </si>
  <si>
    <t>MOR* PER*** YAN**** DEL PIL**</t>
  </si>
  <si>
    <t>57424604</t>
  </si>
  <si>
    <t>POLO ARRIETA MILENA YOLIMA</t>
  </si>
  <si>
    <t>POL* ARR**** MIL*** YOL***</t>
  </si>
  <si>
    <t>57424665</t>
  </si>
  <si>
    <t>GUERRERO CAMARGO GLADIS ELENA</t>
  </si>
  <si>
    <t>GUE***** CAM**** GLA*** ELE**</t>
  </si>
  <si>
    <t>57424672</t>
  </si>
  <si>
    <t>PEREA ARROYABE ALEIDA ROSA</t>
  </si>
  <si>
    <t>PER** ARR***** ALE*** ROS*</t>
  </si>
  <si>
    <t>57424803</t>
  </si>
  <si>
    <t>ALTAHONA ESCORCIA NAYDA LUZ</t>
  </si>
  <si>
    <t>ALT***** ESC***** NAY** LUZ</t>
  </si>
  <si>
    <t>57424956</t>
  </si>
  <si>
    <t>CHIQUILLO JULIO DIANA PATRICIA</t>
  </si>
  <si>
    <t>CHI****** JUL** DIA** PAT*****</t>
  </si>
  <si>
    <t>57424973</t>
  </si>
  <si>
    <t>GUERRA BERRIO MARIA LUISA</t>
  </si>
  <si>
    <t>GUE*** BER*** MAR** LUI**</t>
  </si>
  <si>
    <t>57425231</t>
  </si>
  <si>
    <t>PAREJA AGAMEZ PAOLA DE JESUS</t>
  </si>
  <si>
    <t>PAR*** AGA*** PAO** DE JES**</t>
  </si>
  <si>
    <t>57425372</t>
  </si>
  <si>
    <t>CRUZ THOMAS MAILEN PATRICIA</t>
  </si>
  <si>
    <t>CRU* THO*** MAI*** PAT*****</t>
  </si>
  <si>
    <t>57425377</t>
  </si>
  <si>
    <t>REALES DE LA ROSA ELIZABETH</t>
  </si>
  <si>
    <t>REA*** DE LA ROS* ELI******</t>
  </si>
  <si>
    <t>57425393</t>
  </si>
  <si>
    <t>MANGA POLO JOSEFINA ISABEL</t>
  </si>
  <si>
    <t>MAN** POL* JOS***** ISA***</t>
  </si>
  <si>
    <t>57425432</t>
  </si>
  <si>
    <t>MOYA PINEDA YORLANIS CECILIA</t>
  </si>
  <si>
    <t>MOY* PIN*** YOR***** CEC****</t>
  </si>
  <si>
    <t>57425559</t>
  </si>
  <si>
    <t>LOPEZ DAZA MARIA INES</t>
  </si>
  <si>
    <t>LOP** DAZ* MAR** INE*</t>
  </si>
  <si>
    <t>57425638</t>
  </si>
  <si>
    <t>LLANOS RAMOS PIEDAD DEL PILAR</t>
  </si>
  <si>
    <t>LLA*** RAM** PIE*** DEL PIL**</t>
  </si>
  <si>
    <t>57425680</t>
  </si>
  <si>
    <t>MARIN SALAS RUMEN PAOLA</t>
  </si>
  <si>
    <t>MAR** SAL** RUM** PAO**</t>
  </si>
  <si>
    <t>57425741</t>
  </si>
  <si>
    <t>HATUN ARIAS ERIKA PATRICIA</t>
  </si>
  <si>
    <t>HAT** ARI** ERI** PAT*****</t>
  </si>
  <si>
    <t>57425816</t>
  </si>
  <si>
    <t>MARTINEZ MARQUEZ MELVIS MAROLIS</t>
  </si>
  <si>
    <t>MAR***** MAR**** MEL*** MAR****</t>
  </si>
  <si>
    <t>57425832</t>
  </si>
  <si>
    <t>ROJANO HERNANDEZ KATERINE ZULAY</t>
  </si>
  <si>
    <t>ROJ*** HER****** KAT***** ZUL**</t>
  </si>
  <si>
    <t>57425861</t>
  </si>
  <si>
    <t>CANTILLO GUETE SULAY MILAGRO</t>
  </si>
  <si>
    <t>CAN***** GUE** SUL** MIL****</t>
  </si>
  <si>
    <t>57426127</t>
  </si>
  <si>
    <t>FLOREZ DIAZ CLARA ELENA</t>
  </si>
  <si>
    <t>FLO*** DIA* CLA** ELE**</t>
  </si>
  <si>
    <t>57426454</t>
  </si>
  <si>
    <t>CASTELLANO ALVAREZ IRENE MERCEDES</t>
  </si>
  <si>
    <t>CAS******* ALV**** IRE** MER*****</t>
  </si>
  <si>
    <t>57426861</t>
  </si>
  <si>
    <t>OROZCO VILORIA ALMEIDA DE JESUS</t>
  </si>
  <si>
    <t>ORO*** VIL**** ALM**** DE JES**</t>
  </si>
  <si>
    <t>57426879</t>
  </si>
  <si>
    <t>JARABA DE LA CRUZ FIDELINA MARIA</t>
  </si>
  <si>
    <t>JAR*** DE LA CRU* FID***** MAR**</t>
  </si>
  <si>
    <t>57426906</t>
  </si>
  <si>
    <t>OROZCO ARVILLA MAVIS EUGENIA</t>
  </si>
  <si>
    <t>ORO*** ARV**** MAV** EUG****</t>
  </si>
  <si>
    <t>57426996</t>
  </si>
  <si>
    <t>PERTUZ BARRIOS CLAUDIA INES</t>
  </si>
  <si>
    <t>PER*** BAR**** CLA**** INE*</t>
  </si>
  <si>
    <t>57427052</t>
  </si>
  <si>
    <t>POLO CANTILLO CARMEN ROSA</t>
  </si>
  <si>
    <t>POL* CAN***** CAR*** ROS*</t>
  </si>
  <si>
    <t>57427252</t>
  </si>
  <si>
    <t>DE LA ROSA VASQUEZ MIREYA MILAGROS</t>
  </si>
  <si>
    <t>DE LA ROS* VAS**** MIR*** MIL*****</t>
  </si>
  <si>
    <t>57427254</t>
  </si>
  <si>
    <t>PEREZ CHARRY RUTH MARY</t>
  </si>
  <si>
    <t>PER** CHA*** RUT* MAR*</t>
  </si>
  <si>
    <t>57427394</t>
  </si>
  <si>
    <t>OVIEDO RIVERA DANIT</t>
  </si>
  <si>
    <t>OVI*** RIV*** DAN**</t>
  </si>
  <si>
    <t>57427626</t>
  </si>
  <si>
    <t>OROZCO MARTINEZ ALINA ESTHER</t>
  </si>
  <si>
    <t>ORO*** MAR***** ALI** EST***</t>
  </si>
  <si>
    <t>57427871</t>
  </si>
  <si>
    <t>GONZALEZ ESCORCIA MADELIS MERCEDES</t>
  </si>
  <si>
    <t>GON***** ESC***** MAD**** MER*****</t>
  </si>
  <si>
    <t>57427920</t>
  </si>
  <si>
    <t>DE LA TORRE REYES MONICA PATRICIA</t>
  </si>
  <si>
    <t>DE LA TOR** REY** MON*** PAT*****</t>
  </si>
  <si>
    <t>57428062</t>
  </si>
  <si>
    <t>AVENDAÑO ARIZA SORAYA MARIA</t>
  </si>
  <si>
    <t>AVE***** ARI** SOR*** MAR**</t>
  </si>
  <si>
    <t>57428420</t>
  </si>
  <si>
    <t>HERNANDEZ ZAMBRANO EVENIS</t>
  </si>
  <si>
    <t>HER****** ZAM***** EVE***</t>
  </si>
  <si>
    <t>57428682</t>
  </si>
  <si>
    <t>FRIAS RAMOS VIRGINIA ISABEL</t>
  </si>
  <si>
    <t>FRI** RAM** VIR***** ISA***</t>
  </si>
  <si>
    <t>57428863</t>
  </si>
  <si>
    <t>VASQUEZ TEJEDA LIZ BRILLIT</t>
  </si>
  <si>
    <t>VAS**** TEJ*** LIZ BRI****</t>
  </si>
  <si>
    <t>57428990</t>
  </si>
  <si>
    <t>CANTILLO RIVERA ANA MARGARITA</t>
  </si>
  <si>
    <t>CAN***** RIV*** ANA MAR******</t>
  </si>
  <si>
    <t>57429218</t>
  </si>
  <si>
    <t>DIAZGRANADOS CORRALES MARITZA DEL CARMEN</t>
  </si>
  <si>
    <t>DIA********* COR***** MAR**** DEL CAR***</t>
  </si>
  <si>
    <t>57429309</t>
  </si>
  <si>
    <t>OLIVEROS MACHADO DILIA ELENA</t>
  </si>
  <si>
    <t>OLI***** MAC**** DIL** ELE**</t>
  </si>
  <si>
    <t>57429325</t>
  </si>
  <si>
    <t>MARENCO DURAN MARGARITA LILA</t>
  </si>
  <si>
    <t>MAR**** DUR** MAR****** LIL*</t>
  </si>
  <si>
    <t>57429390</t>
  </si>
  <si>
    <t>RODRIGUEZ VALLE MARTHA BEATRIZ</t>
  </si>
  <si>
    <t>ROD****** VAL** MAR*** BEA****</t>
  </si>
  <si>
    <t>57429471</t>
  </si>
  <si>
    <t>GAMARRA IDARRAGA AMELIA ROSA</t>
  </si>
  <si>
    <t>GAM**** IDA***** AME*** ROS*</t>
  </si>
  <si>
    <t>57429617</t>
  </si>
  <si>
    <t>RUIZ SUAREZ PATRICIA DE JESUS</t>
  </si>
  <si>
    <t>RUI* SUA*** PAT***** DE JES**</t>
  </si>
  <si>
    <t>57429708</t>
  </si>
  <si>
    <t>MONTESINO TOVAR ARACELIS MERCEDES</t>
  </si>
  <si>
    <t>MON****** TOV** ARA***** MER*****</t>
  </si>
  <si>
    <t>57429762</t>
  </si>
  <si>
    <t>SALTAREN CAMPO YADIRA ESTHER</t>
  </si>
  <si>
    <t>SAL***** CAM** YAD*** EST***</t>
  </si>
  <si>
    <t>57429952</t>
  </si>
  <si>
    <t>MERCADO MARTINEZ LUDIS MARIA</t>
  </si>
  <si>
    <t>MER**** MAR***** LUD** MAR**</t>
  </si>
  <si>
    <t>57430118</t>
  </si>
  <si>
    <t>MANJARRES INFANTE DUBIS ZENIT</t>
  </si>
  <si>
    <t>MAN****** INF**** DUB** ZEN**</t>
  </si>
  <si>
    <t>57430125</t>
  </si>
  <si>
    <t>ESQUIVEL LASCARRO PAULINA</t>
  </si>
  <si>
    <t>ESQ***** LAS***** PAU****</t>
  </si>
  <si>
    <t>57430237</t>
  </si>
  <si>
    <t>GUTIERREZ ASENDRA LILIANA BEATRIZ</t>
  </si>
  <si>
    <t>GUT****** ASE**** LIL**** BEA****</t>
  </si>
  <si>
    <t>57430356</t>
  </si>
  <si>
    <t>MERCADO BOLAÑO ZENIRA DEL SOCORRO</t>
  </si>
  <si>
    <t>MER**** BOL*** ZEN*** DEL SOC****</t>
  </si>
  <si>
    <t>57430947</t>
  </si>
  <si>
    <t>RUIDIAZ MARTINEZ YENNIS</t>
  </si>
  <si>
    <t>RUI**** MAR***** YEN***</t>
  </si>
  <si>
    <t>57431095</t>
  </si>
  <si>
    <t>ROJAS BOLAÑO ZOILA ELVIRA</t>
  </si>
  <si>
    <t>ROJ** BOL*** ZOI** ELV***</t>
  </si>
  <si>
    <t>57431148</t>
  </si>
  <si>
    <t>PEREZ PEÑA CLAUDIA PAOLA</t>
  </si>
  <si>
    <t>PER** PEÑ* CLA**** PAO**</t>
  </si>
  <si>
    <t>57431154</t>
  </si>
  <si>
    <t>ANDRADE OVIEDO LIBIA MARGARITA</t>
  </si>
  <si>
    <t>AND**** OVI*** LIB** MAR******</t>
  </si>
  <si>
    <t>57431208</t>
  </si>
  <si>
    <t>CEBALLOS GUILLOT ERCILIA ROSA</t>
  </si>
  <si>
    <t>CEB***** GUI**** ERC**** ROS*</t>
  </si>
  <si>
    <t>57431470</t>
  </si>
  <si>
    <t>SILVA VILLALOBOS NINFA BEATRIZ</t>
  </si>
  <si>
    <t>SIL** VIL******* NIN** BEA****</t>
  </si>
  <si>
    <t>57432055</t>
  </si>
  <si>
    <t>SALCEDO DIAZ BERTHA MARINA</t>
  </si>
  <si>
    <t>SAL**** DIA* BER*** MAR***</t>
  </si>
  <si>
    <t>57432111</t>
  </si>
  <si>
    <t>TEJEDA CALERO MARITZA ALICIA</t>
  </si>
  <si>
    <t>TEJ*** CAL*** MAR**** ALI***</t>
  </si>
  <si>
    <t>57432137</t>
  </si>
  <si>
    <t>ACEVEDO MUÑOZ ELIDITH LILIA</t>
  </si>
  <si>
    <t>ACE**** MUÑ** ELI**** LIL**</t>
  </si>
  <si>
    <t>57432862</t>
  </si>
  <si>
    <t>SERGE CANTILLO VICTORIA ELENA</t>
  </si>
  <si>
    <t>SER** CAN***** VIC***** ELE**</t>
  </si>
  <si>
    <t>57433380</t>
  </si>
  <si>
    <t>PADILLA SANCHEZ SAIDY PATRICIA</t>
  </si>
  <si>
    <t>PAD**** SAN**** SAI** PAT*****</t>
  </si>
  <si>
    <t>57433404</t>
  </si>
  <si>
    <t>MACIAS AMARIS MARCELA PATRICIA</t>
  </si>
  <si>
    <t>MAC*** AMA*** MAR**** PAT*****</t>
  </si>
  <si>
    <t>57433549</t>
  </si>
  <si>
    <t>MERCADO DE LA CERDA MARIANA MARINA</t>
  </si>
  <si>
    <t>MER**** DE LA CER** MAR**** MAR***</t>
  </si>
  <si>
    <t>57434176</t>
  </si>
  <si>
    <t>GUTIERREZ DAZA MIRIAM ELENA</t>
  </si>
  <si>
    <t>GUT****** DAZ* MIR*** ELE**</t>
  </si>
  <si>
    <t>57434402</t>
  </si>
  <si>
    <t>RIVERA PARDO PATRICIA BEATRIZ</t>
  </si>
  <si>
    <t>RIV*** PAR** PAT***** BEA****</t>
  </si>
  <si>
    <t>57434459</t>
  </si>
  <si>
    <t>BUSTAMANTE DE LA CRUZ EDELMIRA DOLORES</t>
  </si>
  <si>
    <t>BUS******* DE LA CRU* EDE***** DOL****</t>
  </si>
  <si>
    <t>57434620</t>
  </si>
  <si>
    <t>MADARIAGA ORTEGA YENIS CECILIA</t>
  </si>
  <si>
    <t>MAD****** ORT*** YEN** CEC****</t>
  </si>
  <si>
    <t>57434670</t>
  </si>
  <si>
    <t>MORENO CACERES CLAUDIA ILIANA</t>
  </si>
  <si>
    <t>MOR*** CAC**** CLA**** ILI***</t>
  </si>
  <si>
    <t>57434931</t>
  </si>
  <si>
    <t>CACERES CACERES NUBIA</t>
  </si>
  <si>
    <t>CAC**** CAC**** NUB**</t>
  </si>
  <si>
    <t>57435082</t>
  </si>
  <si>
    <t>ARIZA ALVAREZ MARTHA ELENA</t>
  </si>
  <si>
    <t>ARI** ALV**** MAR*** ELE**</t>
  </si>
  <si>
    <t>57435107</t>
  </si>
  <si>
    <t>CABAS GOMEZ INES PAULINA</t>
  </si>
  <si>
    <t>CAB** GOM** INE* PAU****</t>
  </si>
  <si>
    <t>57435194</t>
  </si>
  <si>
    <t>CUZA MELO AMIRA JOSEFA</t>
  </si>
  <si>
    <t>CUZ* MEL* AMI** JOS***</t>
  </si>
  <si>
    <t>57435459</t>
  </si>
  <si>
    <t>AVILA GUTIERREZ ESTELA DEL SOCORRO</t>
  </si>
  <si>
    <t>AVI** GUT****** EST*** DEL SOC****</t>
  </si>
  <si>
    <t>57435778</t>
  </si>
  <si>
    <t>OSPINO JIMENEZ INES</t>
  </si>
  <si>
    <t>OSP*** JIM**** INE*</t>
  </si>
  <si>
    <t>57436034</t>
  </si>
  <si>
    <t>HERRERA CANTILLO LUZ MERY</t>
  </si>
  <si>
    <t>HER**** CAN***** LUZ MER*</t>
  </si>
  <si>
    <t>57436166</t>
  </si>
  <si>
    <t>LAPEIRA OJEDA EUNICE ESTHER</t>
  </si>
  <si>
    <t>LAP**** OJE** EUN*** EST***</t>
  </si>
  <si>
    <t>57436307</t>
  </si>
  <si>
    <t>MENDOZA PEÑA CANDELARIA</t>
  </si>
  <si>
    <t>MEN**** PEÑ* CAN*******</t>
  </si>
  <si>
    <t>57436366</t>
  </si>
  <si>
    <t>VIZCAINO BOLAÑO MILEIDA LUZ</t>
  </si>
  <si>
    <t>VIZ***** BOL*** MIL**** LUZ</t>
  </si>
  <si>
    <t>57436600</t>
  </si>
  <si>
    <t>RACINES SARMIENTO BYBYS DEL SOCORRO</t>
  </si>
  <si>
    <t>RAC**** SAR****** BYB** DEL SOC****</t>
  </si>
  <si>
    <t>57436767</t>
  </si>
  <si>
    <t>GUERRA MERCADO ALBY ESTHER</t>
  </si>
  <si>
    <t>GUE*** MER**** ALB* EST***</t>
  </si>
  <si>
    <t>57437118</t>
  </si>
  <si>
    <t>VILLAR MONTENEGRO MARIA ELENA</t>
  </si>
  <si>
    <t>VIL*** MON******* MAR** ELE**</t>
  </si>
  <si>
    <t>57437243</t>
  </si>
  <si>
    <t>JIMENEZ JIMENEZ MARILYN ESTHER</t>
  </si>
  <si>
    <t>JIM**** JIM**** MAR**** EST***</t>
  </si>
  <si>
    <t>57437277</t>
  </si>
  <si>
    <t>ESCORCIA MORGAN INES TEODORA</t>
  </si>
  <si>
    <t>ESC***** MOR*** INE* TEO****</t>
  </si>
  <si>
    <t>57437338</t>
  </si>
  <si>
    <t>AGUILAR RETAMOZO ADALGIZA ALMERYS</t>
  </si>
  <si>
    <t>AGU**** RET***** ADA***** ALM****</t>
  </si>
  <si>
    <t>57437481</t>
  </si>
  <si>
    <t>LLANES ESQUEA YANET ELENA</t>
  </si>
  <si>
    <t>LLA*** ESQ*** YAN** ELE**</t>
  </si>
  <si>
    <t>57437669</t>
  </si>
  <si>
    <t>PADILLA VELEZ MARYORIS GREGORIA</t>
  </si>
  <si>
    <t>PAD**** VEL** MAR***** GRE*****</t>
  </si>
  <si>
    <t>57437866</t>
  </si>
  <si>
    <t>MARIN CAMACHO CARMEN CECILIA</t>
  </si>
  <si>
    <t>MAR** CAM**** CAR*** CEC****</t>
  </si>
  <si>
    <t>57438115</t>
  </si>
  <si>
    <t>MERIÑO MARTINEZ LLEANA BEATRIZ</t>
  </si>
  <si>
    <t>MER*** MAR***** LLE*** BEA****</t>
  </si>
  <si>
    <t>57438388</t>
  </si>
  <si>
    <t>BOLAÑO MUÑOZ MARIA DEL CRISTO</t>
  </si>
  <si>
    <t>BOL*** MUÑ** MAR** DEL CRI***</t>
  </si>
  <si>
    <t>57438489</t>
  </si>
  <si>
    <t>DURAN PABON CECILIA CLEMENCIA</t>
  </si>
  <si>
    <t>DUR** PAB** CEC**** CLE******</t>
  </si>
  <si>
    <t>57438498</t>
  </si>
  <si>
    <t>ARDILA MERCADO ARELIS MARIANA</t>
  </si>
  <si>
    <t>ARD*** MER**** ARE*** MAR****</t>
  </si>
  <si>
    <t>57438731</t>
  </si>
  <si>
    <t>ALVAREZ FUENTES LUZ MARINA</t>
  </si>
  <si>
    <t>ALV**** FUE**** LUZ MAR***</t>
  </si>
  <si>
    <t>57439307</t>
  </si>
  <si>
    <t>MELCHOR RODRIGUEZ LOREIMA ELIANA</t>
  </si>
  <si>
    <t>MEL**** ROD****** LOR**** ELI***</t>
  </si>
  <si>
    <t>57439311</t>
  </si>
  <si>
    <t>RODRIGUEZ BLANCO LILIANA</t>
  </si>
  <si>
    <t>ROD****** BLA*** LIL****</t>
  </si>
  <si>
    <t>57439366</t>
  </si>
  <si>
    <t>MEJIA SIERRA MARYLUZ</t>
  </si>
  <si>
    <t>MEJ** SIE*** MAR****</t>
  </si>
  <si>
    <t>57439437</t>
  </si>
  <si>
    <t>VARELA NAVARRO ITSMENIA ISABEL</t>
  </si>
  <si>
    <t>VAR*** NAV**** ITS***** ISA***</t>
  </si>
  <si>
    <t>57439810</t>
  </si>
  <si>
    <t>MOLINA GASTELBONDO IBETH ROCIO</t>
  </si>
  <si>
    <t>MOL*** GAS******** IBE** ROC**</t>
  </si>
  <si>
    <t>57439847</t>
  </si>
  <si>
    <t>FERNANDEZ BELTRAN ANGELICA MARIA</t>
  </si>
  <si>
    <t>FER****** BEL**** ANG***** MAR**</t>
  </si>
  <si>
    <t>57440611</t>
  </si>
  <si>
    <t>MARTINEZ POSADA CONSTANZA PATRICIA</t>
  </si>
  <si>
    <t>MAR***** POS*** CON****** PAT*****</t>
  </si>
  <si>
    <t>57440689</t>
  </si>
  <si>
    <t>PONTON FLOREZ LIDIA ESTHER</t>
  </si>
  <si>
    <t>PON*** FLO*** LID** EST***</t>
  </si>
  <si>
    <t>57440691</t>
  </si>
  <si>
    <t>AMADOR OSPINO DIANA</t>
  </si>
  <si>
    <t>AMA*** OSP*** DIA**</t>
  </si>
  <si>
    <t>57440719</t>
  </si>
  <si>
    <t>RODRIGUEZ CERVANTES JANYE LILIANA</t>
  </si>
  <si>
    <t>ROD****** CER****** JAN** LIL****</t>
  </si>
  <si>
    <t>57440893</t>
  </si>
  <si>
    <t>FRAGOZO MEJIA DALIA MABEL</t>
  </si>
  <si>
    <t>FRA**** MEJ** DAL** MAB**</t>
  </si>
  <si>
    <t>57441551</t>
  </si>
  <si>
    <t>PEÑARANDA GARCIA MARIA ISABEL</t>
  </si>
  <si>
    <t>PEÑ****** GAR*** MAR** ISA***</t>
  </si>
  <si>
    <t>57441752</t>
  </si>
  <si>
    <t>ZUÑIGA SANJUAN ISABEL MARIA</t>
  </si>
  <si>
    <t>ZUÑ*** SAN**** ISA*** MAR**</t>
  </si>
  <si>
    <t>57441828</t>
  </si>
  <si>
    <t>MENDOZA OÑATE LEISLY YANETH</t>
  </si>
  <si>
    <t>MEN**** OÑA** LEI*** YAN***</t>
  </si>
  <si>
    <t>57442030</t>
  </si>
  <si>
    <t>VILLAR SAAVEDRA YAQUELINE DE JESUS</t>
  </si>
  <si>
    <t>VIL*** SAA***** YAQ****** DE JES**</t>
  </si>
  <si>
    <t>57442431</t>
  </si>
  <si>
    <t>MERIÑO PABON MAYRESOL</t>
  </si>
  <si>
    <t>MER*** PAB** MAY*****</t>
  </si>
  <si>
    <t>57442450</t>
  </si>
  <si>
    <t>HERNANDEZ DURAN GERALDINE MARIA</t>
  </si>
  <si>
    <t>HER****** DUR** GER****** MAR**</t>
  </si>
  <si>
    <t>57442537</t>
  </si>
  <si>
    <t>CASTRO ESCOBAR LEDYS MARIA</t>
  </si>
  <si>
    <t>CAS*** ESC**** LED** MAR**</t>
  </si>
  <si>
    <t>57442996</t>
  </si>
  <si>
    <t>ROCCO RESTREPO MONICA PATRICIA</t>
  </si>
  <si>
    <t>ROC** RES***** MON*** PAT*****</t>
  </si>
  <si>
    <t>57443012</t>
  </si>
  <si>
    <t>NAVARRO YEPEZ DIANITH DEL CARMEN</t>
  </si>
  <si>
    <t>NAV**** YEP** DIA**** DEL CAR***</t>
  </si>
  <si>
    <t>57443048</t>
  </si>
  <si>
    <t>MERCADO OSPINO YADEMIS MARIA</t>
  </si>
  <si>
    <t>MER**** OSP*** YAD**** MAR**</t>
  </si>
  <si>
    <t>57443100</t>
  </si>
  <si>
    <t>CONTRERAS GONZALEZ UBALDINA</t>
  </si>
  <si>
    <t>CON****** GON***** UBA*****</t>
  </si>
  <si>
    <t>57443287</t>
  </si>
  <si>
    <t>SALCEDO MEJIA ADA LUZ</t>
  </si>
  <si>
    <t>SAL**** MEJ** ADA LUZ</t>
  </si>
  <si>
    <t>57443556</t>
  </si>
  <si>
    <t>ESTRADA OSORIO MILEIBIS PATRICIA</t>
  </si>
  <si>
    <t>EST**** OSO*** MIL***** PAT*****</t>
  </si>
  <si>
    <t>57443733</t>
  </si>
  <si>
    <t>SARMIENTO CARRILLO SEBASTIANA MARIA</t>
  </si>
  <si>
    <t>SAR****** CAR***** SEB******* MAR**</t>
  </si>
  <si>
    <t>57443821</t>
  </si>
  <si>
    <t>CANTILLO VERGARA CLAUDIA PATRICIA</t>
  </si>
  <si>
    <t>CAN***** VER**** CLA**** PAT*****</t>
  </si>
  <si>
    <t>57444041</t>
  </si>
  <si>
    <t>GARCIA MUÑOZ IRIS PAOLA</t>
  </si>
  <si>
    <t>GAR*** MUÑ** IRI* PAO**</t>
  </si>
  <si>
    <t>57444085</t>
  </si>
  <si>
    <t>ROPERO PACHECO SARES MARIA</t>
  </si>
  <si>
    <t>ROP*** PAC**** SAR** MAR**</t>
  </si>
  <si>
    <t>57444404</t>
  </si>
  <si>
    <t>ROMERO SUAREZ BRINDYA ELVIRA</t>
  </si>
  <si>
    <t>ROM*** SUA*** BRI**** ELV***</t>
  </si>
  <si>
    <t>57444919</t>
  </si>
  <si>
    <t>PIMIENTA LABARCES ROSA MILENA</t>
  </si>
  <si>
    <t>PIM***** LAB***** ROS* MIL***</t>
  </si>
  <si>
    <t>57444941</t>
  </si>
  <si>
    <t>RODRIGUEZ MENDOZA AUDIETH AUXILIADORA</t>
  </si>
  <si>
    <t>ROD****** MEN**** AUD**** AUX********</t>
  </si>
  <si>
    <t>57445080</t>
  </si>
  <si>
    <t>GUERRA POLO LORENA BEATRIZ</t>
  </si>
  <si>
    <t>GUE*** POL* LOR*** BEA****</t>
  </si>
  <si>
    <t>57445162</t>
  </si>
  <si>
    <t>TORRES PEDROZO DELMIS</t>
  </si>
  <si>
    <t>TOR*** PED**** DEL***</t>
  </si>
  <si>
    <t>57445168</t>
  </si>
  <si>
    <t>FUENTES TRITON NEIRITH MERCEDES</t>
  </si>
  <si>
    <t>FUE**** TRI*** NEI**** MER*****</t>
  </si>
  <si>
    <t>57446015</t>
  </si>
  <si>
    <t>MEJIA GOMEZ GINA JUDITH</t>
  </si>
  <si>
    <t>MEJ** GOM** GIN* JUD***</t>
  </si>
  <si>
    <t>57446032</t>
  </si>
  <si>
    <t>BOBADILLO BLANCO ZORAIDA MILIANA</t>
  </si>
  <si>
    <t>BOB****** BLA*** ZOR**** MIL****</t>
  </si>
  <si>
    <t>57446040</t>
  </si>
  <si>
    <t>MENDOZA GARCIA ADRIANA MARGARITA</t>
  </si>
  <si>
    <t>MEN**** GAR*** ADR**** MAR******</t>
  </si>
  <si>
    <t>57446042</t>
  </si>
  <si>
    <t>SOTO ALVAREZ MIRELBYS ESTHER</t>
  </si>
  <si>
    <t>SOT* ALV**** MIR***** EST***</t>
  </si>
  <si>
    <t>57446052</t>
  </si>
  <si>
    <t>PERTUZ MEZA GLENYS JUDITH</t>
  </si>
  <si>
    <t>PER*** MEZ* GLE*** JUD***</t>
  </si>
  <si>
    <t>57446054</t>
  </si>
  <si>
    <t>PALACIO ROJANO ZORAYDA JUDITH</t>
  </si>
  <si>
    <t>PAL**** ROJ*** ZOR**** JUD***</t>
  </si>
  <si>
    <t>57446062</t>
  </si>
  <si>
    <t>OSPINO HERNANDEZ YANETH MARIA</t>
  </si>
  <si>
    <t>OSP*** HER****** YAN*** MAR**</t>
  </si>
  <si>
    <t>57446071</t>
  </si>
  <si>
    <t>ARIAS DELGADO YOLETH YAMILE</t>
  </si>
  <si>
    <t>ARI** DEL**** YOL*** YAM***</t>
  </si>
  <si>
    <t>57446079</t>
  </si>
  <si>
    <t>OLIVARES MANCILLA OLGA MARCELA</t>
  </si>
  <si>
    <t>OLI***** MAN***** OLG* MAR****</t>
  </si>
  <si>
    <t>57446110</t>
  </si>
  <si>
    <t>FLOREZ DE LA HOZ LUISA</t>
  </si>
  <si>
    <t>FLO*** DE LA HOZ LUI**</t>
  </si>
  <si>
    <t>57446125</t>
  </si>
  <si>
    <t>GOMEZ ZARATE DELIA INES</t>
  </si>
  <si>
    <t>GOM** ZAR*** DEL** INE*</t>
  </si>
  <si>
    <t>57446189</t>
  </si>
  <si>
    <t>MOVILLA VILLARREAL DAMARIS CELINE</t>
  </si>
  <si>
    <t>MOV**** VIL******* DAM**** CEL***</t>
  </si>
  <si>
    <t>57446213</t>
  </si>
  <si>
    <t>ZABALETA BERMUDEZ MARTINA YAQUELIN</t>
  </si>
  <si>
    <t>ZAB***** BER***** MAR**** YAQ*****</t>
  </si>
  <si>
    <t>57446226</t>
  </si>
  <si>
    <t>RUMBO MARTINEZ YAQUELIN CAROLINA</t>
  </si>
  <si>
    <t>RUM** MAR***** YAQ***** CAR*****</t>
  </si>
  <si>
    <t>57446243</t>
  </si>
  <si>
    <t>GAMARRA ANDRADE VELKI</t>
  </si>
  <si>
    <t>GAM**** AND**** VEL**</t>
  </si>
  <si>
    <t>57446253</t>
  </si>
  <si>
    <t>DE LA CRUZ HURTADO ANA BEATRIZ</t>
  </si>
  <si>
    <t>DE LA CRU* HUR**** ANA BEA****</t>
  </si>
  <si>
    <t>57446267</t>
  </si>
  <si>
    <t>MERCADO SAN JUAN FLAVIA INES</t>
  </si>
  <si>
    <t>MER**** SAN JUA* FLA*** INE*</t>
  </si>
  <si>
    <t>57446295</t>
  </si>
  <si>
    <t>PALLARES ESCORCIA IVETH DEL CARMEN</t>
  </si>
  <si>
    <t>PAL***** ESC***** IVE** DEL CAR***</t>
  </si>
  <si>
    <t>57446380</t>
  </si>
  <si>
    <t>DE LA CRUZ PEDROZA MERIDES ISABEL</t>
  </si>
  <si>
    <t>DE LA CRU* PED**** MER**** ISA***</t>
  </si>
  <si>
    <t>57446445</t>
  </si>
  <si>
    <t>MUNIVE RUIZ DAISY EUNICE</t>
  </si>
  <si>
    <t>MUN*** RUI* DAI** EUN***</t>
  </si>
  <si>
    <t>57446460</t>
  </si>
  <si>
    <t>ARAGON ROMO ANIES AMPARO</t>
  </si>
  <si>
    <t>ARA*** ROM* ANI** AMP***</t>
  </si>
  <si>
    <t>57446529</t>
  </si>
  <si>
    <t>OROZCO DE AVILA CARMEN ELENA</t>
  </si>
  <si>
    <t>ORO*** DE AVI** CAR*** ELE**</t>
  </si>
  <si>
    <t>57446554</t>
  </si>
  <si>
    <t>TERNERA ALMANZA AMINTA DEL SOCORRO</t>
  </si>
  <si>
    <t>TER**** ALM**** AMI*** DEL SOC****</t>
  </si>
  <si>
    <t>57446561</t>
  </si>
  <si>
    <t>BORREGO SERRANO MARYBY VICTORIA</t>
  </si>
  <si>
    <t>BOR**** SER**** MAR*** VIC*****</t>
  </si>
  <si>
    <t>57446588</t>
  </si>
  <si>
    <t>HERNANDEZ MALDONADO MARIA DEL ROSARIO</t>
  </si>
  <si>
    <t>HER****** MAL****** MAR** DEL ROS****</t>
  </si>
  <si>
    <t>57446597</t>
  </si>
  <si>
    <t>OROZCO TORRES DAICY ESTHER</t>
  </si>
  <si>
    <t>ORO*** TOR*** DAI** EST***</t>
  </si>
  <si>
    <t>57446656</t>
  </si>
  <si>
    <t>ACUÑA CERA DAINER YANETH</t>
  </si>
  <si>
    <t>ACU** CER* DAI*** YAN***</t>
  </si>
  <si>
    <t>57446679</t>
  </si>
  <si>
    <t>CABARCAS MATTA MARTHA CECILIA</t>
  </si>
  <si>
    <t>CAB***** MAT** MAR*** CEC****</t>
  </si>
  <si>
    <t>57446812</t>
  </si>
  <si>
    <t>GRANADOS RADA ESMERALDA ESTHER</t>
  </si>
  <si>
    <t>GRA***** RAD* ESM****** EST***</t>
  </si>
  <si>
    <t>57446814</t>
  </si>
  <si>
    <t>OROZCO BOLAÑO MARIA CONCEPCION</t>
  </si>
  <si>
    <t>ORO*** BOL*** MAR** CON*******</t>
  </si>
  <si>
    <t>57446820</t>
  </si>
  <si>
    <t>SUAREZ ARAUJO FANNY ESTER</t>
  </si>
  <si>
    <t>SUA*** ARA*** FAN** EST**</t>
  </si>
  <si>
    <t>57446827</t>
  </si>
  <si>
    <t>BARRIOS GOMEZ NAYIBIS NAYETH</t>
  </si>
  <si>
    <t>BAR**** GOM** NAY**** NAY***</t>
  </si>
  <si>
    <t>57446872</t>
  </si>
  <si>
    <t>JIMENEZ MARTINEZ NELSY SOFIA</t>
  </si>
  <si>
    <t>JIM**** MAR***** NEL** SOF**</t>
  </si>
  <si>
    <t>57446878</t>
  </si>
  <si>
    <t>DE LA HOZ CANTILLO NILVA ROSA</t>
  </si>
  <si>
    <t>DE LA HOZ CAN***** NIL** ROS*</t>
  </si>
  <si>
    <t>57446882</t>
  </si>
  <si>
    <t>SANCHEZ SALDAÑA LUZ DANY</t>
  </si>
  <si>
    <t>SAN**** SAL**** LUZ DAN*</t>
  </si>
  <si>
    <t>57446902</t>
  </si>
  <si>
    <t>LOPEZ POLO ROSIRIS ISABEL</t>
  </si>
  <si>
    <t>LOP** POL* ROS**** ISA***</t>
  </si>
  <si>
    <t>57446907</t>
  </si>
  <si>
    <t>CONTRERAS RODRIGUEZ SALLID ISABEL</t>
  </si>
  <si>
    <t>CON****** ROD****** SAL*** ISA***</t>
  </si>
  <si>
    <t>57446921</t>
  </si>
  <si>
    <t>VILLEGAS URIBE NANCY ESTHER</t>
  </si>
  <si>
    <t>VIL***** URI** NAN** EST***</t>
  </si>
  <si>
    <t>57446922</t>
  </si>
  <si>
    <t>MESTRE MALDONADO MARGARITA MARIA</t>
  </si>
  <si>
    <t>MES*** MAL****** MAR****** MAR**</t>
  </si>
  <si>
    <t>57446939</t>
  </si>
  <si>
    <t>PULGAR CALVO DENIRIS</t>
  </si>
  <si>
    <t>PUL*** CAL** DEN****</t>
  </si>
  <si>
    <t>57446949</t>
  </si>
  <si>
    <t>OROZCO PADILLA PATRICIA ELENA</t>
  </si>
  <si>
    <t>ORO*** PAD**** PAT***** ELE**</t>
  </si>
  <si>
    <t>57446999</t>
  </si>
  <si>
    <t>FERNANDEZ MARRIAGA DILIA ISABEL</t>
  </si>
  <si>
    <t>FER****** MAR***** DIL** ISA***</t>
  </si>
  <si>
    <t>57447011</t>
  </si>
  <si>
    <t>VILORIA PALOMINO MARIBEL</t>
  </si>
  <si>
    <t>VIL**** PAL***** MAR****</t>
  </si>
  <si>
    <t>57447083</t>
  </si>
  <si>
    <t>SIERRA MORON DORAIMA</t>
  </si>
  <si>
    <t>SIE*** MOR** DOR****</t>
  </si>
  <si>
    <t>57447095</t>
  </si>
  <si>
    <t>LOZADA AROCA URSULA ISABEL</t>
  </si>
  <si>
    <t>LOZ*** ARO** URS*** ISA***</t>
  </si>
  <si>
    <t>57447098</t>
  </si>
  <si>
    <t>GUTIERREZ BUELVAS YASMIN ROCINA</t>
  </si>
  <si>
    <t>GUT****** BUE**** YAS*** ROC***</t>
  </si>
  <si>
    <t>57447124</t>
  </si>
  <si>
    <t>TOVAR RADA MARIBEL DEL PILAR</t>
  </si>
  <si>
    <t>TOV** RAD* MAR**** DEL PIL**</t>
  </si>
  <si>
    <t>57447128</t>
  </si>
  <si>
    <t>DE LA CRUZ OCAMPO BELQUIS ENITH</t>
  </si>
  <si>
    <t>DE LA CRU* OCA*** BEL**** ENI**</t>
  </si>
  <si>
    <t>57447157</t>
  </si>
  <si>
    <t>SANTODOMINGO PEREIRA NORMA CECILIA</t>
  </si>
  <si>
    <t>SAN********* PER**** NOR** CEC****</t>
  </si>
  <si>
    <t>57447169</t>
  </si>
  <si>
    <t>LARA ESCORCIA ROSARIO ESTHER</t>
  </si>
  <si>
    <t>LAR* ESC***** ROS**** EST***</t>
  </si>
  <si>
    <t>57447186</t>
  </si>
  <si>
    <t>RIQUET VIZCAINO DIVIS YOLET</t>
  </si>
  <si>
    <t>RIQ*** VIZ***** DIV** YOL**</t>
  </si>
  <si>
    <t>57447189</t>
  </si>
  <si>
    <t>PABON MORALES YINIS SOLET</t>
  </si>
  <si>
    <t>PAB** MOR**** YIN** SOL**</t>
  </si>
  <si>
    <t>57447197</t>
  </si>
  <si>
    <t>PERTUZ OSPINO ROSA ISABEL</t>
  </si>
  <si>
    <t>PER*** OSP*** ROS* ISA***</t>
  </si>
  <si>
    <t>57447216</t>
  </si>
  <si>
    <t>VIZCAINO CAMACHO MARGOTH ISABEL</t>
  </si>
  <si>
    <t>VIZ***** CAM**** MAR**** ISA***</t>
  </si>
  <si>
    <t>57447224</t>
  </si>
  <si>
    <t>CARRILLO CARRILLO MARIA LUISA</t>
  </si>
  <si>
    <t>CAR***** CAR***** MAR** LUI**</t>
  </si>
  <si>
    <t>57447241</t>
  </si>
  <si>
    <t>CASTAÑEDA CONTRERAS ALIRIS YANETH</t>
  </si>
  <si>
    <t>CAS****** CON****** ALI*** YAN***</t>
  </si>
  <si>
    <t>57447249</t>
  </si>
  <si>
    <t>ARIZA BARRIOS LUZ MARI</t>
  </si>
  <si>
    <t>ARI** BAR**** LUZ MAR*</t>
  </si>
  <si>
    <t>57447283</t>
  </si>
  <si>
    <t>REYES VILLARREAL MARIA DE LOS ANGELES</t>
  </si>
  <si>
    <t>REY** VIL******* MAR** DE LOS ANG****</t>
  </si>
  <si>
    <t>57447307</t>
  </si>
  <si>
    <t>NUÑEZ PALOMINO DAYANA PATRICIA</t>
  </si>
  <si>
    <t>NUÑ** PAL***** DAY*** PAT*****</t>
  </si>
  <si>
    <t>57447308</t>
  </si>
  <si>
    <t>CARRILLO ALVAREZ DANNILYS RAQUEL</t>
  </si>
  <si>
    <t>CAR***** ALV**** DAN***** RAQ***</t>
  </si>
  <si>
    <t>57447335</t>
  </si>
  <si>
    <t>BARRIOS BOCANEGRA MARTHA ISABEL</t>
  </si>
  <si>
    <t>BAR**** BOC****** MAR*** ISA***</t>
  </si>
  <si>
    <t>57447344</t>
  </si>
  <si>
    <t>POLO GUETTE MARTINA ELOISA</t>
  </si>
  <si>
    <t>POL* GUE*** MAR**** ELO***</t>
  </si>
  <si>
    <t>57447348</t>
  </si>
  <si>
    <t>NIETO GRANADOS OLGA LUCIA</t>
  </si>
  <si>
    <t>NIE** GRA***** OLG* LUC**</t>
  </si>
  <si>
    <t>57447351</t>
  </si>
  <si>
    <t>GUTIERREZ LOPEZ INGRIS MARIA</t>
  </si>
  <si>
    <t>GUT****** LOP** ING*** MAR**</t>
  </si>
  <si>
    <t>57447360</t>
  </si>
  <si>
    <t>NAVARRO NAVARRO ESPERANZA</t>
  </si>
  <si>
    <t>NAV**** NAV**** ESP******</t>
  </si>
  <si>
    <t>57447368</t>
  </si>
  <si>
    <t>DE LA HOZ MARTINEZ MARTHA LUZ</t>
  </si>
  <si>
    <t>DE LA HOZ MAR***** MAR*** LUZ</t>
  </si>
  <si>
    <t>57447369</t>
  </si>
  <si>
    <t>CANTILLO CORVACHO NAYIDIS ESTER</t>
  </si>
  <si>
    <t>CAN***** COR***** NAY**** EST**</t>
  </si>
  <si>
    <t>57447411</t>
  </si>
  <si>
    <t>DE LA CRUZ MANGA IRIS DALIA</t>
  </si>
  <si>
    <t>DE LA CRU* MAN** IRI* DAL**</t>
  </si>
  <si>
    <t>57447423</t>
  </si>
  <si>
    <t>DE LA HOZ CANTILLO ALBENIS JUDITH</t>
  </si>
  <si>
    <t>DE LA HOZ CAN***** ALB**** JUD***</t>
  </si>
  <si>
    <t>57447477</t>
  </si>
  <si>
    <t>SANABRIA GOMEZ MARGARITA</t>
  </si>
  <si>
    <t>SAN***** GOM** MAR******</t>
  </si>
  <si>
    <t>57447501</t>
  </si>
  <si>
    <t>MONTAÑO CONSTANTE PIEDAD MARIA</t>
  </si>
  <si>
    <t>MON**** CON****** PIE*** MAR**</t>
  </si>
  <si>
    <t>57447507</t>
  </si>
  <si>
    <t>CASTRO BOLAÑO ARLETH</t>
  </si>
  <si>
    <t>CAS*** BOL*** ARL***</t>
  </si>
  <si>
    <t>57447588</t>
  </si>
  <si>
    <t>MARTINEZ MEDINA LUISA PATRICIA</t>
  </si>
  <si>
    <t>MAR***** MED*** LUI** PAT*****</t>
  </si>
  <si>
    <t>57447589</t>
  </si>
  <si>
    <t>MONTERO HERRERA VIALIS ESTHER</t>
  </si>
  <si>
    <t>MON**** HER**** VIA*** EST***</t>
  </si>
  <si>
    <t>57447625</t>
  </si>
  <si>
    <t>GALINDO MARTINEZ LORENCITA DEL CARMEN</t>
  </si>
  <si>
    <t>GAL**** MAR***** LOR****** DEL CAR***</t>
  </si>
  <si>
    <t>57447627</t>
  </si>
  <si>
    <t>MARQUEZ NAVARRO LILIANA SOFIA</t>
  </si>
  <si>
    <t>MAR**** NAV**** LIL**** SOF**</t>
  </si>
  <si>
    <t>57447648</t>
  </si>
  <si>
    <t>BLANCO MANJARRES INGRIS ESTHER</t>
  </si>
  <si>
    <t>BLA*** MAN****** ING*** EST***</t>
  </si>
  <si>
    <t>57447659</t>
  </si>
  <si>
    <t>BERBEN CORDOBA MONICA ESTHER</t>
  </si>
  <si>
    <t>BER*** COR**** MON*** EST***</t>
  </si>
  <si>
    <t>57447826</t>
  </si>
  <si>
    <t>FLORIAN RODRIGUEZ JEANNETTE DEL PILAR</t>
  </si>
  <si>
    <t>FLO**** ROD****** JEA****** DEL PIL**</t>
  </si>
  <si>
    <t>57447839</t>
  </si>
  <si>
    <t>GUETTE VEGA YUDIS JUDIT</t>
  </si>
  <si>
    <t>GUE*** VEG* YUD** JUD**</t>
  </si>
  <si>
    <t>57447842</t>
  </si>
  <si>
    <t>GUERRERO TORREGROSA MARIA DEL CARMEN</t>
  </si>
  <si>
    <t>GUE***** TOR******* MAR** DEL CAR***</t>
  </si>
  <si>
    <t>57447853</t>
  </si>
  <si>
    <t>MERCADO SAN JUAN OLGA MARINA</t>
  </si>
  <si>
    <t>MER**** SAN JUA* OLG* MAR***</t>
  </si>
  <si>
    <t>57447858</t>
  </si>
  <si>
    <t>PEREZ MOSQUERA CLARIBEL ANTONIA</t>
  </si>
  <si>
    <t>PER** MOS***** CLA***** ANT****</t>
  </si>
  <si>
    <t>57447873</t>
  </si>
  <si>
    <t>OSPINO TORRES AMALVIS</t>
  </si>
  <si>
    <t>OSP*** TOR*** AMA****</t>
  </si>
  <si>
    <t>57447908</t>
  </si>
  <si>
    <t>DE LA ROSA ESPEJO MONICA MARTINA</t>
  </si>
  <si>
    <t>DE LA ROS* ESP*** MON*** MAR****</t>
  </si>
  <si>
    <t>57447963</t>
  </si>
  <si>
    <t>BARROS SIMANCA KELIS MARIA</t>
  </si>
  <si>
    <t>BAR*** SIM**** KEL** MAR**</t>
  </si>
  <si>
    <t>57447978</t>
  </si>
  <si>
    <t>MADRID HERNANDEZ MARTHA CECILIA</t>
  </si>
  <si>
    <t>MAD*** HER****** MAR*** CEC****</t>
  </si>
  <si>
    <t>57447981</t>
  </si>
  <si>
    <t>BARRIOS MARRIAGA OLARIS MARIA</t>
  </si>
  <si>
    <t>BAR**** MAR***** OLA*** MAR**</t>
  </si>
  <si>
    <t>57448002</t>
  </si>
  <si>
    <t>GARCIA GUERRERO MARTHA LEONOR</t>
  </si>
  <si>
    <t>GAR*** GUE***** MAR*** LEO***</t>
  </si>
  <si>
    <t>57448006</t>
  </si>
  <si>
    <t>PEREZ MORENO YERLINET</t>
  </si>
  <si>
    <t>PER** MOR*** YER*****</t>
  </si>
  <si>
    <t>57448035</t>
  </si>
  <si>
    <t>OROZCO VIZCAINO MONICA JUDITH</t>
  </si>
  <si>
    <t>ORO*** VIZ***** MON*** JUD***</t>
  </si>
  <si>
    <t>57448157</t>
  </si>
  <si>
    <t>BOLAÑO TAPIA NEIVIS STELLA</t>
  </si>
  <si>
    <t>BOL*** TAP** NEI*** STE***</t>
  </si>
  <si>
    <t>57448219</t>
  </si>
  <si>
    <t>CORDOBA MERIÑO SILVIA ROSA</t>
  </si>
  <si>
    <t>COR**** MER*** SIL*** ROS*</t>
  </si>
  <si>
    <t>57448280</t>
  </si>
  <si>
    <t>HENRIQUEZ ARIAS GENNIS ELENA</t>
  </si>
  <si>
    <t>HEN****** ARI** GEN*** ELE**</t>
  </si>
  <si>
    <t>57448463</t>
  </si>
  <si>
    <t>GAMARRA DOMINGUEZ MARIA TEODOSIA</t>
  </si>
  <si>
    <t>GAM**** DOM****** MAR** TEO*****</t>
  </si>
  <si>
    <t>57448467</t>
  </si>
  <si>
    <t>GUTIERREZ CANTILLO FARIDES ZENITH</t>
  </si>
  <si>
    <t>GUT****** CAN***** FAR**** ZEN***</t>
  </si>
  <si>
    <t>57448482</t>
  </si>
  <si>
    <t>BARROS SANCHEZ MARGARITA LUISA</t>
  </si>
  <si>
    <t>BAR*** SAN**** MAR****** LUI**</t>
  </si>
  <si>
    <t>57448528</t>
  </si>
  <si>
    <t>BOLAÑO PEREZ DENNYS GRACIELA</t>
  </si>
  <si>
    <t>BOL*** PER** DEN*** GRA*****</t>
  </si>
  <si>
    <t>57448535</t>
  </si>
  <si>
    <t>MALDONADO CABARCAS AILIS ROCIO</t>
  </si>
  <si>
    <t>MAL****** CAB***** AIL** ROC**</t>
  </si>
  <si>
    <t>57448558</t>
  </si>
  <si>
    <t>ZULETA MORALES LEDIS VIRGINIA</t>
  </si>
  <si>
    <t>ZUL*** MOR**** LED** VIR*****</t>
  </si>
  <si>
    <t>57448573</t>
  </si>
  <si>
    <t>MARTINEZ SAMPER DINA LUZ</t>
  </si>
  <si>
    <t>MAR***** SAM*** DIN* LUZ</t>
  </si>
  <si>
    <t>57448583</t>
  </si>
  <si>
    <t>PERTUZ ANGULO FANNY ESTHER</t>
  </si>
  <si>
    <t>PER*** ANG*** FAN** EST***</t>
  </si>
  <si>
    <t>57448770</t>
  </si>
  <si>
    <t>VALLEJO MERIÑO ERLIE</t>
  </si>
  <si>
    <t>VAL**** MER*** ERL**</t>
  </si>
  <si>
    <t>57448805</t>
  </si>
  <si>
    <t>VARGAS ROJANO LUZ ELANA</t>
  </si>
  <si>
    <t>VAR*** ROJ*** LUZ ELA**</t>
  </si>
  <si>
    <t>57448880</t>
  </si>
  <si>
    <t>HEREIRA ACUÑA YASIRA JAEL</t>
  </si>
  <si>
    <t>HER**** ACU** YAS*** JAE*</t>
  </si>
  <si>
    <t>57448947</t>
  </si>
  <si>
    <t>ROJAS TORREGROSA YUDYS CENITH</t>
  </si>
  <si>
    <t>ROJ** TOR******* YUD** CEN***</t>
  </si>
  <si>
    <t>57449012</t>
  </si>
  <si>
    <t>MORALES ORTEGA LUZ ZENITH</t>
  </si>
  <si>
    <t>MOR**** ORT*** LUZ ZEN***</t>
  </si>
  <si>
    <t>57449087</t>
  </si>
  <si>
    <t>MARTINEZ CANTILLO CARMEN ROSA</t>
  </si>
  <si>
    <t>MAR***** CAN***** CAR*** ROS*</t>
  </si>
  <si>
    <t>57449103</t>
  </si>
  <si>
    <t>GONZALEZ CANTILLO BLANCA NOHEMI</t>
  </si>
  <si>
    <t>GON***** CAN***** BLA*** NOH***</t>
  </si>
  <si>
    <t>57449224</t>
  </si>
  <si>
    <t>SARMIENTO CONEO OLGA BEATRIZ</t>
  </si>
  <si>
    <t>SAR****** CON** OLG* BEA****</t>
  </si>
  <si>
    <t>57449323</t>
  </si>
  <si>
    <t>MOVILLA VILLARREAL KATERINE</t>
  </si>
  <si>
    <t>MOV**** VIL******* KAT*****</t>
  </si>
  <si>
    <t>57449429</t>
  </si>
  <si>
    <t>BARRAZA BARRAZA SANDRA PATRICIA</t>
  </si>
  <si>
    <t>BAR**** BAR**** SAN*** PAT*****</t>
  </si>
  <si>
    <t>57449437</t>
  </si>
  <si>
    <t>MACHADO LOPEZ DOLORES MARIA</t>
  </si>
  <si>
    <t>MAC**** LOP** DOL**** MAR**</t>
  </si>
  <si>
    <t>57449455</t>
  </si>
  <si>
    <t>RUDAS PALLARES BERENID SUGEY</t>
  </si>
  <si>
    <t>RUD** PAL***** BER**** SUG**</t>
  </si>
  <si>
    <t>57449516</t>
  </si>
  <si>
    <t>POLO PACHECO ARELYS LILIANA</t>
  </si>
  <si>
    <t>POL* PAC**** ARE*** LIL****</t>
  </si>
  <si>
    <t>57449623</t>
  </si>
  <si>
    <t>PEDRAZA CLAROS YESMIT DAMARIS</t>
  </si>
  <si>
    <t>PED**** CLA*** YES*** DAM****</t>
  </si>
  <si>
    <t>57449704</t>
  </si>
  <si>
    <t>SOSA ESCORCIA ROCIO DE JESUS</t>
  </si>
  <si>
    <t>SOS* ESC***** ROC** DE JES**</t>
  </si>
  <si>
    <t>57449731</t>
  </si>
  <si>
    <t>CORDOBA MERIÑO ROSA ANGELA</t>
  </si>
  <si>
    <t>COR**** MER*** ROS* ANG***</t>
  </si>
  <si>
    <t>57449823</t>
  </si>
  <si>
    <t>VILLAMIL GARCIA CLEMENTINA MARIA</t>
  </si>
  <si>
    <t>VIL***** GAR*** CLE******* MAR**</t>
  </si>
  <si>
    <t>57449856</t>
  </si>
  <si>
    <t>ROJANO PEREZ DAMARIS</t>
  </si>
  <si>
    <t>ROJ*** PER** DAM****</t>
  </si>
  <si>
    <t>57449861</t>
  </si>
  <si>
    <t>YEPES DE LEON LIANA CONSUELO</t>
  </si>
  <si>
    <t>YEP** DE LEO* LIA** CON*****</t>
  </si>
  <si>
    <t>57450071</t>
  </si>
  <si>
    <t>GARCIA MEJIA FLOR MARIA</t>
  </si>
  <si>
    <t>GAR*** MEJ** FLO* MAR**</t>
  </si>
  <si>
    <t>57450101</t>
  </si>
  <si>
    <t>SANCHEZ NAVARRO MARIBEL</t>
  </si>
  <si>
    <t>SAN**** NAV**** MAR****</t>
  </si>
  <si>
    <t>57450114</t>
  </si>
  <si>
    <t>CONTRERAS DE LA HOZ LIANA MABEL</t>
  </si>
  <si>
    <t>CON****** DE LA HOZ LIA** MAB**</t>
  </si>
  <si>
    <t>57450134</t>
  </si>
  <si>
    <t>GUERRA AROCHA ELEIDA MARINA</t>
  </si>
  <si>
    <t>GUE*** ARO*** ELE*** MAR***</t>
  </si>
  <si>
    <t>57450228</t>
  </si>
  <si>
    <t>PALMERA REALES NELVIS ESTHER</t>
  </si>
  <si>
    <t>PAL**** REA*** NEL*** EST***</t>
  </si>
  <si>
    <t>57450354</t>
  </si>
  <si>
    <t>YUBRAN BERBEN YASSIRA DE JESUS</t>
  </si>
  <si>
    <t>YUB*** BER*** YAS**** DE JES**</t>
  </si>
  <si>
    <t>57450585</t>
  </si>
  <si>
    <t>LOZANO MARQUEZ NORMA LUZ</t>
  </si>
  <si>
    <t>LOZ*** MAR**** NOR** LUZ</t>
  </si>
  <si>
    <t>57450652</t>
  </si>
  <si>
    <t>JARABA GONZALEZ DIGNA MARIA</t>
  </si>
  <si>
    <t>JAR*** GON***** DIG** MAR**</t>
  </si>
  <si>
    <t>57450656</t>
  </si>
  <si>
    <t>IBARRA CABALLERO ANA LUZ</t>
  </si>
  <si>
    <t>IBA*** CAB****** ANA LUZ</t>
  </si>
  <si>
    <t>57450696</t>
  </si>
  <si>
    <t>OLAYA CORREA AMALIA MERCEDES</t>
  </si>
  <si>
    <t>OLA** COR*** AMA*** MER*****</t>
  </si>
  <si>
    <t>57450735</t>
  </si>
  <si>
    <t>GARCIA PEREZ ANA MARIA</t>
  </si>
  <si>
    <t>GAR*** PER** ANA MAR**</t>
  </si>
  <si>
    <t>57450742</t>
  </si>
  <si>
    <t>CANTILLO MANCILLA NEVIS SAMARA</t>
  </si>
  <si>
    <t>CAN***** MAN***** NEV** SAM***</t>
  </si>
  <si>
    <t>57450781</t>
  </si>
  <si>
    <t>BERMUDEZ CANTILLO CARMEN ELENA</t>
  </si>
  <si>
    <t>BER***** CAN***** CAR*** ELE**</t>
  </si>
  <si>
    <t>57450824</t>
  </si>
  <si>
    <t>GARCIA CARRILLO MAGALY ESTHER</t>
  </si>
  <si>
    <t>GAR*** CAR***** MAG*** EST***</t>
  </si>
  <si>
    <t>57450853</t>
  </si>
  <si>
    <t>RODRIGUEZ LOZADA DINA LUZ</t>
  </si>
  <si>
    <t>ROD****** LOZ*** DIN* LUZ</t>
  </si>
  <si>
    <t>57450885</t>
  </si>
  <si>
    <t>BRIEVA XIOMARA</t>
  </si>
  <si>
    <t>BRI*** XIO****</t>
  </si>
  <si>
    <t>57450940</t>
  </si>
  <si>
    <t>MONTERO HERRERA SENETH MARIA</t>
  </si>
  <si>
    <t>MON**** HER**** SEN*** MAR**</t>
  </si>
  <si>
    <t>57452612</t>
  </si>
  <si>
    <t>LEAL CERVANTES SANDRA LILIANA</t>
  </si>
  <si>
    <t>LEA* CER****** SAN*** LIL****</t>
  </si>
  <si>
    <t>57452620</t>
  </si>
  <si>
    <t>SARMIENTO MANJARRES TANIA PAOLA</t>
  </si>
  <si>
    <t>SAR****** MAN****** TAN** PAO**</t>
  </si>
  <si>
    <t>57452629</t>
  </si>
  <si>
    <t>MARIN VISBAL FIORELLA TATIANA</t>
  </si>
  <si>
    <t>MAR** VIS*** FIO***** TAT****</t>
  </si>
  <si>
    <t>57455449</t>
  </si>
  <si>
    <t>PAREJO GONZALEZ CLARA IBETH</t>
  </si>
  <si>
    <t>PAR*** GON***** CLA** IBE**</t>
  </si>
  <si>
    <t>57455480</t>
  </si>
  <si>
    <t>YEPES MARRIAGA MILENA DEL CARMEN</t>
  </si>
  <si>
    <t>YEP** MAR***** MIL*** DEL CAR***</t>
  </si>
  <si>
    <t>57455487</t>
  </si>
  <si>
    <t>MENDOZA GUTIERREZ CLAUDIA ANTONIA</t>
  </si>
  <si>
    <t>MEN**** GUT****** CLA**** ANT****</t>
  </si>
  <si>
    <t>57455624</t>
  </si>
  <si>
    <t>ROBLEDO GAMERO ANGELICA DE JESUS</t>
  </si>
  <si>
    <t>ROB**** GAM*** ANG***** DE JES**</t>
  </si>
  <si>
    <t>57456181</t>
  </si>
  <si>
    <t>GUTIERREZ VALENCIA ELDIS</t>
  </si>
  <si>
    <t>GUT****** VAL***** ELD**</t>
  </si>
  <si>
    <t>57456586</t>
  </si>
  <si>
    <t>VIVANCO NAVARRO AIDA LUZ</t>
  </si>
  <si>
    <t>VIV**** NAV**** AID* LUZ</t>
  </si>
  <si>
    <t>57456815</t>
  </si>
  <si>
    <t>MEJIA SUAREZ CARMEN ELENA</t>
  </si>
  <si>
    <t>MEJ** SUA*** CAR*** ELE**</t>
  </si>
  <si>
    <t>57460437</t>
  </si>
  <si>
    <t>ALTAHONA TRAPERO ILEANA PATRICIA</t>
  </si>
  <si>
    <t>ALT***** TRA**** ILE*** PAT*****</t>
  </si>
  <si>
    <t>57460505</t>
  </si>
  <si>
    <t>RAMIREZ PACHECO FARINIA JOHANA</t>
  </si>
  <si>
    <t>RAM**** PAC**** FAR**** JOH***</t>
  </si>
  <si>
    <t>57460696</t>
  </si>
  <si>
    <t>RAMOS SULBARAN KELLYS MARGARITA</t>
  </si>
  <si>
    <t>RAM** SUL***** KEL*** MAR******</t>
  </si>
  <si>
    <t>57460774</t>
  </si>
  <si>
    <t>ANDRADES LARIOS MARIA CRISTINA</t>
  </si>
  <si>
    <t>AND***** LAR*** MAR** CRI*****</t>
  </si>
  <si>
    <t>57461082</t>
  </si>
  <si>
    <t>TEJEDA JIMENEZ VIVIANA JOSEFA</t>
  </si>
  <si>
    <t>TEJ*** JIM**** VIV**** JOS***</t>
  </si>
  <si>
    <t>57461229</t>
  </si>
  <si>
    <t>ANDRADE REYES LENA MERCEDES</t>
  </si>
  <si>
    <t>AND**** REY** LEN* MER*****</t>
  </si>
  <si>
    <t>57461302</t>
  </si>
  <si>
    <t>CASTILLO SOLENO SANDRA MILENA</t>
  </si>
  <si>
    <t>CAS***** SOL*** SAN*** MIL***</t>
  </si>
  <si>
    <t>57461725</t>
  </si>
  <si>
    <t>CANALES CABALLERO BELCY ESTHER</t>
  </si>
  <si>
    <t>CAN**** CAB****** BEL** EST***</t>
  </si>
  <si>
    <t>57461787</t>
  </si>
  <si>
    <t>OSPINO BUSTAMANTE OLGA MERCEDES</t>
  </si>
  <si>
    <t>OSP*** BUS******* OLG* MER*****</t>
  </si>
  <si>
    <t>57461822</t>
  </si>
  <si>
    <t>DURAN VARELA YINA PAOLA</t>
  </si>
  <si>
    <t>DUR** VAR*** YIN* PAO**</t>
  </si>
  <si>
    <t>57461892</t>
  </si>
  <si>
    <t>MARTINEZ ORELLANO DELBY JOHANNA</t>
  </si>
  <si>
    <t>MAR***** ORE***** DEL** JOH****</t>
  </si>
  <si>
    <t>57462288</t>
  </si>
  <si>
    <t>APREZA RUDAS SARYNES SOSLAY</t>
  </si>
  <si>
    <t>APR*** RUD** SAR**** SOS***</t>
  </si>
  <si>
    <t>57463128</t>
  </si>
  <si>
    <t>GAMARRA QUINTO ALMA ROSA</t>
  </si>
  <si>
    <t>GAM**** QUI*** ALM* ROS*</t>
  </si>
  <si>
    <t>57463289</t>
  </si>
  <si>
    <t>THERAN NOGUERA SILVANA PATRICIA</t>
  </si>
  <si>
    <t>THE*** NOG**** SIL**** PAT*****</t>
  </si>
  <si>
    <t>57463356</t>
  </si>
  <si>
    <t>MARTINEZ ROSENTIEHL DARLIS MARIA</t>
  </si>
  <si>
    <t>MAR***** ROS******* DAR*** MAR**</t>
  </si>
  <si>
    <t>57463384</t>
  </si>
  <si>
    <t>MUÑOZ MONTENEGRO VANESSA PATRICIA</t>
  </si>
  <si>
    <t>MUÑ** MON******* VAN**** PAT*****</t>
  </si>
  <si>
    <t>57463514</t>
  </si>
  <si>
    <t>MONTERO VARELA LORENA PATRICIA</t>
  </si>
  <si>
    <t>MON**** VAR*** LOR*** PAT*****</t>
  </si>
  <si>
    <t>57463663</t>
  </si>
  <si>
    <t>ROJAS RADA SONIA ISABEL</t>
  </si>
  <si>
    <t>ROJ** RAD* SON** ISA***</t>
  </si>
  <si>
    <t>57463804</t>
  </si>
  <si>
    <t>ALVIS TORRES KIRA</t>
  </si>
  <si>
    <t>ALV** TOR*** KIR*</t>
  </si>
  <si>
    <t>57464259</t>
  </si>
  <si>
    <t>COQUIES PACHECO ELVIRA ROSA</t>
  </si>
  <si>
    <t>COQ**** PAC**** ELV*** ROS*</t>
  </si>
  <si>
    <t>57464428</t>
  </si>
  <si>
    <t>BUENDIA SANCHEZ ANA KARINA</t>
  </si>
  <si>
    <t>BUE**** SAN**** ANA KAR***</t>
  </si>
  <si>
    <t>57465442</t>
  </si>
  <si>
    <t>GARCIA MELENDEZ KATERINE ISABEL</t>
  </si>
  <si>
    <t>GAR*** MEL***** KAT***** ISA***</t>
  </si>
  <si>
    <t>57465858</t>
  </si>
  <si>
    <t>DAVILA ALTAMAR ELOISA ESTHER</t>
  </si>
  <si>
    <t>DAV*** ALT**** ELO*** EST***</t>
  </si>
  <si>
    <t>57466425</t>
  </si>
  <si>
    <t>AMARIS VILLALBA NELLY SOFIA</t>
  </si>
  <si>
    <t>AMA*** VIL***** NEL** SOF**</t>
  </si>
  <si>
    <t>57466430</t>
  </si>
  <si>
    <t>HUERTAS LINARES EILEM MARGARITA</t>
  </si>
  <si>
    <t>HUE**** LIN**** EIL** MAR******</t>
  </si>
  <si>
    <t>57466579</t>
  </si>
  <si>
    <t>PADILLA JIMENEZ KATHERINE PAOLA</t>
  </si>
  <si>
    <t>PAD**** JIM**** KAT****** PAO**</t>
  </si>
  <si>
    <t>57466875</t>
  </si>
  <si>
    <t>ROJANO PADILLA SELENIA MARGARITA</t>
  </si>
  <si>
    <t>ROJ*** PAD**** SEL**** MAR******</t>
  </si>
  <si>
    <t>57466929</t>
  </si>
  <si>
    <t>RETAMOZO OBREGON NORMA MILENA</t>
  </si>
  <si>
    <t>RET***** OBR**** NOR** MIL***</t>
  </si>
  <si>
    <t>60255760</t>
  </si>
  <si>
    <t>ALFARO LOPEZ DERLY DEL CARMEN</t>
  </si>
  <si>
    <t>ALF*** LOP** DER** DEL CAR***</t>
  </si>
  <si>
    <t>60255899</t>
  </si>
  <si>
    <t>VILLAFAÑE PEINADO SOSLENY DE JESUS</t>
  </si>
  <si>
    <t>VIL****** PEI**** SOS**** DE JES**</t>
  </si>
  <si>
    <t>60257206</t>
  </si>
  <si>
    <t>VILLAFAÑE PEINADO ONIRIS MERCEDES</t>
  </si>
  <si>
    <t>VIL****** PEI**** ONI*** MER*****</t>
  </si>
  <si>
    <t>60264300</t>
  </si>
  <si>
    <t>ABDALA OSPINO YAZMIN</t>
  </si>
  <si>
    <t>ABD*** OSP*** YAZ***</t>
  </si>
  <si>
    <t>60264439</t>
  </si>
  <si>
    <t>HERNANDEZ GARCIA YELIXA</t>
  </si>
  <si>
    <t>HER****** GAR*** YEL***</t>
  </si>
  <si>
    <t>60265522</t>
  </si>
  <si>
    <t>HERNANDEZ GARCIA IBIS HELENA</t>
  </si>
  <si>
    <t>HER****** GAR*** IBI* HEL***</t>
  </si>
  <si>
    <t>60266231</t>
  </si>
  <si>
    <t>BASILIO CASTILLO YESLYN PATRICIA</t>
  </si>
  <si>
    <t>BAS**** CAS***** YES*** PAT*****</t>
  </si>
  <si>
    <t>60267325</t>
  </si>
  <si>
    <t>CALDERON BROCHERO MARIA LILIA</t>
  </si>
  <si>
    <t>CAL***** BRO***** MAR** LIL**</t>
  </si>
  <si>
    <t>60267518</t>
  </si>
  <si>
    <t>ROZO MALDONADO YERITZA MARINA</t>
  </si>
  <si>
    <t>ROZ* MAL****** YER**** MAR***</t>
  </si>
  <si>
    <t>60283904</t>
  </si>
  <si>
    <t>ANILLO TOVAR CELINA</t>
  </si>
  <si>
    <t>ANI*** TOV** CEL***</t>
  </si>
  <si>
    <t>60286317</t>
  </si>
  <si>
    <t>JIMENEZ DELGADO MAGALIS DEL CARMEN</t>
  </si>
  <si>
    <t>JIM**** DEL**** MAG**** DEL CAR***</t>
  </si>
  <si>
    <t>60377185</t>
  </si>
  <si>
    <t>PLATA LEONES MARGARITA ROSA</t>
  </si>
  <si>
    <t>PLA** LEO*** MAR****** ROS*</t>
  </si>
  <si>
    <t>60395682</t>
  </si>
  <si>
    <t>CASTRO HERNANDEZ HEGLETH BERENICE</t>
  </si>
  <si>
    <t>CAS*** HER****** HEG**** BER*****</t>
  </si>
  <si>
    <t>60449844</t>
  </si>
  <si>
    <t>RIZO MENDOZA SOHORCHY</t>
  </si>
  <si>
    <t>RIZ* MEN**** SOH*****</t>
  </si>
  <si>
    <t>63279083</t>
  </si>
  <si>
    <t>OVIEDO CAMPO IVELICE ANTONIA</t>
  </si>
  <si>
    <t>OVI*** CAM** IVE**** ANT****</t>
  </si>
  <si>
    <t>63367537</t>
  </si>
  <si>
    <t>SEQUEA LARA NORALBA</t>
  </si>
  <si>
    <t>SEQ*** LAR* NOR****</t>
  </si>
  <si>
    <t>63454808</t>
  </si>
  <si>
    <t>PEREZ BANDERA YOMAIRA</t>
  </si>
  <si>
    <t>PER** BAN**** YOM****</t>
  </si>
  <si>
    <t>63457968</t>
  </si>
  <si>
    <t>PATIÑO PABON NELSY BEATRIZ</t>
  </si>
  <si>
    <t>PAT*** PAB** NEL** BEA****</t>
  </si>
  <si>
    <t>63459117</t>
  </si>
  <si>
    <t>ALVARADO PEREZ EVELINA</t>
  </si>
  <si>
    <t>ALV***** PER** EVE****</t>
  </si>
  <si>
    <t>63463491</t>
  </si>
  <si>
    <t>DIAZ VILLARREAL LUZ ENITH</t>
  </si>
  <si>
    <t>DIA* VIL******* LUZ ENI**</t>
  </si>
  <si>
    <t>63490701</t>
  </si>
  <si>
    <t>MEJIA BALLESTEROS LILIANA PATRICIA</t>
  </si>
  <si>
    <t>MEJ** BAL******** LIL**** PAT*****</t>
  </si>
  <si>
    <t>63534084</t>
  </si>
  <si>
    <t>G¿MEZ FL¿REZ NAYIBE CAROLINA</t>
  </si>
  <si>
    <t>G¿M** FL¿*** NAY*** CAR*****</t>
  </si>
  <si>
    <t>63557751</t>
  </si>
  <si>
    <t>AGUILAR IMITOLA EYLEEN MARCELA</t>
  </si>
  <si>
    <t>AGU**** IMI**** EYL*** MAR****</t>
  </si>
  <si>
    <t>64450021</t>
  </si>
  <si>
    <t>PULGAR BARONE YANETH ESTHER</t>
  </si>
  <si>
    <t>PUL*** BAR*** YAN*** EST***</t>
  </si>
  <si>
    <t>64477195</t>
  </si>
  <si>
    <t>RIVERA HERAZO INDIRA JOSEFA</t>
  </si>
  <si>
    <t>RIV*** HER*** IND*** JOS***</t>
  </si>
  <si>
    <t>64480255</t>
  </si>
  <si>
    <t>PEREZ QUIROZ MONICA PATRICIA</t>
  </si>
  <si>
    <t>PER** QUI*** MON*** PAT*****</t>
  </si>
  <si>
    <t>64516406</t>
  </si>
  <si>
    <t>CAMACHO VERGARA ORLEDIS</t>
  </si>
  <si>
    <t>CAM**** VER**** ORL****</t>
  </si>
  <si>
    <t>64543907</t>
  </si>
  <si>
    <t>MEDINA OVIEDO ESPERANZA IRIS</t>
  </si>
  <si>
    <t>MED*** OVI*** ESP****** IRI*</t>
  </si>
  <si>
    <t>64546610</t>
  </si>
  <si>
    <t>GIL VALDERRAMA YANETH DEL CARMEN</t>
  </si>
  <si>
    <t>GIL VAL******* YAN*** DEL CAR***</t>
  </si>
  <si>
    <t>64547823</t>
  </si>
  <si>
    <t>NUÑEZ HERNANDEZ LUZ MARINA</t>
  </si>
  <si>
    <t>NUÑ** HER****** LUZ MAR***</t>
  </si>
  <si>
    <t>64552782</t>
  </si>
  <si>
    <t>NUÑEZ HERNANDEZ MARTHA INES</t>
  </si>
  <si>
    <t>NUÑ** HER****** MAR*** INE*</t>
  </si>
  <si>
    <t>64554644</t>
  </si>
  <si>
    <t>FERNANDEZ RODRIGUEZ OLGA YAMILE</t>
  </si>
  <si>
    <t>FER****** ROD****** OLG* YAM***</t>
  </si>
  <si>
    <t>64557043</t>
  </si>
  <si>
    <t>MEDINA OVIEDO EBLIN ESTHER</t>
  </si>
  <si>
    <t>MED*** OVI*** EBL** EST***</t>
  </si>
  <si>
    <t>64559836</t>
  </si>
  <si>
    <t>BUELVAS SANTIZ YENIS IBETH</t>
  </si>
  <si>
    <t>BUE**** SAN*** YEN** IBE**</t>
  </si>
  <si>
    <t>64565102</t>
  </si>
  <si>
    <t>MARTINEZ SIERRA MARELYS</t>
  </si>
  <si>
    <t>MAR***** SIE*** MAR****</t>
  </si>
  <si>
    <t>64570612</t>
  </si>
  <si>
    <t>GOMEZ PADILLA ESTEBINA</t>
  </si>
  <si>
    <t>GOM** PAD**** EST*****</t>
  </si>
  <si>
    <t>64577628</t>
  </si>
  <si>
    <t>PATERNINA ALVAREZ CLAUDIA INES</t>
  </si>
  <si>
    <t>PAT****** ALV**** CLA**** INE*</t>
  </si>
  <si>
    <t>64583412</t>
  </si>
  <si>
    <t>MARTINEZ CALLE MIRALDA PATRICIA</t>
  </si>
  <si>
    <t>MAR***** CAL** MIR**** PAT*****</t>
  </si>
  <si>
    <t>64586361</t>
  </si>
  <si>
    <t>GONZALEZ MURILLO TULIA MARIA</t>
  </si>
  <si>
    <t>GON***** MUR**** TUL** MAR**</t>
  </si>
  <si>
    <t>64701638</t>
  </si>
  <si>
    <t>ORTEGA CONTRERAS KELY JOHANA</t>
  </si>
  <si>
    <t>ORT*** CON****** KEL* JOH***</t>
  </si>
  <si>
    <t>64742877</t>
  </si>
  <si>
    <t>DIAZ SANTOS SANDRA MARIA</t>
  </si>
  <si>
    <t>DIA* SAN*** SAN*** MAR**</t>
  </si>
  <si>
    <t>64749600</t>
  </si>
  <si>
    <t>SIERRA LOPEZ SANDY ESTHER</t>
  </si>
  <si>
    <t>SIE*** LOP** SAN** EST***</t>
  </si>
  <si>
    <t>64866076</t>
  </si>
  <si>
    <t>ALDANA ARRIETA NANCY ELVIRA</t>
  </si>
  <si>
    <t>ALD*** ARR**** NAN** ELV***</t>
  </si>
  <si>
    <t>64866997</t>
  </si>
  <si>
    <t>MIRANDA MEZA BERTA INES</t>
  </si>
  <si>
    <t>MIR**** MEZ* BER** INE*</t>
  </si>
  <si>
    <t>64869259</t>
  </si>
  <si>
    <t>VERGARA HERNANDEZ LAUREN INES</t>
  </si>
  <si>
    <t>VER**** HER****** LAU*** INE*</t>
  </si>
  <si>
    <t>64870290</t>
  </si>
  <si>
    <t>LARA MARTINEZ LUZ MERY</t>
  </si>
  <si>
    <t>LAR* MAR***** LUZ MER*</t>
  </si>
  <si>
    <t>69070346</t>
  </si>
  <si>
    <t>PALACIOS PALACIOS LUZ ENEIDA</t>
  </si>
  <si>
    <t>PAL***** PAL***** LUZ ENE***</t>
  </si>
  <si>
    <t>71186365</t>
  </si>
  <si>
    <t>JIMENEZ ORTIZ HECTOR ORLANDO</t>
  </si>
  <si>
    <t>JIM**** ORT** HEC*** ORL****</t>
  </si>
  <si>
    <t>71975582</t>
  </si>
  <si>
    <t>GUERRERO RODRIGUEZ SANTIAGO</t>
  </si>
  <si>
    <t>GUE***** ROD****** SAN*****</t>
  </si>
  <si>
    <t>72000700</t>
  </si>
  <si>
    <t>FAZZOLARI POSTERARO GENNARO</t>
  </si>
  <si>
    <t>FAZ****** POS****** GEN****</t>
  </si>
  <si>
    <t>72002827</t>
  </si>
  <si>
    <t>MERCADO DAVILA ARLEZ</t>
  </si>
  <si>
    <t>MER**** DAV*** ARL**</t>
  </si>
  <si>
    <t>72002964</t>
  </si>
  <si>
    <t>TORO VALENCIA ALEJANDRO ALBERTO</t>
  </si>
  <si>
    <t>TOR* VAL***** ALE****** ALB****</t>
  </si>
  <si>
    <t>72003490</t>
  </si>
  <si>
    <t>GOMEZ TORRES NEFTALI</t>
  </si>
  <si>
    <t>GOM** TOR*** NEF****</t>
  </si>
  <si>
    <t>72003759</t>
  </si>
  <si>
    <t>MACIAS ALFONSO LEYNER STIVENSON</t>
  </si>
  <si>
    <t>MAC*** ALF**** LEY*** STI******</t>
  </si>
  <si>
    <t>72006437</t>
  </si>
  <si>
    <t>ANDRADE GUETTE AUGUSTO RAFAEL</t>
  </si>
  <si>
    <t>AND**** GUE*** AUG**** RAF***</t>
  </si>
  <si>
    <t>72007213</t>
  </si>
  <si>
    <t>RICARDO CHAMORRO MARIO NICANOR</t>
  </si>
  <si>
    <t>RIC**** CHA***** MAR** NIC****</t>
  </si>
  <si>
    <t>72012037</t>
  </si>
  <si>
    <t>NIETO CAICEDO CALIXTO DE JESUS</t>
  </si>
  <si>
    <t>NIE** CAI**** CAL**** DE JES**</t>
  </si>
  <si>
    <t>72015022</t>
  </si>
  <si>
    <t>ROA PEREZ EDWIN ENRIQUE</t>
  </si>
  <si>
    <t>ROA PER** EDW** ENR****</t>
  </si>
  <si>
    <t>72016373</t>
  </si>
  <si>
    <t>SILVERA DE LA HOZ CARLOS ARTURO</t>
  </si>
  <si>
    <t>SIL**** DE LA HOZ CAR*** ART***</t>
  </si>
  <si>
    <t>72022624</t>
  </si>
  <si>
    <t>RADA ORTEGA BELINTONG ANTONIO</t>
  </si>
  <si>
    <t>RAD* ORT*** BEL****** ANT****</t>
  </si>
  <si>
    <t>72040885</t>
  </si>
  <si>
    <t>VILLALOBOS BLANCO ARGEMIRO ANTONIO</t>
  </si>
  <si>
    <t>VIL******* BLA*** ARG***** ANT****</t>
  </si>
  <si>
    <t>72044620</t>
  </si>
  <si>
    <t>MERCADO GOMEZ YOVANIS ENRIQUE</t>
  </si>
  <si>
    <t>MER**** GOM** YOV**** ENR****</t>
  </si>
  <si>
    <t>72050526</t>
  </si>
  <si>
    <t>RODRIGUEZ IBARRA JOSE GREGORIO</t>
  </si>
  <si>
    <t>ROD****** IBA*** JOS* GRE*****</t>
  </si>
  <si>
    <t>72056693</t>
  </si>
  <si>
    <t>RONDON CABRERA LUIS FERNANDO</t>
  </si>
  <si>
    <t>RON*** CAB**** LUI* FER*****</t>
  </si>
  <si>
    <t>72096504</t>
  </si>
  <si>
    <t>DELGADO MEJIA DOMINGO MANUEL</t>
  </si>
  <si>
    <t>DEL**** MEJ** DOM**** MAN***</t>
  </si>
  <si>
    <t>72096740</t>
  </si>
  <si>
    <t>GUERRERO GUTIERREZ OSMAR ABEL</t>
  </si>
  <si>
    <t>GUE***** GUT****** OSM** ABE*</t>
  </si>
  <si>
    <t>72096808</t>
  </si>
  <si>
    <t>BOBADILLO MUNOZ WILBER JAVIER</t>
  </si>
  <si>
    <t>BOB****** MUN** WIL*** JAV***</t>
  </si>
  <si>
    <t>72096942</t>
  </si>
  <si>
    <t>GARCIA NOVOA ROBERTO ANTONIO</t>
  </si>
  <si>
    <t>GAR*** NOV** ROB**** ANT****</t>
  </si>
  <si>
    <t>72122504</t>
  </si>
  <si>
    <t>JIMENEZ ARTETA OSCAR ALFREDO</t>
  </si>
  <si>
    <t>JIM**** ART*** OSC** ALF****</t>
  </si>
  <si>
    <t>72125207</t>
  </si>
  <si>
    <t>MERIÑO GARCIA JUAN CARLOS</t>
  </si>
  <si>
    <t>MER*** GAR*** JUA* CAR***</t>
  </si>
  <si>
    <t>72125470</t>
  </si>
  <si>
    <t>BARRETO VASQUEZ DORISMEL DEL CARMEN</t>
  </si>
  <si>
    <t>BAR**** VAS**** DOR***** DEL CAR***</t>
  </si>
  <si>
    <t>72128012</t>
  </si>
  <si>
    <t>VASQUEZ SALAS PEDRO LUIS</t>
  </si>
  <si>
    <t>VAS**** SAL** PED** LUI*</t>
  </si>
  <si>
    <t>72130608</t>
  </si>
  <si>
    <t>DE LA HOZ GUTIERREZ NELSON</t>
  </si>
  <si>
    <t>DE LA HOZ GUT****** NEL***</t>
  </si>
  <si>
    <t>72131458</t>
  </si>
  <si>
    <t>BOBB ESLAIT JOSE FERNANDO</t>
  </si>
  <si>
    <t>BOB* ESL*** JOS* FER*****</t>
  </si>
  <si>
    <t>72132016</t>
  </si>
  <si>
    <t>MADARIAGA LOPEZ PEDRO NOLASCO</t>
  </si>
  <si>
    <t>MAD****** LOP** PED** NOL****</t>
  </si>
  <si>
    <t>72136029</t>
  </si>
  <si>
    <t>LOPEZ MOLINA ORLANDO DE JESUS</t>
  </si>
  <si>
    <t>LOP** MOL*** ORL**** DE JES**</t>
  </si>
  <si>
    <t>72137491</t>
  </si>
  <si>
    <t>SANCHEZ PAZ JOSE VICENTE</t>
  </si>
  <si>
    <t>SAN**** PAZ JOS* VIC****</t>
  </si>
  <si>
    <t>72137595</t>
  </si>
  <si>
    <t>RAMOS RUIZ GERMAN ANTONIO</t>
  </si>
  <si>
    <t>RAM** RUI* GER*** ANT****</t>
  </si>
  <si>
    <t>72139020</t>
  </si>
  <si>
    <t>GARCIA CABARCAS NESTOR</t>
  </si>
  <si>
    <t>GAR*** CAB***** NES***</t>
  </si>
  <si>
    <t>72139862</t>
  </si>
  <si>
    <t>SAUMET MOLINA ROGER</t>
  </si>
  <si>
    <t>SAU*** MOL*** ROG**</t>
  </si>
  <si>
    <t>72140483</t>
  </si>
  <si>
    <t>ESCORCIA ESCOBAR FRANCISCO MANUEL</t>
  </si>
  <si>
    <t>ESC***** ESC**** FRA****** MAN***</t>
  </si>
  <si>
    <t>72142471</t>
  </si>
  <si>
    <t>OSPINO AMADOR FABIO ARTURO</t>
  </si>
  <si>
    <t>OSP*** AMA*** FAB** ART***</t>
  </si>
  <si>
    <t>72145866</t>
  </si>
  <si>
    <t>DE ARCOS TORRIJOS FRANCISCO ANSELMO</t>
  </si>
  <si>
    <t>DE ARC** TOR***** FRA****** ANS****</t>
  </si>
  <si>
    <t>72146650</t>
  </si>
  <si>
    <t>CASSIANI BARROS LUIS JAVIER</t>
  </si>
  <si>
    <t>CAS***** BAR*** LUI* JAV***</t>
  </si>
  <si>
    <t>72146697</t>
  </si>
  <si>
    <t>MARTINEZ CARBONELL JOSE DE JESUS</t>
  </si>
  <si>
    <t>MAR***** CAR****** JOS* DE JES**</t>
  </si>
  <si>
    <t>72147366</t>
  </si>
  <si>
    <t>MORENO POLO YOVANI</t>
  </si>
  <si>
    <t>MOR*** POL* YOV***</t>
  </si>
  <si>
    <t>72147522</t>
  </si>
  <si>
    <t>GAMERO VEGA SERGIO ADONAY</t>
  </si>
  <si>
    <t>GAM*** VEG* SER*** ADO***</t>
  </si>
  <si>
    <t>72149811</t>
  </si>
  <si>
    <t>MUÑOZ COLON OSVALDO SEGUNDO</t>
  </si>
  <si>
    <t>MUÑ** COL** OSV**** SEG****</t>
  </si>
  <si>
    <t>72150311</t>
  </si>
  <si>
    <t>VILLAFAÑE AYALA ANDRES ANTONIO</t>
  </si>
  <si>
    <t>VIL****** AYA** AND*** ANT****</t>
  </si>
  <si>
    <t>72151923</t>
  </si>
  <si>
    <t>ARRIETA ZAPATA JOSE GUILLERMO</t>
  </si>
  <si>
    <t>ARR**** ZAP*** JOS* GUI******</t>
  </si>
  <si>
    <t>72152250</t>
  </si>
  <si>
    <t>RAMOS FONSECA JAVIER DE JESUS</t>
  </si>
  <si>
    <t>RAM** FON**** JAV*** DE JES**</t>
  </si>
  <si>
    <t>72153759</t>
  </si>
  <si>
    <t>VIDES MORA JIMMIS</t>
  </si>
  <si>
    <t>VID** MOR* JIM***</t>
  </si>
  <si>
    <t>72154569</t>
  </si>
  <si>
    <t>CASTILLA RODRIGUEZ ELIGIO</t>
  </si>
  <si>
    <t>CAS***** ROD****** ELI***</t>
  </si>
  <si>
    <t>72154996</t>
  </si>
  <si>
    <t>CARABALLO FLOREZ PEDRO ANTONIO</t>
  </si>
  <si>
    <t>CAR****** FLO*** PED** ANT****</t>
  </si>
  <si>
    <t>72155247</t>
  </si>
  <si>
    <t>CAMARGO AGUIRRE EDGARDO ENRIQUE</t>
  </si>
  <si>
    <t>CAM**** AGU**** EDG**** ENR****</t>
  </si>
  <si>
    <t>72155441</t>
  </si>
  <si>
    <t>MARTINEZ RAMBAL DANIEL JOSE</t>
  </si>
  <si>
    <t>MAR***** RAM*** DAN*** JOS*</t>
  </si>
  <si>
    <t>72155602</t>
  </si>
  <si>
    <t>BARRIOS PEÑA JOVANNYS ENRIQUE</t>
  </si>
  <si>
    <t>BAR**** PEÑ* JOV***** ENR****</t>
  </si>
  <si>
    <t>72158686</t>
  </si>
  <si>
    <t>COLINA PAEZ ANDRES DE JESUS</t>
  </si>
  <si>
    <t>COL*** PAE* AND*** DE JES**</t>
  </si>
  <si>
    <t>72164691</t>
  </si>
  <si>
    <t>NIEBLES MARTINEZ ARNULFO ANTONIO</t>
  </si>
  <si>
    <t>NIE**** MAR***** ARN**** ANT****</t>
  </si>
  <si>
    <t>72170587</t>
  </si>
  <si>
    <t>TORRES NIETO LUIS CARLOS</t>
  </si>
  <si>
    <t>TOR*** NIE** LUI* CAR***</t>
  </si>
  <si>
    <t>72171025</t>
  </si>
  <si>
    <t>SANTAMARIA MADRIGAL JEAN CARLOS</t>
  </si>
  <si>
    <t>SAN******* MAD***** JEA* CAR***</t>
  </si>
  <si>
    <t>72172460</t>
  </si>
  <si>
    <t>PEREZ ORTIZ ALAIN JAVIER</t>
  </si>
  <si>
    <t>PER** ORT** ALA** JAV***</t>
  </si>
  <si>
    <t>72173570</t>
  </si>
  <si>
    <t>ARRIETA LOZANO ARISTIDES ALBERTO</t>
  </si>
  <si>
    <t>ARR**** LOZ*** ARI****** ALB****</t>
  </si>
  <si>
    <t>72176173</t>
  </si>
  <si>
    <t>CARMONA PIMIENTA RUBEN DARIO</t>
  </si>
  <si>
    <t>CAR**** PIM***** RUB** DAR**</t>
  </si>
  <si>
    <t>72176494</t>
  </si>
  <si>
    <t>RESTREPO HERNANDEZ RAFAEL ANTONIO</t>
  </si>
  <si>
    <t>RES***** HER****** RAF*** ANT****</t>
  </si>
  <si>
    <t>72176734</t>
  </si>
  <si>
    <t>RONCALLO VISBAL ALVARO ARMANDO</t>
  </si>
  <si>
    <t>RON***** VIS*** ALV*** ARM****</t>
  </si>
  <si>
    <t>72177425</t>
  </si>
  <si>
    <t>TOLOZA FERNANDEZ DANILO JOSE</t>
  </si>
  <si>
    <t>TOL*** FER****** DAN*** JOS*</t>
  </si>
  <si>
    <t>72179961</t>
  </si>
  <si>
    <t>ESPAÑA RAMIREZ PEDRO PABLO</t>
  </si>
  <si>
    <t>ESP*** RAM**** PED** PAB**</t>
  </si>
  <si>
    <t>72180335</t>
  </si>
  <si>
    <t>ARAGON SALAZAR YEZID RAFAEL</t>
  </si>
  <si>
    <t>ARA*** SAL**** YEZ** RAF***</t>
  </si>
  <si>
    <t>72182036</t>
  </si>
  <si>
    <t>MIER OSORIO FELIPE ALFONSO</t>
  </si>
  <si>
    <t>MIE* OSO*** FEL*** ALF****</t>
  </si>
  <si>
    <t>72184000</t>
  </si>
  <si>
    <t>HERNANDEZ OROZCO ADULFO</t>
  </si>
  <si>
    <t>HER****** ORO*** ADU***</t>
  </si>
  <si>
    <t>72184247</t>
  </si>
  <si>
    <t>MOSQUERA OROZCO FREDYS</t>
  </si>
  <si>
    <t>MOS***** ORO*** FRE***</t>
  </si>
  <si>
    <t>72187479</t>
  </si>
  <si>
    <t>RAMOS FERIA VLADIMIR</t>
  </si>
  <si>
    <t>RAM** FER** VLA*****</t>
  </si>
  <si>
    <t>72187608</t>
  </si>
  <si>
    <t>ROMERO OSPINO YAIR ENRIQUE</t>
  </si>
  <si>
    <t>ROM*** OSP*** YAI* ENR****</t>
  </si>
  <si>
    <t>72188063</t>
  </si>
  <si>
    <t>GONZALEZ MOLINA YAIR ANTONIO</t>
  </si>
  <si>
    <t>GON***** MOL*** YAI* ANT****</t>
  </si>
  <si>
    <t>72191229</t>
  </si>
  <si>
    <t>PEDROZA CANTILLO CARLOS MANUEL</t>
  </si>
  <si>
    <t>PED**** CAN***** CAR*** MAN***</t>
  </si>
  <si>
    <t>72191369</t>
  </si>
  <si>
    <t>GARCIA FORNARIS MAURICIO JOSE</t>
  </si>
  <si>
    <t>GAR*** FOR***** MAU***** JOS*</t>
  </si>
  <si>
    <t>72191942</t>
  </si>
  <si>
    <t>ROMO MENDOZA NILSON JAVIER</t>
  </si>
  <si>
    <t>ROM* MEN**** NIL*** JAV***</t>
  </si>
  <si>
    <t>72194965</t>
  </si>
  <si>
    <t>CASTRO HERRERA JUAN CARLOS</t>
  </si>
  <si>
    <t>CAS*** HER**** JUA* CAR***</t>
  </si>
  <si>
    <t>72195439</t>
  </si>
  <si>
    <t>ROMERIN BLANQUICET JOSE LUIS</t>
  </si>
  <si>
    <t>ROM**** BLA******* JOS* LUI*</t>
  </si>
  <si>
    <t>72197185</t>
  </si>
  <si>
    <t>MAESTRE ACUÃ IVAN JAVIER</t>
  </si>
  <si>
    <t>MAE**** ACU** IVA* JAV***</t>
  </si>
  <si>
    <t>72197435</t>
  </si>
  <si>
    <t>DEL CASTILLO CORONADO JAIME ALBERTO</t>
  </si>
  <si>
    <t>DEL CAS***** COR***** JAI** ALB****</t>
  </si>
  <si>
    <t>72202269</t>
  </si>
  <si>
    <t>OSORIO PALLARES ADRIAN JESUS</t>
  </si>
  <si>
    <t>OSO*** PAL***** ADR*** JES**</t>
  </si>
  <si>
    <t>72202337</t>
  </si>
  <si>
    <t>BARRANCO MELENDEZ HOLMAN GIOVANNI</t>
  </si>
  <si>
    <t>BAR***** MEL***** HOL*** GIO*****</t>
  </si>
  <si>
    <t>72209327</t>
  </si>
  <si>
    <t>RODRIGUEZ JIMENEZ RICARDO ALFONSO</t>
  </si>
  <si>
    <t>ROD****** JIM**** RIC**** ALF****</t>
  </si>
  <si>
    <t>72210448</t>
  </si>
  <si>
    <t>TERAN MATIAS HERMES ANTONIO</t>
  </si>
  <si>
    <t>TER** MAT*** HER*** ANT****</t>
  </si>
  <si>
    <t>72210478</t>
  </si>
  <si>
    <t>HUELVAS PERTUZ WALTER ALBERTO</t>
  </si>
  <si>
    <t>HUE**** PER*** WAL*** ALB****</t>
  </si>
  <si>
    <t>72214941</t>
  </si>
  <si>
    <t>ESCOBAR CHAMORRO JAVIER ENRIQUE</t>
  </si>
  <si>
    <t>ESC**** CHA***** JAV*** ENR****</t>
  </si>
  <si>
    <t>72215847</t>
  </si>
  <si>
    <t>PUERTA PACHECO JUAN CARLOS</t>
  </si>
  <si>
    <t>PUE*** PAC**** JUA* CAR***</t>
  </si>
  <si>
    <t>72216853</t>
  </si>
  <si>
    <t>SALAS SALAS JESUS DEL CRISTO</t>
  </si>
  <si>
    <t>SAL** SAL** JES** DEL CRI***</t>
  </si>
  <si>
    <t>72219137</t>
  </si>
  <si>
    <t>MENDOZA LARIOS EDGAR DE JESUS</t>
  </si>
  <si>
    <t>MEN**** LAR*** EDG** DE JES**</t>
  </si>
  <si>
    <t>72225854</t>
  </si>
  <si>
    <t>MARTINEZ PAREJA JAIME LUIS</t>
  </si>
  <si>
    <t>MAR***** PAR*** JAI** LUI*</t>
  </si>
  <si>
    <t>72227431</t>
  </si>
  <si>
    <t>VARGAS PADILLA JOSE DE LA CRUZ</t>
  </si>
  <si>
    <t>VAR*** PAD**** JOS* DE LA CRU*</t>
  </si>
  <si>
    <t>72227549</t>
  </si>
  <si>
    <t>DE LA HOZ CARRILLO JOSE ANTONIO</t>
  </si>
  <si>
    <t>DE LA HOZ CAR***** JOS* ANT****</t>
  </si>
  <si>
    <t>72229854</t>
  </si>
  <si>
    <t>CONTRERAS ARIZA JOHN ENRIQUE</t>
  </si>
  <si>
    <t>CON****** ARI** JOH* ENR****</t>
  </si>
  <si>
    <t>72231556</t>
  </si>
  <si>
    <t>SALAS OÑORO JAVIER EMILIO</t>
  </si>
  <si>
    <t>SAL** OÑO** JAV*** EMI***</t>
  </si>
  <si>
    <t>72233822</t>
  </si>
  <si>
    <t>RUIZ OJEDA JULIO CESAR</t>
  </si>
  <si>
    <t>RUI* OJE** JUL** CES**</t>
  </si>
  <si>
    <t>72236422</t>
  </si>
  <si>
    <t>PEREZ ALBOR RONAL ENRIQUE</t>
  </si>
  <si>
    <t>PER** ALB** RON** ENR****</t>
  </si>
  <si>
    <t>72239085</t>
  </si>
  <si>
    <t>ARRIETA LOZANO ALCIDES ALBERTO</t>
  </si>
  <si>
    <t>ARR**** LOZ*** ALC**** ALB****</t>
  </si>
  <si>
    <t>72239288</t>
  </si>
  <si>
    <t>SOLANO MOLINA JORGE LUIS</t>
  </si>
  <si>
    <t>SOL*** MOL*** JOR** LUI*</t>
  </si>
  <si>
    <t>72240304</t>
  </si>
  <si>
    <t>HERRERA RIVERA JULIO CESAR</t>
  </si>
  <si>
    <t>HER**** RIV*** JUL** CES**</t>
  </si>
  <si>
    <t>72242856</t>
  </si>
  <si>
    <t>MARTINEZ ROSALES HUMBERTO WILFRIDO</t>
  </si>
  <si>
    <t>MAR***** ROS**** HUM***** WIL*****</t>
  </si>
  <si>
    <t>72243497</t>
  </si>
  <si>
    <t>JIMENEZ ZAPATA JULIO CESAR</t>
  </si>
  <si>
    <t>JIM**** ZAP*** JUL** CES**</t>
  </si>
  <si>
    <t>72244439</t>
  </si>
  <si>
    <t>OROZCO MEZA IDELFONSO</t>
  </si>
  <si>
    <t>ORO*** MEZ* IDE******</t>
  </si>
  <si>
    <t>72247398</t>
  </si>
  <si>
    <t>VARGAS ALVARADO DEAN ALEXANDER</t>
  </si>
  <si>
    <t>VAR*** ALV***** DEA* ALE******</t>
  </si>
  <si>
    <t>72253738</t>
  </si>
  <si>
    <t>MORA CADRAZCO JOSE LUIS</t>
  </si>
  <si>
    <t>MOR* CAD***** JOS* LUI*</t>
  </si>
  <si>
    <t>72259093</t>
  </si>
  <si>
    <t>PAJARO BARROS VICTOR ENRIQUE</t>
  </si>
  <si>
    <t>PAJ*** BAR*** VIC*** ENR****</t>
  </si>
  <si>
    <t>72268087</t>
  </si>
  <si>
    <t>SUAREZ LEON LUIS GUILLERMO</t>
  </si>
  <si>
    <t>SUA*** LEO* LUI* GUI******</t>
  </si>
  <si>
    <t>72269259</t>
  </si>
  <si>
    <t>ECHAVEZ MOLINA CARLOS ENRIQUE</t>
  </si>
  <si>
    <t>ECH**** MOL*** CAR*** ENR****</t>
  </si>
  <si>
    <t>72272140</t>
  </si>
  <si>
    <t>POVEDA BLANQUICET HECTOR JOSE</t>
  </si>
  <si>
    <t>POV*** BLA******* HEC*** JOS*</t>
  </si>
  <si>
    <t>72280025</t>
  </si>
  <si>
    <t>POTES ESPITER JOSE MARIA</t>
  </si>
  <si>
    <t>POT** ESP**** JOS* MAR**</t>
  </si>
  <si>
    <t>72283289</t>
  </si>
  <si>
    <t>LOPEZ CANDANOZA EDMUNDO</t>
  </si>
  <si>
    <t>LOP** CAN****** EDM****</t>
  </si>
  <si>
    <t>72283950</t>
  </si>
  <si>
    <t>FLEREZ OROZCO EDWIN RAFAEL</t>
  </si>
  <si>
    <t>FLE*** ORO*** EDW** RAF***</t>
  </si>
  <si>
    <t>72284398</t>
  </si>
  <si>
    <t>CHIMAS TORREGROZA ISMAEL MOISES</t>
  </si>
  <si>
    <t>CHI*** TOR******* ISM*** MOI***</t>
  </si>
  <si>
    <t>72287633</t>
  </si>
  <si>
    <t>PALMERA BUELVAS HUMBERTO RAFAEL</t>
  </si>
  <si>
    <t>PAL**** BUE**** HUM***** RAF***</t>
  </si>
  <si>
    <t>72296487</t>
  </si>
  <si>
    <t>CANTILLO CABEZA JOSE MANUEL</t>
  </si>
  <si>
    <t>CAN***** CAB*** JOS* MAN***</t>
  </si>
  <si>
    <t>72301478</t>
  </si>
  <si>
    <t>HORTA CERA JOHNNY ANTONIO</t>
  </si>
  <si>
    <t>HOR** CER* JOH*** ANT****</t>
  </si>
  <si>
    <t>72301790</t>
  </si>
  <si>
    <t>FONTALVO GARCIA NILSON DAVID</t>
  </si>
  <si>
    <t>FON***** GAR*** NIL*** DAV**</t>
  </si>
  <si>
    <t>72302591</t>
  </si>
  <si>
    <t>CASIS CASTRO ALAIN</t>
  </si>
  <si>
    <t>CAS** CAS*** ALA**</t>
  </si>
  <si>
    <t>72303165</t>
  </si>
  <si>
    <t>FRANCIA HERNANDEZ JOEL</t>
  </si>
  <si>
    <t>FRA**** HER****** JOE*</t>
  </si>
  <si>
    <t>72311016</t>
  </si>
  <si>
    <t>VARGAS HERNANDEZ RICARDO ANDRES</t>
  </si>
  <si>
    <t>VAR*** HER****** RIC**** AND***</t>
  </si>
  <si>
    <t>72312638</t>
  </si>
  <si>
    <t>ROJAS DE LA ROSA REIDIL AMERICO</t>
  </si>
  <si>
    <t>ROJ** DE LA ROS* REI*** AME****</t>
  </si>
  <si>
    <t>72313362</t>
  </si>
  <si>
    <t>PEREZ NARANJO SERGIO IVAN</t>
  </si>
  <si>
    <t>PER** NAR**** SER*** IVA*</t>
  </si>
  <si>
    <t>72334321</t>
  </si>
  <si>
    <t>SAADE LARA CESAR JULIO</t>
  </si>
  <si>
    <t>SAA** LAR* CES** JUL**</t>
  </si>
  <si>
    <t>72337677</t>
  </si>
  <si>
    <t>ARTEAGA COGOLLO KEWIN LUIS</t>
  </si>
  <si>
    <t>ART**** COG**** KEW** LUI*</t>
  </si>
  <si>
    <t>72341283</t>
  </si>
  <si>
    <t>DE LA HOZ CASTRO LUIS FERNANDO</t>
  </si>
  <si>
    <t>DE LA HOZ CAS*** LUI* FER*****</t>
  </si>
  <si>
    <t>72342558</t>
  </si>
  <si>
    <t>PAEZ ANGULO JUAN RAMON</t>
  </si>
  <si>
    <t>PAE* ANG*** JUA* RAM**</t>
  </si>
  <si>
    <t>72346573</t>
  </si>
  <si>
    <t>PERTUZ PALMERA ENEL HERNANDO</t>
  </si>
  <si>
    <t>PER*** PAL**** ENE* HER*****</t>
  </si>
  <si>
    <t>72346588</t>
  </si>
  <si>
    <t>MEDINA MARTINEZ YAIR DE JESUS</t>
  </si>
  <si>
    <t>MED*** MAR***** YAI* DE JES**</t>
  </si>
  <si>
    <t>73005934</t>
  </si>
  <si>
    <t>GALEZO NUÑEZ OSCAR MIGUEL</t>
  </si>
  <si>
    <t>GAL*** NUÑ** OSC** MIG***</t>
  </si>
  <si>
    <t>73086096</t>
  </si>
  <si>
    <t>BOCANEGRA VILLA ANDRES RAFAEL</t>
  </si>
  <si>
    <t>BOC****** VIL** AND*** RAF***</t>
  </si>
  <si>
    <t>73103379</t>
  </si>
  <si>
    <t>ARDILA SIERRA YUDY</t>
  </si>
  <si>
    <t>ARD*** SIE*** YUD*</t>
  </si>
  <si>
    <t>73108628</t>
  </si>
  <si>
    <t>PIMIENTA LARA HECTOR</t>
  </si>
  <si>
    <t>PIM***** LAR* HEC***</t>
  </si>
  <si>
    <t>73126012</t>
  </si>
  <si>
    <t>DIAZ VILLEGAS PEDRO PATRICIO</t>
  </si>
  <si>
    <t>DIA* VIL***** PED** PAT*****</t>
  </si>
  <si>
    <t>73126310</t>
  </si>
  <si>
    <t>PAVA HERRERA ANTONIO JOSE</t>
  </si>
  <si>
    <t>PAV* HER**** ANT**** JOS*</t>
  </si>
  <si>
    <t>73127439</t>
  </si>
  <si>
    <t>DAGER OCHOA JAVIER</t>
  </si>
  <si>
    <t>DAG** OCH** JAV***</t>
  </si>
  <si>
    <t>73127765</t>
  </si>
  <si>
    <t>MARRIAGA MOLINA CARLOS ALBERTO</t>
  </si>
  <si>
    <t>MAR***** MOL*** CAR*** ALB****</t>
  </si>
  <si>
    <t>73130944</t>
  </si>
  <si>
    <t>PUELLO ORTEGA RODOLFO ANTONIO</t>
  </si>
  <si>
    <t>PUE*** ORT*** ROD**** ANT****</t>
  </si>
  <si>
    <t>73135169</t>
  </si>
  <si>
    <t>TREJO AGUILAR HILDEBRANDO DE JESUS</t>
  </si>
  <si>
    <t>TRE** AGU**** HIL******** DE JES**</t>
  </si>
  <si>
    <t>73145223</t>
  </si>
  <si>
    <t>MOYA MUÑOZ MARIANO</t>
  </si>
  <si>
    <t>MOY* MUÑ** MAR****</t>
  </si>
  <si>
    <t>73146804</t>
  </si>
  <si>
    <t>OSPINO JIMENEZ VICTOR MANUEL</t>
  </si>
  <si>
    <t>OSP*** JIM**** VIC*** MAN***</t>
  </si>
  <si>
    <t>73147361</t>
  </si>
  <si>
    <t>BARRIOS CANTILLO LUIS ENRIQUE</t>
  </si>
  <si>
    <t>BAR**** CAN***** LUI* ENR****</t>
  </si>
  <si>
    <t>73151238</t>
  </si>
  <si>
    <t>ECHEVERRIA ABUABARA HENRY</t>
  </si>
  <si>
    <t>ECH******* ABU***** HEN**</t>
  </si>
  <si>
    <t>73153189</t>
  </si>
  <si>
    <t>SERRANO AGUIRRE DAVID JOSE</t>
  </si>
  <si>
    <t>SER**** AGU**** DAV** JOS*</t>
  </si>
  <si>
    <t>73158388</t>
  </si>
  <si>
    <t>MARTINEZ ESPAÑA JORGE HUMBERTO</t>
  </si>
  <si>
    <t>MAR***** ESP*** JOR** HUM*****</t>
  </si>
  <si>
    <t>73158836</t>
  </si>
  <si>
    <t>SINNING SUAREZ NILSON ANTONIO</t>
  </si>
  <si>
    <t>SIN**** SUA*** NIL*** ANT****</t>
  </si>
  <si>
    <t>73160190</t>
  </si>
  <si>
    <t>DE LA HOZ CARVAJALINO ALFREDO ALEXANDER</t>
  </si>
  <si>
    <t>DE LA HOZ CAR******** ALF**** ALE******</t>
  </si>
  <si>
    <t>73185724</t>
  </si>
  <si>
    <t>BARRETO RODRIGUEZ ARNOLD</t>
  </si>
  <si>
    <t>BAR**** ROD****** ARN***</t>
  </si>
  <si>
    <t>73186566</t>
  </si>
  <si>
    <t>MURILLO MESTRA ANDI SAMIR</t>
  </si>
  <si>
    <t>MUR**** MES*** AND* SAM**</t>
  </si>
  <si>
    <t>73192144</t>
  </si>
  <si>
    <t>PONCE GULLOSO NESTOR</t>
  </si>
  <si>
    <t>PON** GUL**** NES***</t>
  </si>
  <si>
    <t>73193424</t>
  </si>
  <si>
    <t>SIERRA MANGA JAIDER FARID</t>
  </si>
  <si>
    <t>SIE*** MAN** JAI*** FAR**</t>
  </si>
  <si>
    <t>73195051</t>
  </si>
  <si>
    <t>CORTES TORRES FRED RODRIGO</t>
  </si>
  <si>
    <t>COR*** TOR*** FRE* ROD****</t>
  </si>
  <si>
    <t>73208611</t>
  </si>
  <si>
    <t>CASTILLO CASTILLO HECTOR</t>
  </si>
  <si>
    <t>CAS***** CAS***** HEC***</t>
  </si>
  <si>
    <t>73236915</t>
  </si>
  <si>
    <t>ORDOÑEZ MANJARRES RONALD RAFAEL</t>
  </si>
  <si>
    <t>ORD**** MAN****** RON*** RAF***</t>
  </si>
  <si>
    <t>73242128</t>
  </si>
  <si>
    <t>ESPINOZA MANJARREZ ROIBER SAMIR</t>
  </si>
  <si>
    <t>ESP***** MAN****** ROI*** SAM**</t>
  </si>
  <si>
    <t>73268373</t>
  </si>
  <si>
    <t>SARMIENTO SALVADOR MARTELO</t>
  </si>
  <si>
    <t>SAR****** SAL***** MAR****</t>
  </si>
  <si>
    <t>73269576</t>
  </si>
  <si>
    <t>PERTUZ OSPINO DAIRO JOSE</t>
  </si>
  <si>
    <t>PER*** OSP*** DAI** JOS*</t>
  </si>
  <si>
    <t>73315057</t>
  </si>
  <si>
    <t>DIAZ CABRALES FRANCISCO SEGUNDO</t>
  </si>
  <si>
    <t>DIA* CAB***** FRA****** SEG****</t>
  </si>
  <si>
    <t>73377570</t>
  </si>
  <si>
    <t>AVILA SIMANCA BORIS ALBERTO</t>
  </si>
  <si>
    <t>AVI** SIM**** BOR** ALB****</t>
  </si>
  <si>
    <t>73548816</t>
  </si>
  <si>
    <t>GOMEZ MEDINA PEDRO JOSE</t>
  </si>
  <si>
    <t>GOM** MED*** PED** JOS*</t>
  </si>
  <si>
    <t>73563089</t>
  </si>
  <si>
    <t>MARTINEZ POLANCO NELSON</t>
  </si>
  <si>
    <t>MAR***** POL**** NEL***</t>
  </si>
  <si>
    <t>73582785</t>
  </si>
  <si>
    <t>ROMERO CAVADIA FRANKLIN</t>
  </si>
  <si>
    <t>ROM*** CAV**** FRA*****</t>
  </si>
  <si>
    <t>75086401</t>
  </si>
  <si>
    <t>GONZALEZ SILVA JOSE JAVIER</t>
  </si>
  <si>
    <t>GON***** SIL** JOS* JAV***</t>
  </si>
  <si>
    <t>77006531</t>
  </si>
  <si>
    <t>ROJAS CAÑAS ROBERTO</t>
  </si>
  <si>
    <t>ROJ** CAÑ** ROB****</t>
  </si>
  <si>
    <t>77016216</t>
  </si>
  <si>
    <t>CASTAÑEDA JIMENEZ IVAN ENRIQUE</t>
  </si>
  <si>
    <t>CAS****** JIM**** IVA* ENR****</t>
  </si>
  <si>
    <t>77018469</t>
  </si>
  <si>
    <t>MENDOZA SUAREZ AMED DE JESUS</t>
  </si>
  <si>
    <t>MEN**** SUA*** AME* DE JES**</t>
  </si>
  <si>
    <t>77022352</t>
  </si>
  <si>
    <t>MANJARREZ CUDRIS RAFAEL ALBERTO</t>
  </si>
  <si>
    <t>MAN****** CUD*** RAF*** ALB****</t>
  </si>
  <si>
    <t>77023643</t>
  </si>
  <si>
    <t>ACOSTA ESCORCIA ALFREDO ALFONSO</t>
  </si>
  <si>
    <t>ACO*** ESC***** ALF**** ALF****</t>
  </si>
  <si>
    <t>77032302</t>
  </si>
  <si>
    <t>SORIANO BOHORQUEZ LUIS HUMBERTO</t>
  </si>
  <si>
    <t>SOR**** BOH****** LUI* HUM*****</t>
  </si>
  <si>
    <t>77037196</t>
  </si>
  <si>
    <t>VASQUEZ OÑATE IVER DE JESUS</t>
  </si>
  <si>
    <t>VAS**** OÑA** IVE* DE JES**</t>
  </si>
  <si>
    <t>77037637</t>
  </si>
  <si>
    <t>CANALES PACHECO DAVID JESUS</t>
  </si>
  <si>
    <t>CAN**** PAC**** DAV** JES**</t>
  </si>
  <si>
    <t>77038145</t>
  </si>
  <si>
    <t>TERRAZA MACHADO JULIO CESAR</t>
  </si>
  <si>
    <t>TER**** MAC**** JUL** CES**</t>
  </si>
  <si>
    <t>77039085</t>
  </si>
  <si>
    <t>MONTERO GONZALEZ GUSTAVO ADOLFO</t>
  </si>
  <si>
    <t>MON**** GON***** GUS**** ADO***</t>
  </si>
  <si>
    <t>77080079</t>
  </si>
  <si>
    <t>ZAPATA PEREZ OSWALDO</t>
  </si>
  <si>
    <t>ZAP*** PER** OSW****</t>
  </si>
  <si>
    <t>77090053</t>
  </si>
  <si>
    <t>BELTRAN ARMENTA JOSE ROSELINO</t>
  </si>
  <si>
    <t>BEL**** ARM**** JOS* ROS*****</t>
  </si>
  <si>
    <t>77096944</t>
  </si>
  <si>
    <t>CALDERA CASTILLEJO HERIBERTO JOSE</t>
  </si>
  <si>
    <t>CAL**** CAS******* HER****** JOS*</t>
  </si>
  <si>
    <t>77096979</t>
  </si>
  <si>
    <t>MARTINEZ MARQUEZ JORGE MARIO</t>
  </si>
  <si>
    <t>MAR***** MAR**** JOR** MAR**</t>
  </si>
  <si>
    <t>77100521</t>
  </si>
  <si>
    <t>ORTEGA MONTENEGRO JAIME ENRIQUE</t>
  </si>
  <si>
    <t>ORT*** MON******* JAI** ENR****</t>
  </si>
  <si>
    <t>77101564</t>
  </si>
  <si>
    <t>DIAZ PEREZ ARMANDO ENRIQUE</t>
  </si>
  <si>
    <t>DIA* PER** ARM**** ENR****</t>
  </si>
  <si>
    <t>77101890</t>
  </si>
  <si>
    <t>REALES PEREZ PEDRO ANTONIO</t>
  </si>
  <si>
    <t>REA*** PER** PED** ANT****</t>
  </si>
  <si>
    <t>77103239</t>
  </si>
  <si>
    <t>OSPINO DITTA EDINSON ENRIQUE</t>
  </si>
  <si>
    <t>OSP*** DIT** EDI**** ENR****</t>
  </si>
  <si>
    <t>77141887</t>
  </si>
  <si>
    <t>ROBLES FLOREZ ALVARO</t>
  </si>
  <si>
    <t>ROB*** FLO*** ALV***</t>
  </si>
  <si>
    <t>77142527</t>
  </si>
  <si>
    <t>GOMEZ LINARES NIUNGER</t>
  </si>
  <si>
    <t>GOM** LIN**** NIU****</t>
  </si>
  <si>
    <t>77143937</t>
  </si>
  <si>
    <t>PEREZ PAYARES PANTALEON</t>
  </si>
  <si>
    <t>PER** PAY**** PAN******</t>
  </si>
  <si>
    <t>77163457</t>
  </si>
  <si>
    <t>RESTREPO RODRIGUEZ IVAN ENRIQUE</t>
  </si>
  <si>
    <t>RES***** ROD****** IVA* ENR****</t>
  </si>
  <si>
    <t>77166129</t>
  </si>
  <si>
    <t>GOMEZ RAMOS WILFRIDO ENRIQUE</t>
  </si>
  <si>
    <t>GOM** RAM** WIL***** ENR****</t>
  </si>
  <si>
    <t>77166316</t>
  </si>
  <si>
    <t>ACEVEDO CANTILLO ANTONIO MANUEL</t>
  </si>
  <si>
    <t>ACE**** CAN***** ANT**** MAN***</t>
  </si>
  <si>
    <t>77170300</t>
  </si>
  <si>
    <t>CERRO ACUÑA MARTIN DANIEL</t>
  </si>
  <si>
    <t>CER** ACU** MAR*** DAN***</t>
  </si>
  <si>
    <t>77172163</t>
  </si>
  <si>
    <t>TORRES CONRADO OMAR</t>
  </si>
  <si>
    <t>4C3</t>
  </si>
  <si>
    <t>TOR*** CON**** OMA*</t>
  </si>
  <si>
    <t>77174583</t>
  </si>
  <si>
    <t>SANTIAGO VARGAS FERNANDO ADOLFO</t>
  </si>
  <si>
    <t>SAN***** VAR*** FER***** ADO***</t>
  </si>
  <si>
    <t>77175657</t>
  </si>
  <si>
    <t>ZULETA FLOREZ HECTOR JOSE</t>
  </si>
  <si>
    <t>ZUL*** FLO*** HEC*** JOS*</t>
  </si>
  <si>
    <t>77175899</t>
  </si>
  <si>
    <t>TOLOZA GUTIERREZ LEONEL</t>
  </si>
  <si>
    <t>TOL*** GUT****** LEO***</t>
  </si>
  <si>
    <t>77176049</t>
  </si>
  <si>
    <t>PEREZ ZAMBRANO ANGEL MARCEL</t>
  </si>
  <si>
    <t>PER** ZAM***** ANG** MAR***</t>
  </si>
  <si>
    <t>77177552</t>
  </si>
  <si>
    <t>GUTIERREZ PEREZ JUAN CARLOS</t>
  </si>
  <si>
    <t>GUT****** PER** JUA* CAR***</t>
  </si>
  <si>
    <t>77181308</t>
  </si>
  <si>
    <t>DIAZ CHAVEZ EDER ENRIQUE</t>
  </si>
  <si>
    <t>DIA* CHA*** EDE* ENR****</t>
  </si>
  <si>
    <t>77182260</t>
  </si>
  <si>
    <t>BAUTE MEDINA EDGAR DE JESUS</t>
  </si>
  <si>
    <t>BAU** MED*** EDG** DE JES**</t>
  </si>
  <si>
    <t>77183713</t>
  </si>
  <si>
    <t>MESTRE ARIAS ALEXANDER</t>
  </si>
  <si>
    <t>MES*** ARI** ALE******</t>
  </si>
  <si>
    <t>77184734</t>
  </si>
  <si>
    <t>LARIOS BENAVIDES MARCOS ANTONIO</t>
  </si>
  <si>
    <t>LAR*** BEN****** MAR*** ANT****</t>
  </si>
  <si>
    <t>77184812</t>
  </si>
  <si>
    <t>HURTADO GARCES ALVARO FIDEL</t>
  </si>
  <si>
    <t>HUR**** GAR*** ALV*** FID**</t>
  </si>
  <si>
    <t>77185170</t>
  </si>
  <si>
    <t>OSPINO ACOSTA LUIS ALFONSO</t>
  </si>
  <si>
    <t>OSP*** ACO*** LUI* ALF****</t>
  </si>
  <si>
    <t>77185919</t>
  </si>
  <si>
    <t>TOVAR PALMERA JOHN FAIDER</t>
  </si>
  <si>
    <t>TOV** PAL**** JOH* FAI***</t>
  </si>
  <si>
    <t>77186697</t>
  </si>
  <si>
    <t>DELGADO PACHECO JHON JAIRO</t>
  </si>
  <si>
    <t>DEL**** PAC**** JHO* JAI**</t>
  </si>
  <si>
    <t>77188168</t>
  </si>
  <si>
    <t>ARIAS PEREZ HECTOR ABRAHAM</t>
  </si>
  <si>
    <t>ARI** PER** HEC*** ABR****</t>
  </si>
  <si>
    <t>77193019</t>
  </si>
  <si>
    <t>NAVARRO DAZA MANUEL GREGORIO</t>
  </si>
  <si>
    <t>NAV**** DAZ* MAN*** GRE*****</t>
  </si>
  <si>
    <t>77194504</t>
  </si>
  <si>
    <t>AGUILAR BULLONES RAUL</t>
  </si>
  <si>
    <t>AGU**** BUL***** RAU*</t>
  </si>
  <si>
    <t>77195802</t>
  </si>
  <si>
    <t>CASTIBLANCO MERCADO JOSE GREGORIO</t>
  </si>
  <si>
    <t>CAS******** MER**** JOS* GRE*****</t>
  </si>
  <si>
    <t>78075720</t>
  </si>
  <si>
    <t>SANCHEZ MADERA LUIS EDUARDO</t>
  </si>
  <si>
    <t>1A1</t>
  </si>
  <si>
    <t>SAN**** MAD*** LUI* EDU****</t>
  </si>
  <si>
    <t>78076170</t>
  </si>
  <si>
    <t>OSPINO BRAVO ORANGEL DAVID</t>
  </si>
  <si>
    <t>OSP*** BRA** ORA**** DAV**</t>
  </si>
  <si>
    <t>78321978</t>
  </si>
  <si>
    <t>MORALES BRU ANUAR ANTONIO</t>
  </si>
  <si>
    <t>MOR**** BRU ANU** ANT****</t>
  </si>
  <si>
    <t>78693815</t>
  </si>
  <si>
    <t>BUSTAMANTE BARRIOS RENE JAVIER</t>
  </si>
  <si>
    <t>BUS******* BAR**** REN* JAV***</t>
  </si>
  <si>
    <t>78708750</t>
  </si>
  <si>
    <t>MENDOZA LOPEZ MARTIN ALONSO</t>
  </si>
  <si>
    <t>MEN**** LOP** MAR*** ALO***</t>
  </si>
  <si>
    <t>79254984</t>
  </si>
  <si>
    <t>PARRA CRISTANCHO OLMAN</t>
  </si>
  <si>
    <t>PAR** CRI******* OLM**</t>
  </si>
  <si>
    <t>79316057</t>
  </si>
  <si>
    <t>GONZALEZ MONROY LUIS ALFREDO</t>
  </si>
  <si>
    <t>GON***** MON*** LUI* ALF****</t>
  </si>
  <si>
    <t>79398421</t>
  </si>
  <si>
    <t>PEREZ ALFARO YOSEL HERNANDO</t>
  </si>
  <si>
    <t>PER** ALF*** YOS** HER*****</t>
  </si>
  <si>
    <t>79543850</t>
  </si>
  <si>
    <t>SANCHEZ CANTILLO ROQUE JOSE</t>
  </si>
  <si>
    <t>SAN**** CAN***** ROQ** JOS*</t>
  </si>
  <si>
    <t>79618030</t>
  </si>
  <si>
    <t>MORALES SANCHEZ JORGE HUMBERTO</t>
  </si>
  <si>
    <t>MOR**** SAN**** JOR** HUM*****</t>
  </si>
  <si>
    <t>79654121</t>
  </si>
  <si>
    <t>CASAS MAYUSA MARCOS RAFAEL</t>
  </si>
  <si>
    <t>CAS** MAY*** MAR*** RAF***</t>
  </si>
  <si>
    <t>79672739</t>
  </si>
  <si>
    <t>ARDILA VELASQUEZ HENRY</t>
  </si>
  <si>
    <t>ARD*** VEL****** HEN**</t>
  </si>
  <si>
    <t>79738050</t>
  </si>
  <si>
    <t>FANDIÑO MARTINEZ JAIRO ALEXANDER</t>
  </si>
  <si>
    <t>FAN**** MAR***** JAI** ALE******</t>
  </si>
  <si>
    <t>79784216</t>
  </si>
  <si>
    <t>GONGORA AGUIRRE FERNANDO</t>
  </si>
  <si>
    <t>GON**** AGU**** FER*****</t>
  </si>
  <si>
    <t>79917445</t>
  </si>
  <si>
    <t>VARGAS ORTIZ LUIS ALEXANDER</t>
  </si>
  <si>
    <t>VAR*** ORT** LUI* ALE******</t>
  </si>
  <si>
    <t>79950425</t>
  </si>
  <si>
    <t>SAUCEDO TORRES SIMON</t>
  </si>
  <si>
    <t>SAU**** TOR*** SIM**</t>
  </si>
  <si>
    <t>79951646</t>
  </si>
  <si>
    <t>MEDINA DIAZ GRANADOS MAURICIO ANDRES</t>
  </si>
  <si>
    <t>MED*** DIA* GRA***** MAU***** AND***</t>
  </si>
  <si>
    <t>79967967</t>
  </si>
  <si>
    <t>SAUMETH MORELLI DIKSON LEON</t>
  </si>
  <si>
    <t>SAU**** MOR**** DIK*** LEO*</t>
  </si>
  <si>
    <t>80016110</t>
  </si>
  <si>
    <t>SUESCUN GONZALEZ FRANCINY</t>
  </si>
  <si>
    <t>SUE**** GON***** FRA*****</t>
  </si>
  <si>
    <t>80054308</t>
  </si>
  <si>
    <t>SANABRIA MEJIA ALIRIO</t>
  </si>
  <si>
    <t>SAN***** MEJ** ALI***</t>
  </si>
  <si>
    <t>80085641</t>
  </si>
  <si>
    <t>ALVARADO VILLAFAÑE LUIS EDUARDO</t>
  </si>
  <si>
    <t>ALV***** VIL****** LUI* EDU****</t>
  </si>
  <si>
    <t>80109502</t>
  </si>
  <si>
    <t>ESPARRAGOZA CORVACHO JAIME ALFREDO</t>
  </si>
  <si>
    <t>ESP******** COR***** JAI** ALF****</t>
  </si>
  <si>
    <t>80803127</t>
  </si>
  <si>
    <t>CAMACHO TORRES FREDY EDGARDO</t>
  </si>
  <si>
    <t>CAM**** TOR*** FRE** EDG****</t>
  </si>
  <si>
    <t>80810319</t>
  </si>
  <si>
    <t>ZARATE LARA GERMAN IVAN</t>
  </si>
  <si>
    <t>ZAR*** LAR* GER*** IVA*</t>
  </si>
  <si>
    <t>84030153</t>
  </si>
  <si>
    <t>ANGULO CERVANTES DARIO DE JESUS</t>
  </si>
  <si>
    <t>ANG*** CER****** DAR** DE JES**</t>
  </si>
  <si>
    <t>84048673</t>
  </si>
  <si>
    <t>CARO BAZZA ARNOBIO</t>
  </si>
  <si>
    <t>CAR* BAZ** ARN****</t>
  </si>
  <si>
    <t>84090478</t>
  </si>
  <si>
    <t>PEÑARANDA OLIVEROS ALVARO DAVID</t>
  </si>
  <si>
    <t>PEÑ****** OLI***** ALV*** DAV**</t>
  </si>
  <si>
    <t>84101496</t>
  </si>
  <si>
    <t>TORRES SAURITH JONNY</t>
  </si>
  <si>
    <t>TOR*** SAU**** JON**</t>
  </si>
  <si>
    <t>84450578</t>
  </si>
  <si>
    <t>LOPEZ OLIVERO CHRISTIAN DAVID</t>
  </si>
  <si>
    <t>LOP** OLI**** CHR****** DAV**</t>
  </si>
  <si>
    <t>84450660</t>
  </si>
  <si>
    <t>ANGULO VERGARA JOSE ANTONIO</t>
  </si>
  <si>
    <t>ANG*** VER**** JOS* ANT****</t>
  </si>
  <si>
    <t>84450924</t>
  </si>
  <si>
    <t>VILLAFAÑE PEREZ HAROL JAVIER</t>
  </si>
  <si>
    <t>VIL****** PER** HAR** JAV***</t>
  </si>
  <si>
    <t>84451067</t>
  </si>
  <si>
    <t>URUETA MOZO DAYASEV RAFAEL</t>
  </si>
  <si>
    <t>URU*** MOZ* DAY**** RAF***</t>
  </si>
  <si>
    <t>84451135</t>
  </si>
  <si>
    <t>PABON MORALES EDWIN FABIAN</t>
  </si>
  <si>
    <t>PAB** MOR**** EDW** FAB***</t>
  </si>
  <si>
    <t>84451215</t>
  </si>
  <si>
    <t>RICO HERNANDEZ RIGHY ROBERTO</t>
  </si>
  <si>
    <t>RIC* HER****** RIG** ROB****</t>
  </si>
  <si>
    <t>84452301</t>
  </si>
  <si>
    <t>ELJADUE AGUILAR YASSER ALEJANDRO</t>
  </si>
  <si>
    <t>ELJ**** AGU**** YAS*** ALE******</t>
  </si>
  <si>
    <t>84453056</t>
  </si>
  <si>
    <t>OROZCO ORTIZ VIRGILIO ANTONIO</t>
  </si>
  <si>
    <t>ORO*** ORT** VIR***** ANT****</t>
  </si>
  <si>
    <t>84453122</t>
  </si>
  <si>
    <t>POSADA ORTEGA ENRIQUE DE JESUS</t>
  </si>
  <si>
    <t>POS*** ORT*** ENR**** DE JES**</t>
  </si>
  <si>
    <t>84453724</t>
  </si>
  <si>
    <t>SALAS SALAS MIGUEL JOSE</t>
  </si>
  <si>
    <t>SAL** SAL** MIG*** JOS*</t>
  </si>
  <si>
    <t>84454336</t>
  </si>
  <si>
    <t>NAVARRO TORREGROSA EDER ANDRES</t>
  </si>
  <si>
    <t>NAV**** TOR******* EDE* AND***</t>
  </si>
  <si>
    <t>84454503</t>
  </si>
  <si>
    <t>ARCE GARAY RICARDO MARIO</t>
  </si>
  <si>
    <t>ARC* GAR** RIC**** MAR**</t>
  </si>
  <si>
    <t>84454578</t>
  </si>
  <si>
    <t>MORANTES LOBO ALVARO AUGUSTO</t>
  </si>
  <si>
    <t>MOR***** LOB* ALV*** AUG****</t>
  </si>
  <si>
    <t>84454603</t>
  </si>
  <si>
    <t>TAPIAS RODRIGUEZ ARITZ ALBERTO</t>
  </si>
  <si>
    <t>TAP*** ROD****** ARI** ALB****</t>
  </si>
  <si>
    <t>84456319</t>
  </si>
  <si>
    <t>DE LA CRUZ ARAGON LUKAS JOSE</t>
  </si>
  <si>
    <t>DE LA CRU* ARA*** LUK** JOS*</t>
  </si>
  <si>
    <t>84456556</t>
  </si>
  <si>
    <t>MONTENEGRO MALDONADO VICTOR JOSE</t>
  </si>
  <si>
    <t>MON******* MAL****** VIC*** JOS*</t>
  </si>
  <si>
    <t>84456704</t>
  </si>
  <si>
    <t>URUETA MEDRANO RAFAEL ALEJANDRO</t>
  </si>
  <si>
    <t>URU*** MED**** RAF*** ALE******</t>
  </si>
  <si>
    <t>84456708</t>
  </si>
  <si>
    <t>ORTIZ JEISSON ARMANDO</t>
  </si>
  <si>
    <t>ORT** JEI**** ARM****</t>
  </si>
  <si>
    <t>84457738</t>
  </si>
  <si>
    <t>VELASQUEZ CORVACHO CARLOS JUNIOR</t>
  </si>
  <si>
    <t>VEL****** COR***** CAR*** JUN***</t>
  </si>
  <si>
    <t>84457858</t>
  </si>
  <si>
    <t>MAIGUEL CARDENAS JOSE DE JESUS</t>
  </si>
  <si>
    <t>MAI**** CAR***** JOS* DE JES**</t>
  </si>
  <si>
    <t>84458406</t>
  </si>
  <si>
    <t>HORTA MIRANDA EDUARDO SALOMON</t>
  </si>
  <si>
    <t>HOR** MIR**** EDU**** SAL****</t>
  </si>
  <si>
    <t>84458614</t>
  </si>
  <si>
    <t>TORRES VILLAFAÑA NEFER ENRIQUE</t>
  </si>
  <si>
    <t>TOR*** VIL****** NEF** ENR****</t>
  </si>
  <si>
    <t>84458819</t>
  </si>
  <si>
    <t>FERREIRA OJEDA LUIS CARLOS</t>
  </si>
  <si>
    <t>FER***** OJE** LUI* CAR***</t>
  </si>
  <si>
    <t>84459338</t>
  </si>
  <si>
    <t>PACHECO ZARATE JOSE ANTONIO</t>
  </si>
  <si>
    <t>PAC**** ZAR*** JOS* ANT****</t>
  </si>
  <si>
    <t>85010121</t>
  </si>
  <si>
    <t>HENAO CASTILLO EFRAIN ENRIQUE</t>
  </si>
  <si>
    <t>HEN** CAS***** EFR*** ENR****</t>
  </si>
  <si>
    <t>85015053</t>
  </si>
  <si>
    <t>HERRERA GONZALEZ RAFAEL IGNACIO</t>
  </si>
  <si>
    <t>HER**** GON***** RAF*** IGN****</t>
  </si>
  <si>
    <t>85020115</t>
  </si>
  <si>
    <t>GIL CASTRO GUILLERMO AGUSTIN</t>
  </si>
  <si>
    <t>GIL CAS*** GUI****** AGU****</t>
  </si>
  <si>
    <t>85020466</t>
  </si>
  <si>
    <t>SILVA MADARRIAGA ARLIN DAVID</t>
  </si>
  <si>
    <t>SIL** MAD******* ARL** DAV**</t>
  </si>
  <si>
    <t>85025122</t>
  </si>
  <si>
    <t>GOMEZ HERNANDEZ ADELSO ENRIQUE</t>
  </si>
  <si>
    <t>GOM** HER****** ADE*** ENR****</t>
  </si>
  <si>
    <t>85040222</t>
  </si>
  <si>
    <t>SINNIG DIAZ FEDERICO GUILLERMO</t>
  </si>
  <si>
    <t>SIN*** DIA* FED***** GUI******</t>
  </si>
  <si>
    <t>85040248</t>
  </si>
  <si>
    <t>GUTIERREZ ABELLO LUIS MARIANO</t>
  </si>
  <si>
    <t>GUT****** ABE*** LUI* MAR****</t>
  </si>
  <si>
    <t>85040304</t>
  </si>
  <si>
    <t>PEÑALOZA CAPERA LEONARDO GREGORIO</t>
  </si>
  <si>
    <t>PEÑ***** CAP*** LEO***** GRE*****</t>
  </si>
  <si>
    <t>85040911</t>
  </si>
  <si>
    <t>MORENO RODRIGUEZ JOSE CANDELARIO</t>
  </si>
  <si>
    <t>MOR*** ROD****** JOS* CAN*******</t>
  </si>
  <si>
    <t>85050168</t>
  </si>
  <si>
    <t>PERTUZ CAÑAS LUIS MARTIN</t>
  </si>
  <si>
    <t>PER*** CAÑ** LUI* MAR***</t>
  </si>
  <si>
    <t>85080324</t>
  </si>
  <si>
    <t>GARIZABALO SUAREZ TRUMANCERY</t>
  </si>
  <si>
    <t>GAR******* SUA*** TRU*******</t>
  </si>
  <si>
    <t>85081090</t>
  </si>
  <si>
    <t>ACOSTA OSORIO CARLOS DE JESUS</t>
  </si>
  <si>
    <t>ACO*** OSO*** CAR*** DE JES**</t>
  </si>
  <si>
    <t>85081671</t>
  </si>
  <si>
    <t>DOMINGUEZ GUTIERREZ GUSTAVO JAVIER</t>
  </si>
  <si>
    <t>DOM****** GUT****** GUS**** JAV***</t>
  </si>
  <si>
    <t>85081721</t>
  </si>
  <si>
    <t>MENDOZA NAVARRO ARMANDO CESAR</t>
  </si>
  <si>
    <t>MEN**** NAV**** ARM**** CES**</t>
  </si>
  <si>
    <t>85081911</t>
  </si>
  <si>
    <t>DOMINGUEZ GUTIERREZ WALTER RAFAEL</t>
  </si>
  <si>
    <t>DOM****** GUT****** WAL*** RAF***</t>
  </si>
  <si>
    <t>85082538</t>
  </si>
  <si>
    <t>ACUÑA ACOSTA LUIS FERNANDO</t>
  </si>
  <si>
    <t>ACU** ACO*** LUI* FER*****</t>
  </si>
  <si>
    <t>85084090</t>
  </si>
  <si>
    <t>RETAMOZO DENNYS BLAS MANUEL</t>
  </si>
  <si>
    <t>RET***** DEN*** BLA* MAN***</t>
  </si>
  <si>
    <t>85110036</t>
  </si>
  <si>
    <t>CAMPO MENDEZ FERNANDO</t>
  </si>
  <si>
    <t>CAM** MEN*** FER*****</t>
  </si>
  <si>
    <t>85115033</t>
  </si>
  <si>
    <t>MEZA GARCIA ALBERTO RAFAEL</t>
  </si>
  <si>
    <t>MEZ* GAR*** ALB**** RAF***</t>
  </si>
  <si>
    <t>85125290</t>
  </si>
  <si>
    <t>PEREZ CASTRO ARNALDO JOSE</t>
  </si>
  <si>
    <t>PER** CAS*** ARN**** JOS*</t>
  </si>
  <si>
    <t>85125325</t>
  </si>
  <si>
    <t>HERNANDEZ ORTIZ UBALDO FEDERICO</t>
  </si>
  <si>
    <t>HER****** ORT** UBA*** FED*****</t>
  </si>
  <si>
    <t>85125451</t>
  </si>
  <si>
    <t>PRASCA MUÑOZ JOSE DE LOS SANTOS</t>
  </si>
  <si>
    <t>PRA*** MUÑ** JOS* DE LOS SAN***</t>
  </si>
  <si>
    <t>85125455</t>
  </si>
  <si>
    <t>MEZA MOSQUERA ALFREDO CARLOS</t>
  </si>
  <si>
    <t>MEZ* MOS***** ALF**** CAR***</t>
  </si>
  <si>
    <t>85125564</t>
  </si>
  <si>
    <t>TORRES TORREGROZA OSWALDO RAFAEL</t>
  </si>
  <si>
    <t>TOR*** TOR******* OSW**** RAF***</t>
  </si>
  <si>
    <t>85125592</t>
  </si>
  <si>
    <t>CARRILLO CARRILLO BLAS ANTONIO</t>
  </si>
  <si>
    <t>CAR***** CAR***** BLA* ANT****</t>
  </si>
  <si>
    <t>85125598</t>
  </si>
  <si>
    <t>HERNANDEZ ORTIZ ALVARO ENRIQUE</t>
  </si>
  <si>
    <t>HER****** ORT** ALV*** ENR****</t>
  </si>
  <si>
    <t>85125676</t>
  </si>
  <si>
    <t>DE LA HOZ GUAVITA IMEL ELIAS</t>
  </si>
  <si>
    <t>DE LA HOZ GUA**** IME* ELI**</t>
  </si>
  <si>
    <t>85125784</t>
  </si>
  <si>
    <t>VILLA ARAGON CAMPO ELIAS</t>
  </si>
  <si>
    <t>VIL** ARA*** CAM** ELI**</t>
  </si>
  <si>
    <t>85125847</t>
  </si>
  <si>
    <t>SAAVEDRA MOVILLA LUIS ENRIQUE</t>
  </si>
  <si>
    <t>SAA***** MOV**** LUI* ENR****</t>
  </si>
  <si>
    <t>85126009</t>
  </si>
  <si>
    <t>CASTRO COLON MARTIN EMILIO</t>
  </si>
  <si>
    <t>CAS*** COL** MAR*** EMI***</t>
  </si>
  <si>
    <t>85126012</t>
  </si>
  <si>
    <t>OROZCO JIMENEZ MARTIN ROBERTO</t>
  </si>
  <si>
    <t>ORO*** JIM**** MAR*** ROB****</t>
  </si>
  <si>
    <t>85126077</t>
  </si>
  <si>
    <t>ISAZA BARRIOS GELMER RAFAEL</t>
  </si>
  <si>
    <t>ISA** BAR**** GEL*** RAF***</t>
  </si>
  <si>
    <t>85126226</t>
  </si>
  <si>
    <t>OROZCO TORRES OSVALDO ENRIQUE</t>
  </si>
  <si>
    <t>ORO*** TOR*** OSV**** ENR****</t>
  </si>
  <si>
    <t>85126291</t>
  </si>
  <si>
    <t>BARCINILLA PEREA REINALDO ENRIQUE</t>
  </si>
  <si>
    <t>BAR******* PER** REI***** ENR****</t>
  </si>
  <si>
    <t>85126477</t>
  </si>
  <si>
    <t>VARELA SALINA SANTIAGO ANTONIO</t>
  </si>
  <si>
    <t>VAR*** SAL*** SAN***** ANT****</t>
  </si>
  <si>
    <t>85126502</t>
  </si>
  <si>
    <t>ZUÑIGA GUAVITA ALFREDO CARLOS</t>
  </si>
  <si>
    <t>ZUÑ*** GUA**** ALF**** CAR***</t>
  </si>
  <si>
    <t>85126512</t>
  </si>
  <si>
    <t>SUAREZ VARELA WILFRIDO ANTONIO</t>
  </si>
  <si>
    <t>SUA*** VAR*** WIL***** ANT****</t>
  </si>
  <si>
    <t>85126586</t>
  </si>
  <si>
    <t>BLANCO ROSADO EDUARDO</t>
  </si>
  <si>
    <t>BLA*** ROS*** EDU****</t>
  </si>
  <si>
    <t>85126590</t>
  </si>
  <si>
    <t>ESCALANTE MUÑOZ JORGE</t>
  </si>
  <si>
    <t>ESC****** MUÑ** JOR**</t>
  </si>
  <si>
    <t>85126642</t>
  </si>
  <si>
    <t>ARAGON PEREZ ROBERTO JAVIER</t>
  </si>
  <si>
    <t>ARA*** PER** ROB**** JAV***</t>
  </si>
  <si>
    <t>85126719</t>
  </si>
  <si>
    <t>HERAS LLANOS JULIO CESAR</t>
  </si>
  <si>
    <t>HER** LLA*** JUL** CES**</t>
  </si>
  <si>
    <t>85127099</t>
  </si>
  <si>
    <t>CAMPO SALAS JUAN CARLOS</t>
  </si>
  <si>
    <t>CAM** SAL** JUA* CAR***</t>
  </si>
  <si>
    <t>85127120</t>
  </si>
  <si>
    <t>POLO SALAS LUIS MARIANO</t>
  </si>
  <si>
    <t>POL* SAL** LUI* MAR****</t>
  </si>
  <si>
    <t>85127159</t>
  </si>
  <si>
    <t>CABEZA DE LA HOZ WILIAM ARMANDO</t>
  </si>
  <si>
    <t>CAB*** DE LA HOZ WIL*** ARM****</t>
  </si>
  <si>
    <t>85127212</t>
  </si>
  <si>
    <t>CASTRO ZUÑIGA OSCAR RAFAEL</t>
  </si>
  <si>
    <t>CAS*** ZUÑ*** OSC** RAF***</t>
  </si>
  <si>
    <t>85127352</t>
  </si>
  <si>
    <t>GUTIERREZ CASTRO VICTOR MANUEL</t>
  </si>
  <si>
    <t>GUT****** CAS*** VIC*** MAN***</t>
  </si>
  <si>
    <t>85127458</t>
  </si>
  <si>
    <t>DE LA ROSA BLANCO JESUS RAFAEL</t>
  </si>
  <si>
    <t>DE LA ROS* BLA*** JES** RAF***</t>
  </si>
  <si>
    <t>85127537</t>
  </si>
  <si>
    <t>SANCHEZ HURTADO JOSE JESUS</t>
  </si>
  <si>
    <t>SAN**** HUR**** JOS* JES**</t>
  </si>
  <si>
    <t>85127797</t>
  </si>
  <si>
    <t>HERNANDEZ POLO EDUARDO JESUS</t>
  </si>
  <si>
    <t>HER****** POL* EDU**** JES**</t>
  </si>
  <si>
    <t>85127863</t>
  </si>
  <si>
    <t>PADILLA MUÑOZ ROQUE DAVID</t>
  </si>
  <si>
    <t>PAD**** MUÑ** ROQ** DAV**</t>
  </si>
  <si>
    <t>85127906</t>
  </si>
  <si>
    <t>OSPINO PANTOJA WALTER RAFAEL</t>
  </si>
  <si>
    <t>OSP*** PAN**** WAL*** RAF***</t>
  </si>
  <si>
    <t>85150648</t>
  </si>
  <si>
    <t>ARROYO ARROYO ISMAEL</t>
  </si>
  <si>
    <t>ARR*** ARR*** ISM***</t>
  </si>
  <si>
    <t>85151238</t>
  </si>
  <si>
    <t>AGUILAR ANDRADE LUIS CARLOS</t>
  </si>
  <si>
    <t>AGU**** AND**** LUI* CAR***</t>
  </si>
  <si>
    <t>85152039</t>
  </si>
  <si>
    <t>ROSADO YEPEZ ARNALDO ANTONIO</t>
  </si>
  <si>
    <t>ROS*** YEP** ARN**** ANT****</t>
  </si>
  <si>
    <t>85152238</t>
  </si>
  <si>
    <t>VARELA PACHECO JORGE LUIS</t>
  </si>
  <si>
    <t>VAR*** PAC**** JOR** LUI*</t>
  </si>
  <si>
    <t>85152545</t>
  </si>
  <si>
    <t>MIER ESCORCIA JOSE RICARDO</t>
  </si>
  <si>
    <t>MIE* ESC***** JOS* RIC****</t>
  </si>
  <si>
    <t>85152944</t>
  </si>
  <si>
    <t>BILBAO MADERO MICHAEL ORLANDO</t>
  </si>
  <si>
    <t>BIL*** MAD*** MIC**** ORL****</t>
  </si>
  <si>
    <t>85153227</t>
  </si>
  <si>
    <t>BUSTAMANTE ORTEGA MANUEL DOMINGO</t>
  </si>
  <si>
    <t>BUS******* ORT*** MAN*** DOM****</t>
  </si>
  <si>
    <t>85153565</t>
  </si>
  <si>
    <t>BECERRA RAMIREZ MAYLLOL</t>
  </si>
  <si>
    <t>BEC**** RAM**** MAY****</t>
  </si>
  <si>
    <t>85153786</t>
  </si>
  <si>
    <t>HERRERA LOAIZA RUBEN ALI</t>
  </si>
  <si>
    <t>HER**** LOA*** RUB** ALI</t>
  </si>
  <si>
    <t>85153907</t>
  </si>
  <si>
    <t>ESCORCIA PENSO JOEL JOSE</t>
  </si>
  <si>
    <t>ESC***** PEN** JOE* JOS*</t>
  </si>
  <si>
    <t>85154082</t>
  </si>
  <si>
    <t>ANGULO CAMARGO ROBERTO LUIS</t>
  </si>
  <si>
    <t>ANG*** CAM**** ROB**** LUI*</t>
  </si>
  <si>
    <t>85154544</t>
  </si>
  <si>
    <t>DIAZ HERRERA LEONARDO ESTIVENSON</t>
  </si>
  <si>
    <t>DIA* HER**** LEO***** EST*******</t>
  </si>
  <si>
    <t>85154813</t>
  </si>
  <si>
    <t>FERNANDEZ DIAZ FERNANDO DIONISIO</t>
  </si>
  <si>
    <t>FER****** DIA* FER***** DIO*****</t>
  </si>
  <si>
    <t>85155074</t>
  </si>
  <si>
    <t>LOPEZ CUELLO JHOVANNY NAYID</t>
  </si>
  <si>
    <t>LOP** CUE*** JHO***** NAY**</t>
  </si>
  <si>
    <t>85155078</t>
  </si>
  <si>
    <t>FRANCO ARZUAGA DILSON RAFAEL</t>
  </si>
  <si>
    <t>FRA*** ARZ**** DIL*** RAF***</t>
  </si>
  <si>
    <t>85155112</t>
  </si>
  <si>
    <t>EBRAT ARAGON RAFAEL JOSE</t>
  </si>
  <si>
    <t>EBR** ARA*** RAF*** JOS*</t>
  </si>
  <si>
    <t>85155323</t>
  </si>
  <si>
    <t>VELEZ CARDONA GASTON</t>
  </si>
  <si>
    <t>VEL** CAR**** GAS***</t>
  </si>
  <si>
    <t>85155383</t>
  </si>
  <si>
    <t>GONZALEZ PEREZ RICHAR JAMES</t>
  </si>
  <si>
    <t>GON***** PER** RIC*** JAM**</t>
  </si>
  <si>
    <t>85160041</t>
  </si>
  <si>
    <t>ALVARADO PEDROZO HUGO</t>
  </si>
  <si>
    <t>ALV***** PED**** HUG*</t>
  </si>
  <si>
    <t>85160251</t>
  </si>
  <si>
    <t>MORON RANGEL RAFAEL VICENTE</t>
  </si>
  <si>
    <t>MOR** RAN*** RAF*** VIC****</t>
  </si>
  <si>
    <t>85160490</t>
  </si>
  <si>
    <t>CHAVEZ CRESPO EDILBERTO</t>
  </si>
  <si>
    <t>CHA*** CRE*** EDI******</t>
  </si>
  <si>
    <t>85160613</t>
  </si>
  <si>
    <t>SIERRA MORA LEOVIGILDO</t>
  </si>
  <si>
    <t>SIE*** MOR* LEO*******</t>
  </si>
  <si>
    <t>85160667</t>
  </si>
  <si>
    <t>ACOSTA ALFARO BELISARIO</t>
  </si>
  <si>
    <t>ACO*** ALF*** BEL******</t>
  </si>
  <si>
    <t>85160834</t>
  </si>
  <si>
    <t>ARANGO AVILA MARBEL</t>
  </si>
  <si>
    <t>ARA*** AVI** MAR***</t>
  </si>
  <si>
    <t>85160835</t>
  </si>
  <si>
    <t>QUINTERO MORENO EUSEBIO</t>
  </si>
  <si>
    <t>QUI***** MOR*** EUS****</t>
  </si>
  <si>
    <t>85161047</t>
  </si>
  <si>
    <t>VILLARRUEL PEREZ LEONEL</t>
  </si>
  <si>
    <t>VIL******* PER** LEO***</t>
  </si>
  <si>
    <t>85161070</t>
  </si>
  <si>
    <t>RODRIGUEZ RANGEL RAUL</t>
  </si>
  <si>
    <t>ROD****** RAN*** RAU*</t>
  </si>
  <si>
    <t>85161084</t>
  </si>
  <si>
    <t>ORTIZ VILLALOBOS MARTIN</t>
  </si>
  <si>
    <t>ORT** VIL******* MAR***</t>
  </si>
  <si>
    <t>85161126</t>
  </si>
  <si>
    <t>MERCADO ARDILA EFREN</t>
  </si>
  <si>
    <t>MER**** ARD*** EFR**</t>
  </si>
  <si>
    <t>85161170</t>
  </si>
  <si>
    <t>ZAMBRANO RANGEL JUAN DE DIOS</t>
  </si>
  <si>
    <t>ZAM***** RAN*** JUA* DE DIO*</t>
  </si>
  <si>
    <t>85161207</t>
  </si>
  <si>
    <t>OLANO RUIDIAZ DIOFANNY DE JESUS</t>
  </si>
  <si>
    <t>OLA** RUI**** DIO***** DE JES**</t>
  </si>
  <si>
    <t>85161466</t>
  </si>
  <si>
    <t>SOCARRAS DIAZ JESUS</t>
  </si>
  <si>
    <t>SOC***** DIA* JES**</t>
  </si>
  <si>
    <t>85161470</t>
  </si>
  <si>
    <t>YEPEZ GUTIERREZ ELIUT</t>
  </si>
  <si>
    <t>YEP** GUT****** ELI**</t>
  </si>
  <si>
    <t>85161487</t>
  </si>
  <si>
    <t>QUIROZ PEREZ OSWALDO</t>
  </si>
  <si>
    <t>QUI*** PER** OSW****</t>
  </si>
  <si>
    <t>85161519</t>
  </si>
  <si>
    <t>GONZALEZ ROJAS PABLO</t>
  </si>
  <si>
    <t>GON***** ROJ** PAB**</t>
  </si>
  <si>
    <t>85161525</t>
  </si>
  <si>
    <t>AGUILAR CARRERA ALVARO</t>
  </si>
  <si>
    <t>AGU**** CAR**** ALV***</t>
  </si>
  <si>
    <t>85161558</t>
  </si>
  <si>
    <t>MEJIA MENCO RODRIGO</t>
  </si>
  <si>
    <t>MEJ** MEN** ROD****</t>
  </si>
  <si>
    <t>85161583</t>
  </si>
  <si>
    <t>GUERRA BAGAROZZA VICTOR JOSE</t>
  </si>
  <si>
    <t>GUE*** BAG****** VIC*** JOS*</t>
  </si>
  <si>
    <t>85161621</t>
  </si>
  <si>
    <t>CAMACHO PINEDA ULFRAN EDUARDO</t>
  </si>
  <si>
    <t>CAM**** PIN*** ULF*** EDU****</t>
  </si>
  <si>
    <t>85161632</t>
  </si>
  <si>
    <t>GUERRA BORJA FIDEL</t>
  </si>
  <si>
    <t>GUE*** BOR** FID**</t>
  </si>
  <si>
    <t>85161661</t>
  </si>
  <si>
    <t>GUERRA FERREIRA GABRIEL</t>
  </si>
  <si>
    <t>GUE*** FER***** GAB****</t>
  </si>
  <si>
    <t>85161765</t>
  </si>
  <si>
    <t>NARVAEZ MOYA HERMEDITH</t>
  </si>
  <si>
    <t>NAR**** MOY* HER******</t>
  </si>
  <si>
    <t>85161873</t>
  </si>
  <si>
    <t>GUERRA FERREIRA ARMANDO</t>
  </si>
  <si>
    <t>GUE*** FER***** ARM****</t>
  </si>
  <si>
    <t>85162012</t>
  </si>
  <si>
    <t>SAUCEDO ZAMBRANO TOMAS</t>
  </si>
  <si>
    <t>SAU**** ZAM***** TOM**</t>
  </si>
  <si>
    <t>85162040</t>
  </si>
  <si>
    <t>MARTINEZ ALCENDRA LEONIS</t>
  </si>
  <si>
    <t>MAR***** ALC***** LEO***</t>
  </si>
  <si>
    <t>85162050</t>
  </si>
  <si>
    <t>VALENCIA RUIDIAZ ALIRIO</t>
  </si>
  <si>
    <t>VAL***** RUI**** ALI***</t>
  </si>
  <si>
    <t>85162109</t>
  </si>
  <si>
    <t>SANCHEZ MARTINEZ JOSE</t>
  </si>
  <si>
    <t>SAN**** MAR***** JOS*</t>
  </si>
  <si>
    <t>85162360</t>
  </si>
  <si>
    <t>TORRES RUIDIAZ EDER</t>
  </si>
  <si>
    <t>TOR*** RUI**** EDE*</t>
  </si>
  <si>
    <t>85162392</t>
  </si>
  <si>
    <t>CHAVEZ GONZALEZ DURLANDIS</t>
  </si>
  <si>
    <t>CHA*** GON***** DUR******</t>
  </si>
  <si>
    <t>85162426</t>
  </si>
  <si>
    <t>MEJIA OROZCO JORGE ENRIQUE</t>
  </si>
  <si>
    <t>MEJ** ORO*** JOR** ENR****</t>
  </si>
  <si>
    <t>85162533</t>
  </si>
  <si>
    <t>RANGEL PADILLA EUSEBIO</t>
  </si>
  <si>
    <t>RAN*** PAD**** EUS****</t>
  </si>
  <si>
    <t>85162544</t>
  </si>
  <si>
    <t>ARANGO AVILA DOMINIS</t>
  </si>
  <si>
    <t>ARA*** AVI** DOM****</t>
  </si>
  <si>
    <t>85162619</t>
  </si>
  <si>
    <t>GUZMAN HERNANDEZ HELMIN ELIECER</t>
  </si>
  <si>
    <t>GUZ*** HER****** HEL*** ELI****</t>
  </si>
  <si>
    <t>85162627</t>
  </si>
  <si>
    <t>FERNANDEZ MORA JAIME</t>
  </si>
  <si>
    <t>FER****** MOR* JAI**</t>
  </si>
  <si>
    <t>85162672</t>
  </si>
  <si>
    <t>ROJAS CRESPO WILMER</t>
  </si>
  <si>
    <t>ROJ** CRE*** WIL***</t>
  </si>
  <si>
    <t>85162702</t>
  </si>
  <si>
    <t>GUTIERREZ REALES LUIS FERNANDO</t>
  </si>
  <si>
    <t>GUT****** REA*** LUI* FER*****</t>
  </si>
  <si>
    <t>85162719</t>
  </si>
  <si>
    <t>FLORIAN ACONCHA ADOLFO</t>
  </si>
  <si>
    <t>FLO**** ACO**** ADO***</t>
  </si>
  <si>
    <t>85162721</t>
  </si>
  <si>
    <t>CADENA ARANGO DABINSON</t>
  </si>
  <si>
    <t>CAD*** ARA*** DAB*****</t>
  </si>
  <si>
    <t>85162723</t>
  </si>
  <si>
    <t>SAUCEDO CADENA ALFREDO</t>
  </si>
  <si>
    <t>SAU**** CAD*** ALF****</t>
  </si>
  <si>
    <t>85162758</t>
  </si>
  <si>
    <t>RONDANO RAMOS ELISEO</t>
  </si>
  <si>
    <t>RON**** RAM** ELI***</t>
  </si>
  <si>
    <t>85162831</t>
  </si>
  <si>
    <t>CASTRO PUELLO EVITELIO</t>
  </si>
  <si>
    <t>CAS*** PUE*** EVI*****</t>
  </si>
  <si>
    <t>85162842</t>
  </si>
  <si>
    <t>MUÑOZ MORENO JORGE</t>
  </si>
  <si>
    <t>MUÑ** MOR*** JOR**</t>
  </si>
  <si>
    <t>85162949</t>
  </si>
  <si>
    <t>LOPEZ SAUCEDO JAVIER ENRIQUE</t>
  </si>
  <si>
    <t>LOP** SAU**** JAV*** ENR****</t>
  </si>
  <si>
    <t>85163315</t>
  </si>
  <si>
    <t>CASTRO CASTRO CAMILO LELIS</t>
  </si>
  <si>
    <t>CAS*** CAS*** CAM*** LEL**</t>
  </si>
  <si>
    <t>85163380</t>
  </si>
  <si>
    <t>RODRIGUEZ PEREZ ORLANDO</t>
  </si>
  <si>
    <t>ROD****** PER** ORL****</t>
  </si>
  <si>
    <t>85163451</t>
  </si>
  <si>
    <t>PAYARES BANDERA HENRY</t>
  </si>
  <si>
    <t>PAY**** BAN**** HEN**</t>
  </si>
  <si>
    <t>85163517</t>
  </si>
  <si>
    <t>FUENTES RODRIGUEZ ALEJANDRO</t>
  </si>
  <si>
    <t>FUE**** ROD****** ALE******</t>
  </si>
  <si>
    <t>85163578</t>
  </si>
  <si>
    <t>PEDROZO OLIVEROS CARLOS ALBERTO</t>
  </si>
  <si>
    <t>PED**** OLI***** CAR*** ALB****</t>
  </si>
  <si>
    <t>85163694</t>
  </si>
  <si>
    <t>CADENA GUTIERREZ JOSE SANTANA</t>
  </si>
  <si>
    <t>CAD*** GUT****** JOS* SAN****</t>
  </si>
  <si>
    <t>85163714</t>
  </si>
  <si>
    <t>SANCHEZ ALFARO PARMENIDES</t>
  </si>
  <si>
    <t>SAN**** ALF*** PAR*******</t>
  </si>
  <si>
    <t>85163721</t>
  </si>
  <si>
    <t>MIRANDA ESTRADA LEONARDO</t>
  </si>
  <si>
    <t>MIR**** EST**** LEO*****</t>
  </si>
  <si>
    <t>85163816</t>
  </si>
  <si>
    <t>ALVEAR MIRANDA EVERALDO</t>
  </si>
  <si>
    <t>ALV*** MIR**** EVE*****</t>
  </si>
  <si>
    <t>85163857</t>
  </si>
  <si>
    <t>FLORIAN MARTINEZ NAYER</t>
  </si>
  <si>
    <t>FLO**** MAR***** NAY**</t>
  </si>
  <si>
    <t>85163861</t>
  </si>
  <si>
    <t>MIRANDA ALFARO FRANCISCO</t>
  </si>
  <si>
    <t>MIR**** ALF*** FRA******</t>
  </si>
  <si>
    <t>85163863</t>
  </si>
  <si>
    <t>ALVEAR PADILLA JAIRO</t>
  </si>
  <si>
    <t>ALV*** PAD**** JAI**</t>
  </si>
  <si>
    <t>85163895</t>
  </si>
  <si>
    <t>QUIROZ OLANO ELEISI</t>
  </si>
  <si>
    <t>QUI*** OLA** ELE***</t>
  </si>
  <si>
    <t>85163907</t>
  </si>
  <si>
    <t>GUERRA RINALDY DIOMEDES JOSE</t>
  </si>
  <si>
    <t>GUE*** RIN**** DIO***** JOS*</t>
  </si>
  <si>
    <t>85163918</t>
  </si>
  <si>
    <t>RUIDIAZ JIMENEZ JACOB</t>
  </si>
  <si>
    <t>RUI**** JIM**** JAC**</t>
  </si>
  <si>
    <t>85164145</t>
  </si>
  <si>
    <t>ROCHA GUILLEN YASMIN</t>
  </si>
  <si>
    <t>ROC** GUI**** YAS***</t>
  </si>
  <si>
    <t>85164162</t>
  </si>
  <si>
    <t>DIAZ FLORIAN ARSENIO</t>
  </si>
  <si>
    <t>DIA* FLO**** ARS****</t>
  </si>
  <si>
    <t>85164189</t>
  </si>
  <si>
    <t>OLIVEROS BELEÑO LUIS FERNANDO</t>
  </si>
  <si>
    <t>OLI***** BEL*** LUI* FER*****</t>
  </si>
  <si>
    <t>85164226</t>
  </si>
  <si>
    <t>PONCE OCHOA HUBER</t>
  </si>
  <si>
    <t>PON** OCH** HUB**</t>
  </si>
  <si>
    <t>85164269</t>
  </si>
  <si>
    <t>MARTINEZ RUIDIAZ RENE</t>
  </si>
  <si>
    <t>MAR***** RUI**** REN*</t>
  </si>
  <si>
    <t>85164449</t>
  </si>
  <si>
    <t>RANGEL FLOREZ ANTONIO CARLOS</t>
  </si>
  <si>
    <t>RAN*** FLO*** ANT**** CAR***</t>
  </si>
  <si>
    <t>85164548</t>
  </si>
  <si>
    <t>HERRERA JIMENEZ MILCIADES</t>
  </si>
  <si>
    <t>HER**** JIM**** MIL******</t>
  </si>
  <si>
    <t>85164688</t>
  </si>
  <si>
    <t>ROJAS CRESPO MARIO</t>
  </si>
  <si>
    <t>ROJ** CRE*** MAR**</t>
  </si>
  <si>
    <t>85164698</t>
  </si>
  <si>
    <t>FLOREZ LAGUNA YONEIRO</t>
  </si>
  <si>
    <t>FLO*** LAG*** YON****</t>
  </si>
  <si>
    <t>85164709</t>
  </si>
  <si>
    <t>FERREIRA ALFARO LUIS ALFONSO</t>
  </si>
  <si>
    <t>FER***** ALF*** LUI* ALF****</t>
  </si>
  <si>
    <t>85164720</t>
  </si>
  <si>
    <t>LUQUETTA LOPEZ ANGEL ERNESTO</t>
  </si>
  <si>
    <t>LUQ***** LOP** ANG** ERN****</t>
  </si>
  <si>
    <t>85164763</t>
  </si>
  <si>
    <t>NARVAEZ ZAMBRANO DELFO</t>
  </si>
  <si>
    <t>NAR**** ZAM***** DEL**</t>
  </si>
  <si>
    <t>85164780</t>
  </si>
  <si>
    <t>RIZO ESCOBAR JOSE DAVID</t>
  </si>
  <si>
    <t>RIZ* ESC**** JOS* DAV**</t>
  </si>
  <si>
    <t>85164795</t>
  </si>
  <si>
    <t>FLOREZ RANGEL IDOLFO</t>
  </si>
  <si>
    <t>FLO*** RAN*** IDO***</t>
  </si>
  <si>
    <t>85164828</t>
  </si>
  <si>
    <t>VILLARRUEL RANGEL AGAPITO</t>
  </si>
  <si>
    <t>VIL******* RAN*** AGA****</t>
  </si>
  <si>
    <t>85164931</t>
  </si>
  <si>
    <t>LOPEZ RANGEL ALEXANDER JOSE</t>
  </si>
  <si>
    <t>LOP** RAN*** ALE****** JOS*</t>
  </si>
  <si>
    <t>85164944</t>
  </si>
  <si>
    <t>RUIDIAZ RIVERA ALEXANDER</t>
  </si>
  <si>
    <t>RUI**** RIV*** ALE******</t>
  </si>
  <si>
    <t>85165224</t>
  </si>
  <si>
    <t>CUELLO ALFARO ALBERTO</t>
  </si>
  <si>
    <t>CUE*** ALF*** ALB****</t>
  </si>
  <si>
    <t>85165398</t>
  </si>
  <si>
    <t>YEPEZ SANTOS LUIS ALBERTO</t>
  </si>
  <si>
    <t>YEP** SAN*** LUI* ALB****</t>
  </si>
  <si>
    <t>85165626</t>
  </si>
  <si>
    <t>PEDROZO MIRANDA ABDON</t>
  </si>
  <si>
    <t>PED**** MIR**** ABD**</t>
  </si>
  <si>
    <t>85165731</t>
  </si>
  <si>
    <t>JIMENEZ JIMENEZ JAIDER</t>
  </si>
  <si>
    <t>JIM**** JIM**** JAI***</t>
  </si>
  <si>
    <t>85165901</t>
  </si>
  <si>
    <t>MEJIA SANCHEZ FERNANDO</t>
  </si>
  <si>
    <t>MEJ** SAN**** FER*****</t>
  </si>
  <si>
    <t>85165997</t>
  </si>
  <si>
    <t>MARTINEZ CHIQUILLO JHON JAIRO</t>
  </si>
  <si>
    <t>MAR***** CHI****** JHO* JAI**</t>
  </si>
  <si>
    <t>85166087</t>
  </si>
  <si>
    <t>CUELLO ALFARO EWDUIN JESUS</t>
  </si>
  <si>
    <t>CUE*** ALF*** EWD*** JES**</t>
  </si>
  <si>
    <t>85166100</t>
  </si>
  <si>
    <t>GUERRA PALOMINO ANDRES GUILLERMO</t>
  </si>
  <si>
    <t>GUE*** PAL***** AND*** GUI******</t>
  </si>
  <si>
    <t>85166123</t>
  </si>
  <si>
    <t>RICO NIETO RUDESINDO</t>
  </si>
  <si>
    <t>RIC* NIE** RUD******</t>
  </si>
  <si>
    <t>85166198</t>
  </si>
  <si>
    <t>VILLARREAL AVILA BEGNY RAFAEL</t>
  </si>
  <si>
    <t>VIL******* AVI** BEG** RAF***</t>
  </si>
  <si>
    <t>85166358</t>
  </si>
  <si>
    <t>ALVARADO VILLAFAÑE JHON JAIDER</t>
  </si>
  <si>
    <t>ALV***** VIL****** JHO* JAI***</t>
  </si>
  <si>
    <t>85166360</t>
  </si>
  <si>
    <t>GUERRA NAVARRO GABRIEL</t>
  </si>
  <si>
    <t>GUE*** NAV**** GAB****</t>
  </si>
  <si>
    <t>85166486</t>
  </si>
  <si>
    <t>VILLAREAL MARTINEZ JAMES</t>
  </si>
  <si>
    <t>VIL****** MAR***** JAM**</t>
  </si>
  <si>
    <t>85166825</t>
  </si>
  <si>
    <t>VEGA ALCENDRA EMILIO JOSE</t>
  </si>
  <si>
    <t>VEG* ALC***** EMI*** JOS*</t>
  </si>
  <si>
    <t>85166844</t>
  </si>
  <si>
    <t>FONSECA RUIDIAZ FRADDY</t>
  </si>
  <si>
    <t>FON**** RUI**** FRA***</t>
  </si>
  <si>
    <t>85167055</t>
  </si>
  <si>
    <t>RODRIGUEZ MUÑOZ ADLER JOHAN</t>
  </si>
  <si>
    <t>ROD****** MUÑ** ADL** JOH**</t>
  </si>
  <si>
    <t>85167097</t>
  </si>
  <si>
    <t>TORRES LEON FERNANDO</t>
  </si>
  <si>
    <t>TOR*** LEO* FER*****</t>
  </si>
  <si>
    <t>85167112</t>
  </si>
  <si>
    <t>MARTINEZ PEDROZO YAIR</t>
  </si>
  <si>
    <t>MAR***** PED**** YAI*</t>
  </si>
  <si>
    <t>85167271</t>
  </si>
  <si>
    <t>GUERRA RANGEL ALEXI</t>
  </si>
  <si>
    <t>GUE*** RAN*** ALE**</t>
  </si>
  <si>
    <t>85167350</t>
  </si>
  <si>
    <t>MEJIA SANCHEZ ALVARO</t>
  </si>
  <si>
    <t>MEJ** SAN**** ALV***</t>
  </si>
  <si>
    <t>85167357</t>
  </si>
  <si>
    <t>RICAURTE CADENA CORNELIO ENRIQUE</t>
  </si>
  <si>
    <t>RIC***** CAD*** COR***** ENR****</t>
  </si>
  <si>
    <t>85167801</t>
  </si>
  <si>
    <t>RANGEL FLOREZ JHONY</t>
  </si>
  <si>
    <t>RAN*** FLO*** JHO**</t>
  </si>
  <si>
    <t>85167860</t>
  </si>
  <si>
    <t>CASTRO CANTILLO CARLOS ALBERTO</t>
  </si>
  <si>
    <t>CAS*** CAN***** CAR*** ALB****</t>
  </si>
  <si>
    <t>85168167</t>
  </si>
  <si>
    <t>RANGEL RIBON MARIO ALFONSO</t>
  </si>
  <si>
    <t>RAN*** RIB** MAR** ALF****</t>
  </si>
  <si>
    <t>85169034</t>
  </si>
  <si>
    <t>HERNANDEZ GONZALEZ ALEXANDER</t>
  </si>
  <si>
    <t>HER****** GON***** ALE******</t>
  </si>
  <si>
    <t>85200209</t>
  </si>
  <si>
    <t>LOPEZ PALOMINO ROBERTO HUGO</t>
  </si>
  <si>
    <t>LOP** PAL***** ROB**** HUG*</t>
  </si>
  <si>
    <t>85200214</t>
  </si>
  <si>
    <t>CUDRIS FAJARDO CARLOS ALBERTO</t>
  </si>
  <si>
    <t>CUD*** FAJ**** CAR*** ALB****</t>
  </si>
  <si>
    <t>85200226</t>
  </si>
  <si>
    <t>RADA ARRIETA AZAEL ENRIQUE</t>
  </si>
  <si>
    <t>RAD* ARR**** AZA** ENR****</t>
  </si>
  <si>
    <t>85200312</t>
  </si>
  <si>
    <t>ATUESTA LOPEZ DEVIS TORIBIO</t>
  </si>
  <si>
    <t>ATU**** LOP** DEV** TOR****</t>
  </si>
  <si>
    <t>85200469</t>
  </si>
  <si>
    <t>VILLANUEVA TORRES GREGORIO DAVID</t>
  </si>
  <si>
    <t>VIL******* TOR*** GRE***** DAV**</t>
  </si>
  <si>
    <t>85200521</t>
  </si>
  <si>
    <t>DAVILA PEREZ RUGERO MANUEL</t>
  </si>
  <si>
    <t>DAV*** PER** RUG*** MAN***</t>
  </si>
  <si>
    <t>85200662</t>
  </si>
  <si>
    <t>LOPEZ NAVARRO ARIEL</t>
  </si>
  <si>
    <t>LOP** NAV**** ARI**</t>
  </si>
  <si>
    <t>85200856</t>
  </si>
  <si>
    <t>PORTELA VILLAMIZAR LIDIBER</t>
  </si>
  <si>
    <t>POR**** VIL******* LID****</t>
  </si>
  <si>
    <t>85200875</t>
  </si>
  <si>
    <t>VILLANUEVA TORRES LUIS ALFONSO</t>
  </si>
  <si>
    <t>VIL******* TOR*** LUI* ALF****</t>
  </si>
  <si>
    <t>85200886</t>
  </si>
  <si>
    <t>FUENTES SALAS RUBEN</t>
  </si>
  <si>
    <t>FUE**** SAL** RUB**</t>
  </si>
  <si>
    <t>85200995</t>
  </si>
  <si>
    <t>RAMIREZ TAFUR EDINSON MANUEL</t>
  </si>
  <si>
    <t>RAM**** TAF** EDI**** MAN***</t>
  </si>
  <si>
    <t>85201041</t>
  </si>
  <si>
    <t>ACOSTA PADILLA BERNARDO JOSE</t>
  </si>
  <si>
    <t>ACO*** PAD**** BER***** JOS*</t>
  </si>
  <si>
    <t>85201092</t>
  </si>
  <si>
    <t>GUTIERREZ RODERO FELIX MIGUEL</t>
  </si>
  <si>
    <t>GUT****** ROD*** FEL** MIG***</t>
  </si>
  <si>
    <t>85201157</t>
  </si>
  <si>
    <t>NOVOA RONCALLO JAIME ENRIQUE</t>
  </si>
  <si>
    <t>NOV** RON***** JAI** ENR****</t>
  </si>
  <si>
    <t>85201170</t>
  </si>
  <si>
    <t>SIERRA MARTINEZ JAVIER ANTONIO</t>
  </si>
  <si>
    <t>SIE*** MAR***** JAV*** ANT****</t>
  </si>
  <si>
    <t>85201230</t>
  </si>
  <si>
    <t>TAFUR ALVAREZ MARTIN GREGORIO</t>
  </si>
  <si>
    <t>TAF** ALV**** MAR*** GRE*****</t>
  </si>
  <si>
    <t>85201292</t>
  </si>
  <si>
    <t>FAJARDO SANCHEZ LUIS RAFAEL</t>
  </si>
  <si>
    <t>FAJ**** SAN**** LUI* RAF***</t>
  </si>
  <si>
    <t>85201302</t>
  </si>
  <si>
    <t>CAMPO ACUÑA EDILBERTO DE JESUS</t>
  </si>
  <si>
    <t>CAM** ACU** EDI****** DE JES**</t>
  </si>
  <si>
    <t>85201345</t>
  </si>
  <si>
    <t>ALFARO AGUILAR LENIN JOSE</t>
  </si>
  <si>
    <t>ALF*** AGU**** LEN** JOS*</t>
  </si>
  <si>
    <t>85201440</t>
  </si>
  <si>
    <t>SINNING ATUESTA RAFAEL RUGERO</t>
  </si>
  <si>
    <t>SIN**** ATU**** RAF*** RUG***</t>
  </si>
  <si>
    <t>85201455</t>
  </si>
  <si>
    <t>QUEVEDO ANGEL JORGE ALBERTO</t>
  </si>
  <si>
    <t>QUE**** ANG** JOR** ALB****</t>
  </si>
  <si>
    <t>85201466</t>
  </si>
  <si>
    <t>OSPINO MEZA JOSE VICENTE</t>
  </si>
  <si>
    <t>OSP*** MEZ* JOS* VIC****</t>
  </si>
  <si>
    <t>85201480</t>
  </si>
  <si>
    <t>CAMPO JIMENEZ NICOLAS SEGUNDO</t>
  </si>
  <si>
    <t>CAM** JIM**** NIC**** SEG****</t>
  </si>
  <si>
    <t>85201487</t>
  </si>
  <si>
    <t>MERCADO FERNANDO JAVIER</t>
  </si>
  <si>
    <t>MER**** FER***** JAV***</t>
  </si>
  <si>
    <t>85201515</t>
  </si>
  <si>
    <t>JIMENEZ ORTEGA EDUARDO RAFAEL</t>
  </si>
  <si>
    <t>JIM**** ORT*** EDU**** RAF***</t>
  </si>
  <si>
    <t>85201532</t>
  </si>
  <si>
    <t>GIL JARABA LUIS CARLOS</t>
  </si>
  <si>
    <t>GIL JAR*** LUI* CAR***</t>
  </si>
  <si>
    <t>85201545</t>
  </si>
  <si>
    <t>RUIZ LOPEZ PEDRO JOSE</t>
  </si>
  <si>
    <t>RUI* LOP** PED** JOS*</t>
  </si>
  <si>
    <t>85201551</t>
  </si>
  <si>
    <t>ACUÑA GARIZADO TEOBALDO ENRIQUE</t>
  </si>
  <si>
    <t>ACU** GAR***** TEO***** ENR****</t>
  </si>
  <si>
    <t>85201555</t>
  </si>
  <si>
    <t>ARRIETA LOPEZ STANLEY ENRIQUE</t>
  </si>
  <si>
    <t>ARR**** LOP** STA**** ENR****</t>
  </si>
  <si>
    <t>85201561</t>
  </si>
  <si>
    <t>JIMENEZ JIMENEZ PASCUAL ANTONIO</t>
  </si>
  <si>
    <t>JIM**** JIM**** PAS**** ANT****</t>
  </si>
  <si>
    <t>85201603</t>
  </si>
  <si>
    <t>BASTIDAS YEPEZ DONALDO MIGUEL</t>
  </si>
  <si>
    <t>BAS***** YEP** DON**** MIG***</t>
  </si>
  <si>
    <t>85201620</t>
  </si>
  <si>
    <t>JIMENEZ OLIVEROS HECTOR DAVID</t>
  </si>
  <si>
    <t>JIM**** OLI***** HEC*** DAV**</t>
  </si>
  <si>
    <t>85201650</t>
  </si>
  <si>
    <t>SINNING ATUESTA EVERTH MANUEL</t>
  </si>
  <si>
    <t>SIN**** ATU**** EVE*** MAN***</t>
  </si>
  <si>
    <t>85201656</t>
  </si>
  <si>
    <t>HERNANDEZ PUELLO WILLIAM ENRIQUE</t>
  </si>
  <si>
    <t>HER****** PUE*** WIL**** ENR****</t>
  </si>
  <si>
    <t>85201667</t>
  </si>
  <si>
    <t>TAPIA JIMENEZ NELSON RAFAEL</t>
  </si>
  <si>
    <t>TAP** JIM**** NEL*** RAF***</t>
  </si>
  <si>
    <t>85201676</t>
  </si>
  <si>
    <t>BARRETO DUQUE CARLOS GEOBANI</t>
  </si>
  <si>
    <t>BAR**** DUQ** CAR*** GEO****</t>
  </si>
  <si>
    <t>85201698</t>
  </si>
  <si>
    <t>CATALAN ROJAS PEDRO ELIAS</t>
  </si>
  <si>
    <t>CAT**** ROJ** PED** ELI**</t>
  </si>
  <si>
    <t>85201708</t>
  </si>
  <si>
    <t>URBINA TORRES NELSON MIGUEL</t>
  </si>
  <si>
    <t>URB*** TOR*** NEL*** MIG***</t>
  </si>
  <si>
    <t>85201736</t>
  </si>
  <si>
    <t>SALAZAR MATUTE OSCAR ALONSO</t>
  </si>
  <si>
    <t>SAL**** MAT*** OSC** ALO***</t>
  </si>
  <si>
    <t>85201739</t>
  </si>
  <si>
    <t>JIMENEZ PEREZ EDGARDO</t>
  </si>
  <si>
    <t>JIM**** PER** EDG****</t>
  </si>
  <si>
    <t>85201759</t>
  </si>
  <si>
    <t>CAMPO JIMENEZ JOSE ALEJANDRO</t>
  </si>
  <si>
    <t>CAM** JIM**** JOS* ALE******</t>
  </si>
  <si>
    <t>85201798</t>
  </si>
  <si>
    <t>OLIVERO ACUÑA CANDELARIO JOSE</t>
  </si>
  <si>
    <t>OLI**** ACU** CAN******* JOS*</t>
  </si>
  <si>
    <t>85201803</t>
  </si>
  <si>
    <t>PIANETA GARCIA JUAN JOSE</t>
  </si>
  <si>
    <t>PIA**** GAR*** JUA* JOS*</t>
  </si>
  <si>
    <t>85201851</t>
  </si>
  <si>
    <t>MEJIA HERNANDEZ LUIS ALONSO</t>
  </si>
  <si>
    <t>MEJ** HER****** LUI* ALO***</t>
  </si>
  <si>
    <t>85201853</t>
  </si>
  <si>
    <t>GOMEZ MANCERA ALVARO SIMON</t>
  </si>
  <si>
    <t>GOM** MAN**** ALV*** SIM**</t>
  </si>
  <si>
    <t>85201878</t>
  </si>
  <si>
    <t>PABA CONTRERAS JAIR DE JESUS</t>
  </si>
  <si>
    <t>PAB* CON****** JAI* DE JES**</t>
  </si>
  <si>
    <t>85201891</t>
  </si>
  <si>
    <t>AGUIRRE LOPEZ ALAIN NIBALDO</t>
  </si>
  <si>
    <t>AGU**** LOP** ALA** NIB****</t>
  </si>
  <si>
    <t>85201904</t>
  </si>
  <si>
    <t>PADILLA RUIZ EDUARDO MIGUEL</t>
  </si>
  <si>
    <t>PAD**** RUI* EDU**** MIG***</t>
  </si>
  <si>
    <t>85201940</t>
  </si>
  <si>
    <t>ACUÑA MORALES NELSON JOSE</t>
  </si>
  <si>
    <t>ACU** MOR**** NEL*** JOS*</t>
  </si>
  <si>
    <t>85201946</t>
  </si>
  <si>
    <t>MERCADO NAJERA EDGARDO</t>
  </si>
  <si>
    <t>MER**** NAJ*** EDG****</t>
  </si>
  <si>
    <t>85201973</t>
  </si>
  <si>
    <t>GOMEZ OLIVEROS JOSE GREGORIO</t>
  </si>
  <si>
    <t>GOM** OLI***** JOS* GRE*****</t>
  </si>
  <si>
    <t>85201981</t>
  </si>
  <si>
    <t>LOPEZ CASSERES DOVIDES</t>
  </si>
  <si>
    <t>LOP** CAS***** DOV****</t>
  </si>
  <si>
    <t>85202013</t>
  </si>
  <si>
    <t>PADILLA VEGA LEONEL GUILLERMO</t>
  </si>
  <si>
    <t>PAD**** VEG* LEO*** GUI******</t>
  </si>
  <si>
    <t>85202016</t>
  </si>
  <si>
    <t>DELGADO RODERO OSCAR GUILLERMO</t>
  </si>
  <si>
    <t>DEL**** ROD*** OSC** GUI******</t>
  </si>
  <si>
    <t>85202066</t>
  </si>
  <si>
    <t>RUIZ GARCIA ROBINSON MANUEL</t>
  </si>
  <si>
    <t>RUI* GAR*** ROB***** MAN***</t>
  </si>
  <si>
    <t>85202129</t>
  </si>
  <si>
    <t>GUTIERREZ RODERO PABLO EDUARDO</t>
  </si>
  <si>
    <t>GUT****** ROD*** PAB** EDU****</t>
  </si>
  <si>
    <t>85202170</t>
  </si>
  <si>
    <t>OSPINO ORTIZ NIBALDO</t>
  </si>
  <si>
    <t>OSP*** ORT** NIB****</t>
  </si>
  <si>
    <t>85202207</t>
  </si>
  <si>
    <t>ACUÑA YEPEZ GREGORIO DE JESUS</t>
  </si>
  <si>
    <t>ACU** YEP** GRE***** DE JES**</t>
  </si>
  <si>
    <t>85202209</t>
  </si>
  <si>
    <t>PINTO ARAZO EDUBER</t>
  </si>
  <si>
    <t>PIN** ARA** EDU***</t>
  </si>
  <si>
    <t>85202210</t>
  </si>
  <si>
    <t>AGAMEZ RICO WILSON DE JESUS</t>
  </si>
  <si>
    <t>AGA*** RIC* WIL*** DE JES**</t>
  </si>
  <si>
    <t>85202220</t>
  </si>
  <si>
    <t>GAZCON ORTEGA WILINGTON MIGUEL</t>
  </si>
  <si>
    <t>GAZ*** ORT*** WIL****** MIG***</t>
  </si>
  <si>
    <t>85202278</t>
  </si>
  <si>
    <t>ROJAS JAVIER CAMILO</t>
  </si>
  <si>
    <t>ROJ** JAV*** CAM***</t>
  </si>
  <si>
    <t>85202417</t>
  </si>
  <si>
    <t>LEMUS MERIÑO LORENZO ENRIQUE</t>
  </si>
  <si>
    <t>LEM** MER*** LOR**** ENR****</t>
  </si>
  <si>
    <t>85202485</t>
  </si>
  <si>
    <t>FARELO MANZUR HERNAN ENRIQUE</t>
  </si>
  <si>
    <t>FAR*** MAN*** HER*** ENR****</t>
  </si>
  <si>
    <t>85202672</t>
  </si>
  <si>
    <t>BENAVIDES LARA MANUEL DOMINGO</t>
  </si>
  <si>
    <t>BEN****** LAR* MAN*** DOM****</t>
  </si>
  <si>
    <t>85202760</t>
  </si>
  <si>
    <t>MOLINA GUTIERREZ ARIEL JOSE</t>
  </si>
  <si>
    <t>MOL*** GUT****** ARI** JOS*</t>
  </si>
  <si>
    <t>85202790</t>
  </si>
  <si>
    <t>MEJIA YEPES CATALINO ANTONIO</t>
  </si>
  <si>
    <t>MEJ** YEP** CAT***** ANT****</t>
  </si>
  <si>
    <t>85202797</t>
  </si>
  <si>
    <t>PABA GONZALEZ AMAURI</t>
  </si>
  <si>
    <t>PAB* GON***** AMA***</t>
  </si>
  <si>
    <t>85202887</t>
  </si>
  <si>
    <t>AGUILERA RODERO LUIS EDUARDO</t>
  </si>
  <si>
    <t>AGU***** ROD*** LUI* EDU****</t>
  </si>
  <si>
    <t>85202976</t>
  </si>
  <si>
    <t>PACHECO MARTINEZ CARLOS ALBERTO</t>
  </si>
  <si>
    <t>PAC**** MAR***** CAR*** ALB****</t>
  </si>
  <si>
    <t>85203186</t>
  </si>
  <si>
    <t>HERNANDEZ MACHADO CARLOS AUGUSTO</t>
  </si>
  <si>
    <t>HER****** MAC**** CAR*** AUG****</t>
  </si>
  <si>
    <t>85203286</t>
  </si>
  <si>
    <t>BENAVIDES PINO JERIMBER JOSE</t>
  </si>
  <si>
    <t>BEN****** PIN* JER***** JOS*</t>
  </si>
  <si>
    <t>85203294</t>
  </si>
  <si>
    <t>LARIOS OROZCO NUMBERTO CARLOS</t>
  </si>
  <si>
    <t>LAR*** ORO*** NUM***** CAR***</t>
  </si>
  <si>
    <t>85203668</t>
  </si>
  <si>
    <t>DURAN RAMIREZ JOSE MANUEL</t>
  </si>
  <si>
    <t>DUR** RAM**** JOS* MAN***</t>
  </si>
  <si>
    <t>85203752</t>
  </si>
  <si>
    <t>HERAZO PEREIRA ALVARO ENRIQUE</t>
  </si>
  <si>
    <t>HER*** PER**** ALV*** ENR****</t>
  </si>
  <si>
    <t>85203808</t>
  </si>
  <si>
    <t>ANDRADE BRAVO WILLIAM RAFAEL</t>
  </si>
  <si>
    <t>AND**** BRA** WIL**** RAF***</t>
  </si>
  <si>
    <t>85203819</t>
  </si>
  <si>
    <t>ALDANA BENITEZ YOIMAR ALEXIS</t>
  </si>
  <si>
    <t>ALD*** BEN**** YOI*** ALE***</t>
  </si>
  <si>
    <t>85203840</t>
  </si>
  <si>
    <t>LARIOS JIMENEZ LEONARDO JESUS</t>
  </si>
  <si>
    <t>LAR*** JIM**** LEO***** JES**</t>
  </si>
  <si>
    <t>85203921</t>
  </si>
  <si>
    <t>CARRETERO RUIZ RAUL IVAN</t>
  </si>
  <si>
    <t>CAR****** RUI* RAU* IVA*</t>
  </si>
  <si>
    <t>85204742</t>
  </si>
  <si>
    <t>LARIOS PEREZ JORGE IVAN</t>
  </si>
  <si>
    <t>LAR*** PER** JOR** IVA*</t>
  </si>
  <si>
    <t>85260523</t>
  </si>
  <si>
    <t>JIMENEZ OROZCO HENRY ALFONSO</t>
  </si>
  <si>
    <t>JIM**** ORO*** HEN** ALF****</t>
  </si>
  <si>
    <t>85261748</t>
  </si>
  <si>
    <t>RADA BONETT ANDRES ALFONSO</t>
  </si>
  <si>
    <t>RAD* BON*** AND*** ALF****</t>
  </si>
  <si>
    <t>85262006</t>
  </si>
  <si>
    <t>JULIO ROJAS ALIRIO ALFONSO</t>
  </si>
  <si>
    <t>JUL** ROJ** ALI*** ALF****</t>
  </si>
  <si>
    <t>85270219</t>
  </si>
  <si>
    <t>SANCHEZ RADA DUBER</t>
  </si>
  <si>
    <t>SAN**** RAD* DUB**</t>
  </si>
  <si>
    <t>85270325</t>
  </si>
  <si>
    <t>HERRERA OVIEDO ADALBERTO</t>
  </si>
  <si>
    <t>HER**** OVI*** ADA******</t>
  </si>
  <si>
    <t>85270711</t>
  </si>
  <si>
    <t>MORA VERDUGO SAMUEL JARIB</t>
  </si>
  <si>
    <t>MOR* VER**** SAM*** JAR**</t>
  </si>
  <si>
    <t>85270928</t>
  </si>
  <si>
    <t>FLORIAN CARRASCAL EDWIN</t>
  </si>
  <si>
    <t>FLO**** CAR****** EDW**</t>
  </si>
  <si>
    <t>85271209</t>
  </si>
  <si>
    <t>PEDROZO LOPEZ DANIEL ANDRES</t>
  </si>
  <si>
    <t>PED**** LOP** DAN*** AND***</t>
  </si>
  <si>
    <t>85271240</t>
  </si>
  <si>
    <t>MORALES SEPULVEDA XAVIER</t>
  </si>
  <si>
    <t>MOR**** SEP****** XAV***</t>
  </si>
  <si>
    <t>85271577</t>
  </si>
  <si>
    <t>ALVEAR HIDALGO AMIN JOSE</t>
  </si>
  <si>
    <t>ALV*** HID**** AMI* JOS*</t>
  </si>
  <si>
    <t>85271825</t>
  </si>
  <si>
    <t>RUIZ VIDES CARLOS ALBERTO</t>
  </si>
  <si>
    <t>RUI* VID** CAR*** ALB****</t>
  </si>
  <si>
    <t>85272171</t>
  </si>
  <si>
    <t>CURE SALTAREN LUIS ALBERTO</t>
  </si>
  <si>
    <t>CUR* SAL***** LUI* ALB****</t>
  </si>
  <si>
    <t>85272365</t>
  </si>
  <si>
    <t>QUINTERO BLANCO DAVID</t>
  </si>
  <si>
    <t>QUI***** BLA*** DAV**</t>
  </si>
  <si>
    <t>85272457</t>
  </si>
  <si>
    <t>RANGEL DIAZ CARLOS ALBERTO</t>
  </si>
  <si>
    <t>RAN*** DIA* CAR*** ALB****</t>
  </si>
  <si>
    <t>85273043</t>
  </si>
  <si>
    <t>VARGAS RADA JAIRO JOSE</t>
  </si>
  <si>
    <t>VAR*** RAD* JAI** JOS*</t>
  </si>
  <si>
    <t>85350005</t>
  </si>
  <si>
    <t>PEREZ FLORIAN RAMIRO</t>
  </si>
  <si>
    <t>PER** FLO**** RAM***</t>
  </si>
  <si>
    <t>85370574</t>
  </si>
  <si>
    <t>DELGADO DAVILA NORBERTO</t>
  </si>
  <si>
    <t>DEL**** DAV*** NOR*****</t>
  </si>
  <si>
    <t>85370793</t>
  </si>
  <si>
    <t>SIERRA PEÑA ALAIN DAVID</t>
  </si>
  <si>
    <t>SIE*** PEÑ* ALA** DAV**</t>
  </si>
  <si>
    <t>85370841</t>
  </si>
  <si>
    <t>SILVA GUTIERREZ ISMAEL JULIAN</t>
  </si>
  <si>
    <t>SIL** GUT****** ISM*** JUL***</t>
  </si>
  <si>
    <t>85370875</t>
  </si>
  <si>
    <t>GARCIA BURGOS RAMON ENRIQUE</t>
  </si>
  <si>
    <t>GAR*** BUR*** RAM** ENR****</t>
  </si>
  <si>
    <t>85372232</t>
  </si>
  <si>
    <t>CASTILLO CONSTANTE JADDER ALFONSO</t>
  </si>
  <si>
    <t>CAS***** CON****** JAD*** ALF****</t>
  </si>
  <si>
    <t>85372402</t>
  </si>
  <si>
    <t>OSPINA ARANGO FRANKLIN JAVIER</t>
  </si>
  <si>
    <t>OSP*** ARA*** FRA***** JAV***</t>
  </si>
  <si>
    <t>85373217</t>
  </si>
  <si>
    <t>SANTACOLOMA POLO JOSAFATH JORAM</t>
  </si>
  <si>
    <t>SAN******** POL* JOS***** JOR**</t>
  </si>
  <si>
    <t>85373560</t>
  </si>
  <si>
    <t>ALVARO ANDRES DIAZGRANADOS GONZALEZ</t>
  </si>
  <si>
    <t>ALV*** AND*** DIA********* GON*****</t>
  </si>
  <si>
    <t>85380525</t>
  </si>
  <si>
    <t>MEJIA GONZALEZ JULIAN</t>
  </si>
  <si>
    <t>MEJ** GON***** JUL***</t>
  </si>
  <si>
    <t>85430011</t>
  </si>
  <si>
    <t>SALGUEDO DE LEON EDGAR</t>
  </si>
  <si>
    <t>SAL***** DE LEO* EDG**</t>
  </si>
  <si>
    <t>85433390</t>
  </si>
  <si>
    <t>GONZALEZ MARTINEZ LUIS</t>
  </si>
  <si>
    <t>GON***** MAR***** LUI*</t>
  </si>
  <si>
    <t>85433459</t>
  </si>
  <si>
    <t>MORON GAONA ALVARO</t>
  </si>
  <si>
    <t>MOR** GAO** ALV***</t>
  </si>
  <si>
    <t>85433617</t>
  </si>
  <si>
    <t>ROBLES VIDES HECTOR ANTONIO</t>
  </si>
  <si>
    <t>ROB*** VID** HEC*** ANT****</t>
  </si>
  <si>
    <t>85433774</t>
  </si>
  <si>
    <t>PAZ ESPARRAGOZA EDGAR</t>
  </si>
  <si>
    <t>PAZ ESP******** EDG**</t>
  </si>
  <si>
    <t>85433851</t>
  </si>
  <si>
    <t>MARTINEZ TINOCO ANTONIO JOSE</t>
  </si>
  <si>
    <t>MAR***** TIN*** ANT**** JOS*</t>
  </si>
  <si>
    <t>85434009</t>
  </si>
  <si>
    <t>SABALLET HOYOS LANCASTER RAMON</t>
  </si>
  <si>
    <t>SAB***** HOY** LAN****** RAM**</t>
  </si>
  <si>
    <t>85434159</t>
  </si>
  <si>
    <t>MARTINEZ CAMARGO MARCIAL</t>
  </si>
  <si>
    <t>MAR***** CAM**** MAR****</t>
  </si>
  <si>
    <t>85434223</t>
  </si>
  <si>
    <t>ESPARRAGOZA ARGUELLES VICTOR JULIAN</t>
  </si>
  <si>
    <t>ESP******** ARG****** VIC*** JUL***</t>
  </si>
  <si>
    <t>85434378</t>
  </si>
  <si>
    <t>CANTILLO SEGOVIA NAYME</t>
  </si>
  <si>
    <t>CAN***** SEG**** NAY**</t>
  </si>
  <si>
    <t>85434590</t>
  </si>
  <si>
    <t>DIAZ APARICIO JAVIER HUMBERTO</t>
  </si>
  <si>
    <t>DIA* APA***** JAV*** HUM*****</t>
  </si>
  <si>
    <t>85435177</t>
  </si>
  <si>
    <t>ESTRADA RIVERA JAEL JOSE</t>
  </si>
  <si>
    <t>EST**** RIV*** JAE* JOS*</t>
  </si>
  <si>
    <t>85435249</t>
  </si>
  <si>
    <t>LOPEZ ARANGO JAVIER</t>
  </si>
  <si>
    <t>LOP** ARA*** JAV***</t>
  </si>
  <si>
    <t>85435273</t>
  </si>
  <si>
    <t>TINOCO FLOREZ ALEXI</t>
  </si>
  <si>
    <t>TIN*** FLO*** ALE**</t>
  </si>
  <si>
    <t>85435320</t>
  </si>
  <si>
    <t>VIADERO RIOS RAFAEL</t>
  </si>
  <si>
    <t>VIA**** RIO* RAF***</t>
  </si>
  <si>
    <t>85435370</t>
  </si>
  <si>
    <t>DAZA NOYA ALBEIRO</t>
  </si>
  <si>
    <t>DAZ* NOY* ALB****</t>
  </si>
  <si>
    <t>85435419</t>
  </si>
  <si>
    <t>JACOME SEPULVEDA JHONNY ENRIQUE</t>
  </si>
  <si>
    <t>JAC*** SEP****** JHO*** ENR****</t>
  </si>
  <si>
    <t>85435421</t>
  </si>
  <si>
    <t>ALVARADO VANEGAS EDGAR</t>
  </si>
  <si>
    <t>ALV***** VAN**** EDG**</t>
  </si>
  <si>
    <t>85435563</t>
  </si>
  <si>
    <t>BELEÑO GARCIA JORGE</t>
  </si>
  <si>
    <t>BEL*** GAR*** JOR**</t>
  </si>
  <si>
    <t>85435584</t>
  </si>
  <si>
    <t>RAMIREZ OSPINO EGIDIO ABAD</t>
  </si>
  <si>
    <t>RAM**** OSP*** EGI*** ABA*</t>
  </si>
  <si>
    <t>85435700</t>
  </si>
  <si>
    <t>SAUCEDO RANGEL EDUARDO</t>
  </si>
  <si>
    <t>SAU**** RAN*** EDU****</t>
  </si>
  <si>
    <t>85436119</t>
  </si>
  <si>
    <t>CERVANTES BLANCO EDUARDO</t>
  </si>
  <si>
    <t>CER****** BLA*** EDU****</t>
  </si>
  <si>
    <t>85436163</t>
  </si>
  <si>
    <t>MOLINA COGOLLO HENRY MANUEL</t>
  </si>
  <si>
    <t>MOL*** COG**** HEN** MAN***</t>
  </si>
  <si>
    <t>85436300</t>
  </si>
  <si>
    <t>PEÑA NARVAEZ ADALBERTO</t>
  </si>
  <si>
    <t>PEÑ* NAR**** ADA******</t>
  </si>
  <si>
    <t>85436386</t>
  </si>
  <si>
    <t>ARANGO NARVAEZ MARTIN GREGORIO</t>
  </si>
  <si>
    <t>ARA*** NAR**** MAR*** GRE*****</t>
  </si>
  <si>
    <t>85436558</t>
  </si>
  <si>
    <t>BARROS CANTILLO YEZID</t>
  </si>
  <si>
    <t>BAR*** CAN***** YEZ**</t>
  </si>
  <si>
    <t>85436638</t>
  </si>
  <si>
    <t>MARTINEZ PEREZ BOLIVAR</t>
  </si>
  <si>
    <t>MAR***** PER** BOL****</t>
  </si>
  <si>
    <t>85436759</t>
  </si>
  <si>
    <t>LOPEZ HERRERA WILLIAM RAFAEL</t>
  </si>
  <si>
    <t>LOP** HER**** WIL**** RAF***</t>
  </si>
  <si>
    <t>85436793</t>
  </si>
  <si>
    <t>MEJIA MIER CARLOS ALBERTO</t>
  </si>
  <si>
    <t>MEJ** MIE* CAR*** ALB****</t>
  </si>
  <si>
    <t>85437019</t>
  </si>
  <si>
    <t>COVILLA CAÑAS JAIRO</t>
  </si>
  <si>
    <t>COV**** CAÑ** JAI**</t>
  </si>
  <si>
    <t>85437152</t>
  </si>
  <si>
    <t>ZAMBRANO SAUCEDO ELVIS</t>
  </si>
  <si>
    <t>ZAM***** SAU**** ELV**</t>
  </si>
  <si>
    <t>85437550</t>
  </si>
  <si>
    <t>ROCHA ROJAS ETALIDES</t>
  </si>
  <si>
    <t>ROC** ROJ** ETA*****</t>
  </si>
  <si>
    <t>85437687</t>
  </si>
  <si>
    <t>POSADA MUÑOZ EFRAIN GREGORIO</t>
  </si>
  <si>
    <t>POS*** MUÑ** EFR*** GRE*****</t>
  </si>
  <si>
    <t>85437785</t>
  </si>
  <si>
    <t>ROJAS CAMARGO ALVARO</t>
  </si>
  <si>
    <t>ROJ** CAM**** ALV***</t>
  </si>
  <si>
    <t>85437789</t>
  </si>
  <si>
    <t>SARQUIS RICAURTE JOSE</t>
  </si>
  <si>
    <t>SAR**** RIC***** JOS*</t>
  </si>
  <si>
    <t>85437865</t>
  </si>
  <si>
    <t>BLANCO QUINTERO JANER</t>
  </si>
  <si>
    <t>BLA*** QUI***** JAN**</t>
  </si>
  <si>
    <t>85437943</t>
  </si>
  <si>
    <t>FERNANDEZ MULET JORGE LUIS</t>
  </si>
  <si>
    <t>FER****** MUL** JOR** LUI*</t>
  </si>
  <si>
    <t>85437952</t>
  </si>
  <si>
    <t>MORALES RODELO JOSE GREGORIO</t>
  </si>
  <si>
    <t>MOR**** ROD*** JOS* GRE*****</t>
  </si>
  <si>
    <t>85438085</t>
  </si>
  <si>
    <t>MARTINEZ CHIMENTY LEONARDO</t>
  </si>
  <si>
    <t>MAR***** CHI***** LEO*****</t>
  </si>
  <si>
    <t>85438193</t>
  </si>
  <si>
    <t>RANGEL VILLARRUEL ISMAEL</t>
  </si>
  <si>
    <t>RAN*** VIL******* ISM***</t>
  </si>
  <si>
    <t>85438613</t>
  </si>
  <si>
    <t>DURAN PUPO RODOLFO</t>
  </si>
  <si>
    <t>DUR** PUP* ROD****</t>
  </si>
  <si>
    <t>85438751</t>
  </si>
  <si>
    <t>FONSECA CUESTA NILSON</t>
  </si>
  <si>
    <t>FON**** CUE*** NIL***</t>
  </si>
  <si>
    <t>85438877</t>
  </si>
  <si>
    <t>RODRIGUEZ RUIZ RAMIRO</t>
  </si>
  <si>
    <t>ROD****** RUI* RAM***</t>
  </si>
  <si>
    <t>85438963</t>
  </si>
  <si>
    <t>JACOME CENTENO GUSTAVO</t>
  </si>
  <si>
    <t>JAC*** CEN**** GUS****</t>
  </si>
  <si>
    <t>85439087</t>
  </si>
  <si>
    <t>CADENA RANGEL GUSTAVO ADOLFO</t>
  </si>
  <si>
    <t>CAD*** RAN*** GUS**** ADO***</t>
  </si>
  <si>
    <t>85439662</t>
  </si>
  <si>
    <t>GALEZO MARTINEZ ADAMO</t>
  </si>
  <si>
    <t>GAL*** MAR***** ADA**</t>
  </si>
  <si>
    <t>85439700</t>
  </si>
  <si>
    <t>OSPINO TOLOZA JUAN CARLOS</t>
  </si>
  <si>
    <t>OSP*** TOL*** JUA* CAR***</t>
  </si>
  <si>
    <t>85439716</t>
  </si>
  <si>
    <t>CAICEDO ROJAS EDGAR</t>
  </si>
  <si>
    <t>CAI**** ROJ** EDG**</t>
  </si>
  <si>
    <t>85439872</t>
  </si>
  <si>
    <t>ROJAS AMARIS JOSE LUIS</t>
  </si>
  <si>
    <t>ROJ** AMA*** JOS* LUI*</t>
  </si>
  <si>
    <t>85439934</t>
  </si>
  <si>
    <t>SALCEDO CORTES ALVARO</t>
  </si>
  <si>
    <t>SAL**** COR*** ALV***</t>
  </si>
  <si>
    <t>85439964</t>
  </si>
  <si>
    <t>MONSALVE BENAVIDES JOSE ARTURO</t>
  </si>
  <si>
    <t>MON***** BEN****** JOS* ART***</t>
  </si>
  <si>
    <t>85440240</t>
  </si>
  <si>
    <t>CAPATAZ RODRIGUEZ ALEXANDER</t>
  </si>
  <si>
    <t>CAP**** ROD****** ALE******</t>
  </si>
  <si>
    <t>85440371</t>
  </si>
  <si>
    <t>BARBUDO MARTINEZ ALEXANDER</t>
  </si>
  <si>
    <t>BAR**** MAR***** ALE******</t>
  </si>
  <si>
    <t>85440505</t>
  </si>
  <si>
    <t>ROCHA ROJAS CONCEPCION</t>
  </si>
  <si>
    <t>ROC** ROJ** CON*******</t>
  </si>
  <si>
    <t>85440572</t>
  </si>
  <si>
    <t>MARTINEZ CAMPO FELIX ALBERTO</t>
  </si>
  <si>
    <t>MAR***** CAM** FEL** ALB****</t>
  </si>
  <si>
    <t>85440733</t>
  </si>
  <si>
    <t>MENDOZA RANGEL DAVID ENRIQUE</t>
  </si>
  <si>
    <t>MEN**** RAN*** DAV** ENR****</t>
  </si>
  <si>
    <t>85441202</t>
  </si>
  <si>
    <t>VILARDY CAMARGO RAUL ALBERTO</t>
  </si>
  <si>
    <t>VIL**** CAM**** RAU* ALB****</t>
  </si>
  <si>
    <t>85441312</t>
  </si>
  <si>
    <t>RANGEL OSPINO HECTOR JAVIER</t>
  </si>
  <si>
    <t>RAN*** OSP*** HEC*** JAV***</t>
  </si>
  <si>
    <t>85441472</t>
  </si>
  <si>
    <t>GOMEZ PEREZ JAISON GREGORIO</t>
  </si>
  <si>
    <t>GOM** PER** JAI*** GRE*****</t>
  </si>
  <si>
    <t>85441590</t>
  </si>
  <si>
    <t>ZAMBRANO GUTIERREZ ONEISBY</t>
  </si>
  <si>
    <t>ZAM***** GUT****** ONE****</t>
  </si>
  <si>
    <t>85442004</t>
  </si>
  <si>
    <t>POLO PEÑA DAGOBERTO</t>
  </si>
  <si>
    <t>POL* PEÑ* DAG******</t>
  </si>
  <si>
    <t>85442027</t>
  </si>
  <si>
    <t>NAVARRO ALVARADO DELMIDES ANTONIO</t>
  </si>
  <si>
    <t>NAV**** ALV***** DEL***** ANT****</t>
  </si>
  <si>
    <t>85442208</t>
  </si>
  <si>
    <t>CASTAÑO MOZO EDGAR JOSE</t>
  </si>
  <si>
    <t>CAS**** MOZ* EDG** JOS*</t>
  </si>
  <si>
    <t>85442518</t>
  </si>
  <si>
    <t>RIVERA MUÑOZ JOSE EDGAR</t>
  </si>
  <si>
    <t>RIV*** MUÑ** JOS* EDG**</t>
  </si>
  <si>
    <t>85442693</t>
  </si>
  <si>
    <t>QUINTERO BLANCO TOMAS</t>
  </si>
  <si>
    <t>QUI***** BLA*** TOM**</t>
  </si>
  <si>
    <t>85442735</t>
  </si>
  <si>
    <t>DAVILA URBINA ABEL DOMINGO</t>
  </si>
  <si>
    <t>DAV*** URB*** ABE* DOM****</t>
  </si>
  <si>
    <t>85442947</t>
  </si>
  <si>
    <t>PADILLA CAÑAS HUMBERTO</t>
  </si>
  <si>
    <t>PAD**** CAÑ** HUM*****</t>
  </si>
  <si>
    <t>85443655</t>
  </si>
  <si>
    <t>OSPINO SANCHEZ JAVIER ENRIQUE</t>
  </si>
  <si>
    <t>OSP*** SAN**** JAV*** ENR****</t>
  </si>
  <si>
    <t>85443780</t>
  </si>
  <si>
    <t>MARTINEZ PEÑA DINO JOSE</t>
  </si>
  <si>
    <t>MAR***** PEÑ* DIN* JOS*</t>
  </si>
  <si>
    <t>85443836</t>
  </si>
  <si>
    <t>OLIVERO FONSECA EDINSON RAFAEL</t>
  </si>
  <si>
    <t>OLI**** FON**** EDI**** RAF***</t>
  </si>
  <si>
    <t>85443853</t>
  </si>
  <si>
    <t>TAPIAS QUINTANA MARCELINO MANUEL</t>
  </si>
  <si>
    <t>TAP*** QUI***** MAR****** MAN***</t>
  </si>
  <si>
    <t>85443860</t>
  </si>
  <si>
    <t>CANCHILA CAMARGO NELSON GIOVANNY</t>
  </si>
  <si>
    <t>CAN***** CAM**** NEL*** GIO*****</t>
  </si>
  <si>
    <t>85444037</t>
  </si>
  <si>
    <t>HERMOSILLA POLO FRANCISCO JAVIER</t>
  </si>
  <si>
    <t>HER******* POL* FRA****** JAV***</t>
  </si>
  <si>
    <t>85444103</t>
  </si>
  <si>
    <t>MARTINEZ PEÑA ISAIAS MANUEL</t>
  </si>
  <si>
    <t>MAR***** PEÑ* ISA*** MAN***</t>
  </si>
  <si>
    <t>85444160</t>
  </si>
  <si>
    <t>BARRIOS RUIZ NEIL HUMBERTO</t>
  </si>
  <si>
    <t>BAR**** RUI* NEI* HUM*****</t>
  </si>
  <si>
    <t>85444181</t>
  </si>
  <si>
    <t>NORIEGA GUETE EDUIN EDELVER</t>
  </si>
  <si>
    <t>NOR**** GUE** EDU** EDE****</t>
  </si>
  <si>
    <t>85444246</t>
  </si>
  <si>
    <t>PEREA GARCIA RICARDO</t>
  </si>
  <si>
    <t>PER** GAR*** RIC****</t>
  </si>
  <si>
    <t>85444263</t>
  </si>
  <si>
    <t>ARIAS PASSO WILMAN RAFAEL</t>
  </si>
  <si>
    <t>ARI** PAS** WIL*** RAF***</t>
  </si>
  <si>
    <t>85444284</t>
  </si>
  <si>
    <t>OVIEDO GARCIA ALONSO GUILLERMO</t>
  </si>
  <si>
    <t>OVI*** GAR*** ALO*** GUI******</t>
  </si>
  <si>
    <t>85444334</t>
  </si>
  <si>
    <t>DIAZ RIVERO ALBERT NAHAYITH</t>
  </si>
  <si>
    <t>DIA* RIV*** ALB*** NAH*****</t>
  </si>
  <si>
    <t>85444402</t>
  </si>
  <si>
    <t>BUELVAS LOPEZ JOHNNY EDUARDO</t>
  </si>
  <si>
    <t>BUE**** LOP** JOH*** EDU****</t>
  </si>
  <si>
    <t>85444411</t>
  </si>
  <si>
    <t>IBAÑEZ TORRES NELSON DE JESUS</t>
  </si>
  <si>
    <t>IBA*** TOR*** NEL*** DE JES**</t>
  </si>
  <si>
    <t>85444428</t>
  </si>
  <si>
    <t>AGUILAR TOLOZA FABIO RAFAEL</t>
  </si>
  <si>
    <t>AGU**** TOL*** FAB** RAF***</t>
  </si>
  <si>
    <t>85444446</t>
  </si>
  <si>
    <t>PEREZ NUÑEZ JULIO SEGUNDO</t>
  </si>
  <si>
    <t>PER** NUÑ** JUL** SEG****</t>
  </si>
  <si>
    <t>85444479</t>
  </si>
  <si>
    <t>RUIZ BUSTAMANTE OMAR DE JESUS</t>
  </si>
  <si>
    <t>RUI* BUS******* OMA* DE JES**</t>
  </si>
  <si>
    <t>85444671</t>
  </si>
  <si>
    <t>GUERRA VENERA MANUEL ANTONIO</t>
  </si>
  <si>
    <t>GUE*** VEN*** MAN*** ANT****</t>
  </si>
  <si>
    <t>85444784</t>
  </si>
  <si>
    <t>DE LA HOZ BARRIOS JOSE VICENTE</t>
  </si>
  <si>
    <t>DE LA HOZ BAR**** JOS* VIC****</t>
  </si>
  <si>
    <t>85444785</t>
  </si>
  <si>
    <t>CASTILLO ALMENDRALES JUAN CARLOS</t>
  </si>
  <si>
    <t>CAS***** ALM******** JUA* CAR***</t>
  </si>
  <si>
    <t>85444793</t>
  </si>
  <si>
    <t>ACUÑA ARRIETA ANGEL EMIRO</t>
  </si>
  <si>
    <t>ACU** ARR**** ANG** EMI**</t>
  </si>
  <si>
    <t>85444909</t>
  </si>
  <si>
    <t>ARAGON CASTRO ARGELIO DANIEL</t>
  </si>
  <si>
    <t>ARA*** CAS*** ARG**** DAN***</t>
  </si>
  <si>
    <t>85444978</t>
  </si>
  <si>
    <t>HERNANDEZ AROCA CARLOS ARMEL</t>
  </si>
  <si>
    <t>HER****** ARO** CAR*** ARM**</t>
  </si>
  <si>
    <t>85445058</t>
  </si>
  <si>
    <t>GUTIERREZ OVIEDO JOVANYS</t>
  </si>
  <si>
    <t>GUT****** OVI*** JOV****</t>
  </si>
  <si>
    <t>85445065</t>
  </si>
  <si>
    <t>VILORIA CHIQUILLO FRANCISCO JAVIER</t>
  </si>
  <si>
    <t>VIL**** CHI****** FRA****** JAV***</t>
  </si>
  <si>
    <t>85445140</t>
  </si>
  <si>
    <t>MORALES AGAMEZ FERNANDO MIGUEL</t>
  </si>
  <si>
    <t>MOR**** AGA*** FER***** MIG***</t>
  </si>
  <si>
    <t>85445202</t>
  </si>
  <si>
    <t>MOLINA OSPINO ANTONIO JOAQUIN</t>
  </si>
  <si>
    <t>MOL*** OSP*** ANT**** JOA****</t>
  </si>
  <si>
    <t>85445252</t>
  </si>
  <si>
    <t>CARREÑO RADA JORGE DUBIT</t>
  </si>
  <si>
    <t>CAR**** RAD* JOR** DUB**</t>
  </si>
  <si>
    <t>85445257</t>
  </si>
  <si>
    <t>ESTRADA CONTRERAS JORGE ELIAS</t>
  </si>
  <si>
    <t>EST**** CON****** JOR** ELI**</t>
  </si>
  <si>
    <t>85445264</t>
  </si>
  <si>
    <t>SANCHEZ DE LA HOZ MIGUEL ARMANDO</t>
  </si>
  <si>
    <t>SAN**** DE LA HOZ MIG*** ARM****</t>
  </si>
  <si>
    <t>85445345</t>
  </si>
  <si>
    <t>MUGNO SIERRA ANGEL MARIA</t>
  </si>
  <si>
    <t>MUG** SIE*** ANG** MAR**</t>
  </si>
  <si>
    <t>85445376</t>
  </si>
  <si>
    <t>FONSECA OSPINO EDUARDO JOSE</t>
  </si>
  <si>
    <t>FON**** OSP*** EDU**** JOS*</t>
  </si>
  <si>
    <t>85445533</t>
  </si>
  <si>
    <t>JIMENEZ HERRERA JOSE GREGORIO</t>
  </si>
  <si>
    <t>JIM**** HER**** JOS* GRE*****</t>
  </si>
  <si>
    <t>85445612</t>
  </si>
  <si>
    <t>OLIVERO FONSECA JESUS GREGORIO</t>
  </si>
  <si>
    <t>OLI**** FON**** JES** GRE*****</t>
  </si>
  <si>
    <t>85445750</t>
  </si>
  <si>
    <t>ARIAS DE LA HOZ MARTIN RAFAEL</t>
  </si>
  <si>
    <t>ARI** DE LA HOZ MAR*** RAF***</t>
  </si>
  <si>
    <t>85445862</t>
  </si>
  <si>
    <t>TOVAR MENDEZ OSCAR DAVID</t>
  </si>
  <si>
    <t>TOV** MEN*** OSC** DAV**</t>
  </si>
  <si>
    <t>85445875</t>
  </si>
  <si>
    <t>MUÑOZ ROMERO LUIS ANDER</t>
  </si>
  <si>
    <t>MUÑ** ROM*** LUI* AND**</t>
  </si>
  <si>
    <t>85446082</t>
  </si>
  <si>
    <t>OVIEDO GUERRERO DAVID RAFAEL</t>
  </si>
  <si>
    <t>OVI*** GUE***** DAV** RAF***</t>
  </si>
  <si>
    <t>85446173</t>
  </si>
  <si>
    <t>BARRIOS BARRIOS GEORGE NITIS</t>
  </si>
  <si>
    <t>BAR**** BAR**** GEO*** NIT**</t>
  </si>
  <si>
    <t>85446192</t>
  </si>
  <si>
    <t>MERLANO BARRIOS EDILBERTO MIGUEL</t>
  </si>
  <si>
    <t>MER**** BAR**** EDI****** MIG***</t>
  </si>
  <si>
    <t>85446217</t>
  </si>
  <si>
    <t>ANAYA OROZCO JUAN JOSE</t>
  </si>
  <si>
    <t>ANA** ORO*** JUA* JOS*</t>
  </si>
  <si>
    <t>85446242</t>
  </si>
  <si>
    <t>HERNANDEZ MORALES ARMANDO RAFAEL</t>
  </si>
  <si>
    <t>HER****** MOR**** ARM**** RAF***</t>
  </si>
  <si>
    <t>85446392</t>
  </si>
  <si>
    <t>DRAGO GARCIA HECTOR RAFAEL</t>
  </si>
  <si>
    <t>DRA** GAR*** HEC*** RAF***</t>
  </si>
  <si>
    <t>85446438</t>
  </si>
  <si>
    <t>NAVARRO RODRIGUEZ PEDRO JOSE</t>
  </si>
  <si>
    <t>NAV**** ROD****** PED** JOS*</t>
  </si>
  <si>
    <t>85446459</t>
  </si>
  <si>
    <t>DOMINGUEZ PAYARES MIGUEL ANTONIO</t>
  </si>
  <si>
    <t>DOM****** PAY**** MIG*** ANT****</t>
  </si>
  <si>
    <t>85446577</t>
  </si>
  <si>
    <t>GAMEZ TOVAR JESUS ANDRES</t>
  </si>
  <si>
    <t>GAM** TOV** JES** AND***</t>
  </si>
  <si>
    <t>85446612</t>
  </si>
  <si>
    <t>VASQUEZ MEJIA PABLO JAVIER</t>
  </si>
  <si>
    <t>VAS**** MEJ** PAB** JAV***</t>
  </si>
  <si>
    <t>85447308</t>
  </si>
  <si>
    <t>MARTINEZ HERNANDEZ ANIBAL MANUEL</t>
  </si>
  <si>
    <t>MAR***** HER****** ANI*** MAN***</t>
  </si>
  <si>
    <t>85447373</t>
  </si>
  <si>
    <t>BELEÑO OSPINO JOSE GUILLERMO</t>
  </si>
  <si>
    <t>BEL*** OSP*** JOS* GUI******</t>
  </si>
  <si>
    <t>85447499</t>
  </si>
  <si>
    <t>MOLINA QUINTANA WARNEER HUGO</t>
  </si>
  <si>
    <t>MOL*** QUI***** WAR**** HUG*</t>
  </si>
  <si>
    <t>85447514</t>
  </si>
  <si>
    <t>TERAN VIDES FELLER</t>
  </si>
  <si>
    <t>TER** VID** FEL***</t>
  </si>
  <si>
    <t>85447720</t>
  </si>
  <si>
    <t>AROCA RIVERA JAVIER ENRIQUE</t>
  </si>
  <si>
    <t>ARO** RIV*** JAV*** ENR****</t>
  </si>
  <si>
    <t>85447789</t>
  </si>
  <si>
    <t>FIGUEROA RADA JUAN CARLOS</t>
  </si>
  <si>
    <t>FIG***** RAD* JUA* CAR***</t>
  </si>
  <si>
    <t>85447916</t>
  </si>
  <si>
    <t>TORRES HERNANDEZ LEONARDO JOSE</t>
  </si>
  <si>
    <t>TOR*** HER****** LEO***** JOS*</t>
  </si>
  <si>
    <t>85447970</t>
  </si>
  <si>
    <t>VILLAREAL TORRES JULIO MIGUEL</t>
  </si>
  <si>
    <t>VIL****** TOR*** JUL** MIG***</t>
  </si>
  <si>
    <t>85448092</t>
  </si>
  <si>
    <t>CONTRERAS GUTIERREZ STALIN MANUEL</t>
  </si>
  <si>
    <t>CON****** GUT****** STA*** MAN***</t>
  </si>
  <si>
    <t>85448287</t>
  </si>
  <si>
    <t>PERLAZA LOZANO JUAN CARLOS</t>
  </si>
  <si>
    <t>PER**** LOZ*** JUA* CAR***</t>
  </si>
  <si>
    <t>85449095</t>
  </si>
  <si>
    <t>ROMERO CAMPO JUAN CARLOS</t>
  </si>
  <si>
    <t>ROM*** CAM** JUA* CAR***</t>
  </si>
  <si>
    <t>85450101</t>
  </si>
  <si>
    <t>GRANADOS MALDONADO ALEX ALBERTO</t>
  </si>
  <si>
    <t>GRA***** MAL****** ALE* ALB****</t>
  </si>
  <si>
    <t>85450332</t>
  </si>
  <si>
    <t>OROZCO SALINA JORGE LUIS</t>
  </si>
  <si>
    <t>ORO*** SAL*** JOR** LUI*</t>
  </si>
  <si>
    <t>85450800</t>
  </si>
  <si>
    <t>RAMIREZ FRANCO CESAR AUGUSTO</t>
  </si>
  <si>
    <t>RAM**** FRA*** CES** AUG****</t>
  </si>
  <si>
    <t>85451061</t>
  </si>
  <si>
    <t>DIAZTAGLE FERNANDEZ JOSE ALFREDO</t>
  </si>
  <si>
    <t>DIA****** FER****** JOS* ALF****</t>
  </si>
  <si>
    <t>85451492</t>
  </si>
  <si>
    <t>FUENTES ROMERO JUAN JOSE</t>
  </si>
  <si>
    <t>FUE**** ROM*** JUA* JOS*</t>
  </si>
  <si>
    <t>85451515</t>
  </si>
  <si>
    <t>ZAMBRANO OJEDA ATILIO MANUEL</t>
  </si>
  <si>
    <t>ZAM***** OJE** ATI*** MAN***</t>
  </si>
  <si>
    <t>85451634</t>
  </si>
  <si>
    <t>DE ARMAS HUGO JOSE</t>
  </si>
  <si>
    <t>DE ARM** HUG* JOS*</t>
  </si>
  <si>
    <t>85451664</t>
  </si>
  <si>
    <t>BURGOS CAMPO LUIS GUILLERMO</t>
  </si>
  <si>
    <t>BUR*** CAM** LUI* GUI******</t>
  </si>
  <si>
    <t>85451913</t>
  </si>
  <si>
    <t>AVILA COBA OSVALDO</t>
  </si>
  <si>
    <t>AVI** COB* OSV****</t>
  </si>
  <si>
    <t>85452611</t>
  </si>
  <si>
    <t>IBARRA GONZALEZ OSCAR</t>
  </si>
  <si>
    <t>IBA*** GON***** OSC**</t>
  </si>
  <si>
    <t>85452639</t>
  </si>
  <si>
    <t>LEMUS PEREZ AGUSTIN</t>
  </si>
  <si>
    <t>LEM** PER** AGU****</t>
  </si>
  <si>
    <t>85452741</t>
  </si>
  <si>
    <t>GIL ESCOBAR JOSE LUIS</t>
  </si>
  <si>
    <t>GIL ESC**** JOS* LUI*</t>
  </si>
  <si>
    <t>85452759</t>
  </si>
  <si>
    <t>PACHECO VIZCAINO WILSON ENRIQUE</t>
  </si>
  <si>
    <t>PAC**** VIZ***** WIL*** ENR****</t>
  </si>
  <si>
    <t>85453023</t>
  </si>
  <si>
    <t>MARTINEZ PALMERA EDILBERT JOSE</t>
  </si>
  <si>
    <t>MAR***** PAL**** EDI***** JOS*</t>
  </si>
  <si>
    <t>85453122</t>
  </si>
  <si>
    <t>ESCOBAR ACOSTA ALEXANDER</t>
  </si>
  <si>
    <t>ESC**** ACO*** ALE******</t>
  </si>
  <si>
    <t>85454018</t>
  </si>
  <si>
    <t>ATENCIO REDONDO SALVADOR DE JESUS</t>
  </si>
  <si>
    <t>ATE**** RED**** SAL***** DE JES**</t>
  </si>
  <si>
    <t>85454137</t>
  </si>
  <si>
    <t>JIMENEZ BARRIOS JUAN MANUEL</t>
  </si>
  <si>
    <t>JIM**** BAR**** JUA* MAN***</t>
  </si>
  <si>
    <t>85454160</t>
  </si>
  <si>
    <t>AYALA VALERA LUIS FERNANDO</t>
  </si>
  <si>
    <t>AYA** VAL*** LUI* FER*****</t>
  </si>
  <si>
    <t>85454339</t>
  </si>
  <si>
    <t>CAMARGO CASADIEGO YOMAR ELADIO</t>
  </si>
  <si>
    <t>CAM**** CAS****** YOM** ELA***</t>
  </si>
  <si>
    <t>85454463</t>
  </si>
  <si>
    <t>CONTRERAS FIGUEROA CARLOS OMAR</t>
  </si>
  <si>
    <t>CON****** FIG***** CAR*** OMA*</t>
  </si>
  <si>
    <t>85455412</t>
  </si>
  <si>
    <t>RODRIGUEZ ZABALETA HECTOR</t>
  </si>
  <si>
    <t>ROD****** ZAB***** HEC***</t>
  </si>
  <si>
    <t>85455631</t>
  </si>
  <si>
    <t>OSPINO SAUMETT MIGUEL ENRIQUE</t>
  </si>
  <si>
    <t>OSP*** SAU**** MIG*** ENR****</t>
  </si>
  <si>
    <t>85456049</t>
  </si>
  <si>
    <t>ROCA OCHOA NEIL DE JESUS</t>
  </si>
  <si>
    <t>ROC* OCH** NEI* DE JES**</t>
  </si>
  <si>
    <t>85456675</t>
  </si>
  <si>
    <t>TORRES CUELLO LUIS EMILIO</t>
  </si>
  <si>
    <t>TOR*** CUE*** LUI* EMI***</t>
  </si>
  <si>
    <t>85456985</t>
  </si>
  <si>
    <t>MELO PALLARES HERNAN DARIO</t>
  </si>
  <si>
    <t>MEL* PAL***** HER*** DAR**</t>
  </si>
  <si>
    <t>85457662</t>
  </si>
  <si>
    <t>RODRIGUEZ MERCADO JOSE GREGORIO</t>
  </si>
  <si>
    <t>ROD****** MER**** JOS* GRE*****</t>
  </si>
  <si>
    <t>85458171</t>
  </si>
  <si>
    <t>MARTINEZ MADERA ROBINSON ELOY</t>
  </si>
  <si>
    <t>MAR***** MAD*** ROB***** ELO*</t>
  </si>
  <si>
    <t>85458237</t>
  </si>
  <si>
    <t>DE LA CRUZ VILARDY ERICK GUILIANO</t>
  </si>
  <si>
    <t>DE LA CRU* VIL**** ERI** GUI*****</t>
  </si>
  <si>
    <t>85458380</t>
  </si>
  <si>
    <t>HURTADO QUINTERO HENRY</t>
  </si>
  <si>
    <t>HUR**** QUI***** HEN**</t>
  </si>
  <si>
    <t>85458489</t>
  </si>
  <si>
    <t>PARDO ALVARADO ALFONSO ENRIQUE</t>
  </si>
  <si>
    <t>PAR** ALV***** ALF**** ENR****</t>
  </si>
  <si>
    <t>85458494</t>
  </si>
  <si>
    <t>FONTALVO CAMARGO VICTOR JOSE</t>
  </si>
  <si>
    <t>FON***** CAM**** VIC*** JOS*</t>
  </si>
  <si>
    <t>85458557</t>
  </si>
  <si>
    <t>BARRAZA LOZANO DANIEL ANTONIO</t>
  </si>
  <si>
    <t>BAR**** LOZ*** DAN*** ANT****</t>
  </si>
  <si>
    <t>85459569</t>
  </si>
  <si>
    <t>QUINTERO DOMINGUEZ RITO ANTONIO</t>
  </si>
  <si>
    <t>QUI***** DOM****** RIT* ANT****</t>
  </si>
  <si>
    <t>85460284</t>
  </si>
  <si>
    <t>POLO CHARRIS ISAAC DAVID</t>
  </si>
  <si>
    <t>POL* CHA**** ISA** DAV**</t>
  </si>
  <si>
    <t>85460337</t>
  </si>
  <si>
    <t>TRESPALACIO VELASQUEZ JORGE ENRIQUE</t>
  </si>
  <si>
    <t>TRE******** VEL****** JOR** ENR****</t>
  </si>
  <si>
    <t>85461186</t>
  </si>
  <si>
    <t>MANJARRES CHARRIS JESUS DE LA CRUZ</t>
  </si>
  <si>
    <t>MAN****** CHA**** JES** DE LA CRU*</t>
  </si>
  <si>
    <t>85461582</t>
  </si>
  <si>
    <t>TORRES MACHADO LUIS BERTINY</t>
  </si>
  <si>
    <t>TOR*** MAC**** LUI* BER****</t>
  </si>
  <si>
    <t>85462083</t>
  </si>
  <si>
    <t>BARRAZA MEZA ALEX DE JESUS</t>
  </si>
  <si>
    <t>BAR**** MEZ* ALE* DE JES**</t>
  </si>
  <si>
    <t>85462087</t>
  </si>
  <si>
    <t>BADO NAVARRO BLADIMIR GUILLERMO</t>
  </si>
  <si>
    <t>BAD* NAV**** BLA***** GUI******</t>
  </si>
  <si>
    <t>85462268</t>
  </si>
  <si>
    <t>PEREZ CORREDOR ALEXANDER JESUS</t>
  </si>
  <si>
    <t>PER** COR***** ALE****** JES**</t>
  </si>
  <si>
    <t>85462320</t>
  </si>
  <si>
    <t>VEGA FORERO ERNESTO JOSE</t>
  </si>
  <si>
    <t>VEG* FOR*** ERN**** JOS*</t>
  </si>
  <si>
    <t>85462507</t>
  </si>
  <si>
    <t>GUTIERREZ OROZCO YONY DE JESUS</t>
  </si>
  <si>
    <t>GUT****** ORO*** YON* DE JES**</t>
  </si>
  <si>
    <t>85462544</t>
  </si>
  <si>
    <t>VELEZ MENDOZA JUAN ALBERTO</t>
  </si>
  <si>
    <t>VEL** MEN**** JUA* ALB****</t>
  </si>
  <si>
    <t>85462565</t>
  </si>
  <si>
    <t>MORELO GONZALEZ NELSON JAVIER</t>
  </si>
  <si>
    <t>MOR*** GON***** NEL*** JAV***</t>
  </si>
  <si>
    <t>85463558</t>
  </si>
  <si>
    <t>CERVANTES ARMANDO JOSE</t>
  </si>
  <si>
    <t>CER****** ARM**** JOS*</t>
  </si>
  <si>
    <t>85463796</t>
  </si>
  <si>
    <t>RINCONES MEJIA BENJAMIN ALEXANDER</t>
  </si>
  <si>
    <t>RIN***** MEJ** BEN***** ALE******</t>
  </si>
  <si>
    <t>85464223</t>
  </si>
  <si>
    <t>ESCORCIA MEJIA OMAR JAVIER</t>
  </si>
  <si>
    <t>ESC***** MEJ** OMA* JAV***</t>
  </si>
  <si>
    <t>85464609</t>
  </si>
  <si>
    <t>GUERRA ALEMAN ANDY JOSE</t>
  </si>
  <si>
    <t>GUE*** ALE*** AND* JOS*</t>
  </si>
  <si>
    <t>85464779</t>
  </si>
  <si>
    <t>MIRANDA BERDUGO JAIME IGNACIO</t>
  </si>
  <si>
    <t>MIR**** BER**** JAI** IGN****</t>
  </si>
  <si>
    <t>85464898</t>
  </si>
  <si>
    <t>FLOREZ DIAZ JUAN DE DIOS</t>
  </si>
  <si>
    <t>FLO*** DIA* JUA* DE DIO*</t>
  </si>
  <si>
    <t>85464979</t>
  </si>
  <si>
    <t>REINES VASQUEZ OSMAR HERNANDO</t>
  </si>
  <si>
    <t>REI*** VAS**** OSM** HER*****</t>
  </si>
  <si>
    <t>85465135</t>
  </si>
  <si>
    <t>FUENTES ROMERO GERMAN</t>
  </si>
  <si>
    <t>FUE**** ROM*** GER***</t>
  </si>
  <si>
    <t>85465162</t>
  </si>
  <si>
    <t>BARRIOS ARAGON HECTOR JOSE</t>
  </si>
  <si>
    <t>BAR**** ARA*** HEC*** JOS*</t>
  </si>
  <si>
    <t>85465267</t>
  </si>
  <si>
    <t>MANJARREZ MARTINEZ LIOSBAL ENRIQUE</t>
  </si>
  <si>
    <t>MAN****** MAR***** LIO**** ENR****</t>
  </si>
  <si>
    <t>85465388</t>
  </si>
  <si>
    <t>CARMONA GRANADOS LUIS MIGUEL</t>
  </si>
  <si>
    <t>CAR**** GRA***** LUI* MIG***</t>
  </si>
  <si>
    <t>85465563</t>
  </si>
  <si>
    <t>MOLINA MESA EDWIN RAFAEL</t>
  </si>
  <si>
    <t>MOL*** MES* EDW** RAF***</t>
  </si>
  <si>
    <t>85465888</t>
  </si>
  <si>
    <t>VILLANUEVA BERMUDEZ NELSON RAFAEL</t>
  </si>
  <si>
    <t>VIL******* BER***** NEL*** RAF***</t>
  </si>
  <si>
    <t>85466200</t>
  </si>
  <si>
    <t>ACOSTA HERNANDEZ ABEL FRANCISCO</t>
  </si>
  <si>
    <t>ACO*** HER****** ABE* FRA******</t>
  </si>
  <si>
    <t>85466366</t>
  </si>
  <si>
    <t>GIACOMETTO CANTILLO JAVIER ANTONIO</t>
  </si>
  <si>
    <t>GIA******* CAN***** JAV*** ANT****</t>
  </si>
  <si>
    <t>85466907</t>
  </si>
  <si>
    <t>RIVERA MOLINARES RAFAEL ENRIQUE</t>
  </si>
  <si>
    <t>RIV*** MOL****** RAF*** ENR****</t>
  </si>
  <si>
    <t>85467001</t>
  </si>
  <si>
    <t>ALVARADO LOPEZ JULIO CESAR</t>
  </si>
  <si>
    <t>ALV***** LOP** JUL** CES**</t>
  </si>
  <si>
    <t>85467765</t>
  </si>
  <si>
    <t>CEBALLOS VILLAMIL GIANFRANCO FABIAN</t>
  </si>
  <si>
    <t>CEB***** VIL***** GIA******* FAB***</t>
  </si>
  <si>
    <t>85468219</t>
  </si>
  <si>
    <t>VILLALBA PUERTA JULIO JOSE</t>
  </si>
  <si>
    <t>VIL***** PUE*** JUL** JOS*</t>
  </si>
  <si>
    <t>85468407</t>
  </si>
  <si>
    <t>VENCE PARDO ALEXANDER JOSE</t>
  </si>
  <si>
    <t>VEN** PAR** ALE****** JOS*</t>
  </si>
  <si>
    <t>85468605</t>
  </si>
  <si>
    <t>OBREGON ORTIZ ODUBER OMAR</t>
  </si>
  <si>
    <t>OBR**** ORT** ODU*** OMA*</t>
  </si>
  <si>
    <t>85468777</t>
  </si>
  <si>
    <t>URIELES OSORIO VLADIMIR ENRIQUE</t>
  </si>
  <si>
    <t>URI**** OSO*** VLA***** ENR****</t>
  </si>
  <si>
    <t>85469577</t>
  </si>
  <si>
    <t>MONTENEGRO IGLESIAS EPIFELIO ANTONIO</t>
  </si>
  <si>
    <t>MON******* IGL***** EPI***** ANT****</t>
  </si>
  <si>
    <t>85470417</t>
  </si>
  <si>
    <t>ILIAS MUÑOZ LINULFO RAFAEL</t>
  </si>
  <si>
    <t>ILI** MUÑ** LIN**** RAF***</t>
  </si>
  <si>
    <t>85470534</t>
  </si>
  <si>
    <t>CORREA CHARRIS JOHN JAIRO</t>
  </si>
  <si>
    <t>COR*** CHA**** JOH* JAI**</t>
  </si>
  <si>
    <t>85470613</t>
  </si>
  <si>
    <t>MONROY MARTINEZ HAROLD SEGUNDO</t>
  </si>
  <si>
    <t>MON*** MAR***** HAR*** SEG****</t>
  </si>
  <si>
    <t>85470755</t>
  </si>
  <si>
    <t>RODRIGUEZ HERNANDEZ MARCO</t>
  </si>
  <si>
    <t>ROD****** HER****** MAR**</t>
  </si>
  <si>
    <t>85471174</t>
  </si>
  <si>
    <t>SANDOVAL VIANA NELSON ENRIQUE</t>
  </si>
  <si>
    <t>SAN***** VIA** NEL*** ENR****</t>
  </si>
  <si>
    <t>85472296</t>
  </si>
  <si>
    <t>BARAJAS DAZA MISAIAS</t>
  </si>
  <si>
    <t>BAR**** DAZ* MIS****</t>
  </si>
  <si>
    <t>85472435</t>
  </si>
  <si>
    <t>VARGAS AGAMEZ OMAR ENRIQUE</t>
  </si>
  <si>
    <t>VAR*** AGA*** OMA* ENR****</t>
  </si>
  <si>
    <t>85472687</t>
  </si>
  <si>
    <t>SOSA PACHECO JAINER RAFAEL</t>
  </si>
  <si>
    <t>SOS* PAC**** JAI*** RAF***</t>
  </si>
  <si>
    <t>85472851</t>
  </si>
  <si>
    <t>RODRIGUEZ JIMENEZ MANUEL RAFAEL</t>
  </si>
  <si>
    <t>ROD****** JIM**** MAN*** RAF***</t>
  </si>
  <si>
    <t>85473052</t>
  </si>
  <si>
    <t>CANTILLO REALES JORGE SEGUNDO</t>
  </si>
  <si>
    <t>CAN***** REA*** JOR** SEG****</t>
  </si>
  <si>
    <t>85473190</t>
  </si>
  <si>
    <t>AVENDAÑO BERMUDEZ LUIS RAMON</t>
  </si>
  <si>
    <t>AVE***** BER***** LUI* RAM**</t>
  </si>
  <si>
    <t>85473693</t>
  </si>
  <si>
    <t>CORDOBA FRANCO HELMUT</t>
  </si>
  <si>
    <t>COR**** FRA*** HEL***</t>
  </si>
  <si>
    <t>85473830</t>
  </si>
  <si>
    <t>GABALO GUTIERREZ JORGE ENRIQUE</t>
  </si>
  <si>
    <t>GAB*** GUT****** JOR** ENR****</t>
  </si>
  <si>
    <t>85474533</t>
  </si>
  <si>
    <t>MONTENEGRO NARVAEZ EDWIN ANTONIO</t>
  </si>
  <si>
    <t>MON******* NAR**** EDW** ANT****</t>
  </si>
  <si>
    <t>85474965</t>
  </si>
  <si>
    <t>CASTAÑEDA OROZCO EDUARDO MARIO</t>
  </si>
  <si>
    <t>CAS****** ORO*** EDU**** MAR**</t>
  </si>
  <si>
    <t>85475111</t>
  </si>
  <si>
    <t>CARRASCAL LIZARAZO OMAR ANTONIO</t>
  </si>
  <si>
    <t>CAR****** LIZ***** OMA* ANT****</t>
  </si>
  <si>
    <t>85475186</t>
  </si>
  <si>
    <t>BARON PAREDES CRISTOFER GREGORIO</t>
  </si>
  <si>
    <t>BAR** PAR**** CRI****** GRE*****</t>
  </si>
  <si>
    <t>85475773</t>
  </si>
  <si>
    <t>TORRES VERGEL FRAK</t>
  </si>
  <si>
    <t>TOR*** VER*** FRA*</t>
  </si>
  <si>
    <t>85475861</t>
  </si>
  <si>
    <t>TORRES ALVAREZ JORGE</t>
  </si>
  <si>
    <t>TOR*** ALV**** JOR**</t>
  </si>
  <si>
    <t>85475958</t>
  </si>
  <si>
    <t>ZUBIRIA PEREA LUIS GABRIEL</t>
  </si>
  <si>
    <t>ZUB**** PER** LUI* GAB****</t>
  </si>
  <si>
    <t>85476231</t>
  </si>
  <si>
    <t>VASQUEZ CANTILLO SAID DARIO</t>
  </si>
  <si>
    <t>VAS**** CAN***** SAI* DAR**</t>
  </si>
  <si>
    <t>85477382</t>
  </si>
  <si>
    <t>SANTODOMINGO VEGA RICARDO JAVIER</t>
  </si>
  <si>
    <t>SAN********* VEG* RIC**** JAV***</t>
  </si>
  <si>
    <t>85477385</t>
  </si>
  <si>
    <t>NIEVES MAZA ALEXANDER JOAQUIN</t>
  </si>
  <si>
    <t>NIE*** MAZ* ALE****** JOA****</t>
  </si>
  <si>
    <t>85477514</t>
  </si>
  <si>
    <t>RONDANO LOBO FREDY JOSE</t>
  </si>
  <si>
    <t>RON**** LOB* FRE** JOS*</t>
  </si>
  <si>
    <t>85477841</t>
  </si>
  <si>
    <t>FONSECA MARTINEZ ALVARO DE JESUS</t>
  </si>
  <si>
    <t>FON**** MAR***** ALV*** DE JES**</t>
  </si>
  <si>
    <t>85478949</t>
  </si>
  <si>
    <t>RIASCOS MACIAS MANUEL ESTEBAN</t>
  </si>
  <si>
    <t>RIA**** MAC*** MAN*** EST****</t>
  </si>
  <si>
    <t>85479840</t>
  </si>
  <si>
    <t>SOLANO PERTUZ JORGE ELIECER</t>
  </si>
  <si>
    <t>SOL*** PER*** JOR** ELI****</t>
  </si>
  <si>
    <t>85479892</t>
  </si>
  <si>
    <t>OROZCO MUÑOZ FRANCISCO CESAR</t>
  </si>
  <si>
    <t>ORO*** MUÑ** FRA****** CES**</t>
  </si>
  <si>
    <t>85479983</t>
  </si>
  <si>
    <t>MOVILLA SALGADO LUIS RICARDO</t>
  </si>
  <si>
    <t>MOV**** SAL**** LUI* RIC****</t>
  </si>
  <si>
    <t>85480233</t>
  </si>
  <si>
    <t>CAMPO OROZCO RAMIRO JOSE</t>
  </si>
  <si>
    <t>CAM** ORO*** RAM*** JOS*</t>
  </si>
  <si>
    <t>85480244</t>
  </si>
  <si>
    <t>CARBONELL ESCORCIA DUVAN RAFAEL</t>
  </si>
  <si>
    <t>CAR****** ESC***** DUV** RAF***</t>
  </si>
  <si>
    <t>85480792</t>
  </si>
  <si>
    <t>MONTERO REYES ALEXANDER MORIS</t>
  </si>
  <si>
    <t>MON**** REY** ALE****** MOR**</t>
  </si>
  <si>
    <t>85483803</t>
  </si>
  <si>
    <t>ARAGON DE AVILA FRANCISCO JOSE</t>
  </si>
  <si>
    <t>ARA*** DE AVI** FRA****** JOS*</t>
  </si>
  <si>
    <t>85483823</t>
  </si>
  <si>
    <t>REYES ORTEGA FRANKI RAFAEL</t>
  </si>
  <si>
    <t>REY** ORT*** FRA*** RAF***</t>
  </si>
  <si>
    <t>85483843</t>
  </si>
  <si>
    <t>PONTON CORTES ROBERTO ENRIQUE</t>
  </si>
  <si>
    <t>PON*** COR*** ROB**** ENR****</t>
  </si>
  <si>
    <t>85483950</t>
  </si>
  <si>
    <t>REALES PERTUZ JUAN CARLOS</t>
  </si>
  <si>
    <t>REA*** PER*** JUA* CAR***</t>
  </si>
  <si>
    <t>85484137</t>
  </si>
  <si>
    <t>BOLIVAR MACIAS ELQUIS JOSE</t>
  </si>
  <si>
    <t>BOL**** MAC*** ELQ*** JOS*</t>
  </si>
  <si>
    <t>85484373</t>
  </si>
  <si>
    <t>DIAZ CANTILLO LUIS EDUARDO</t>
  </si>
  <si>
    <t>DIA* CAN***** LUI* EDU****</t>
  </si>
  <si>
    <t>85484414</t>
  </si>
  <si>
    <t>MOLINA HERNANDEZ JOSE GREGORIO</t>
  </si>
  <si>
    <t>MOL*** HER****** JOS* GRE*****</t>
  </si>
  <si>
    <t>85484589</t>
  </si>
  <si>
    <t>MOSCOTE MERCADO LUIS MANUEL</t>
  </si>
  <si>
    <t>MOS**** MER**** LUI* MAN***</t>
  </si>
  <si>
    <t>85484684</t>
  </si>
  <si>
    <t>SALCEDO URBINA JAVIER ENRIQUE</t>
  </si>
  <si>
    <t>SAL**** URB*** JAV*** ENR****</t>
  </si>
  <si>
    <t>85484725</t>
  </si>
  <si>
    <t>PUCCINI FLOREZ DAYAN DE JESUS</t>
  </si>
  <si>
    <t>PUC**** FLO*** DAY** DE JES**</t>
  </si>
  <si>
    <t>85484735</t>
  </si>
  <si>
    <t>BLANCO BLANCO OSCAR ALFONSO</t>
  </si>
  <si>
    <t>BLA*** BLA*** OSC** ALF****</t>
  </si>
  <si>
    <t>85484802</t>
  </si>
  <si>
    <t>MARTINEZ VILLEGAS ALVARO</t>
  </si>
  <si>
    <t>MAR***** VIL***** ALV***</t>
  </si>
  <si>
    <t>85484816</t>
  </si>
  <si>
    <t>SANCHEZ MORALES JAIRO ANTONIO</t>
  </si>
  <si>
    <t>SAN**** MOR**** JAI** ANT****</t>
  </si>
  <si>
    <t>85485048</t>
  </si>
  <si>
    <t>SAUMETH PEÑA IVAN JAVIER</t>
  </si>
  <si>
    <t>SAU**** PEÑ* IVA* JAV***</t>
  </si>
  <si>
    <t>85485078</t>
  </si>
  <si>
    <t>LEMON DONADO IVAR DE JESUS</t>
  </si>
  <si>
    <t>LEM** DON*** IVA* DE JES**</t>
  </si>
  <si>
    <t>85485380</t>
  </si>
  <si>
    <t>DEL TORO QUIROZ ALEXANDER</t>
  </si>
  <si>
    <t>DEL TOR* QUI*** ALE******</t>
  </si>
  <si>
    <t>85485398</t>
  </si>
  <si>
    <t>SOLIS TOVAR JAIDER DARIO</t>
  </si>
  <si>
    <t>SOL** TOV** JAI*** DAR**</t>
  </si>
  <si>
    <t>85485456</t>
  </si>
  <si>
    <t>DE LA CRUZ MEZA TONY FERNANDO</t>
  </si>
  <si>
    <t>DE LA CRU* MEZ* TON* FER*****</t>
  </si>
  <si>
    <t>85485554</t>
  </si>
  <si>
    <t>PALOMINO GONZALEZ AMILKAR RAFAEL</t>
  </si>
  <si>
    <t>PAL***** GON***** AMI**** RAF***</t>
  </si>
  <si>
    <t>85485820</t>
  </si>
  <si>
    <t>MEDINA CACERES CARLOS ENRIQUE</t>
  </si>
  <si>
    <t>MED*** CAC**** CAR*** ENR****</t>
  </si>
  <si>
    <t>85486206</t>
  </si>
  <si>
    <t>VEGA CORTINA JUAN ENRIQUE</t>
  </si>
  <si>
    <t>VEG* COR**** JUA* ENR****</t>
  </si>
  <si>
    <t>85486274</t>
  </si>
  <si>
    <t>GOMEZ ACUÑA HOGUIER DARIO</t>
  </si>
  <si>
    <t>GOM** ACU** HOG**** DAR**</t>
  </si>
  <si>
    <t>85486319</t>
  </si>
  <si>
    <t>VILLALBA MOLINA DAVID GUILLERMO</t>
  </si>
  <si>
    <t>VIL***** MOL*** DAV** GUI******</t>
  </si>
  <si>
    <t>85486366</t>
  </si>
  <si>
    <t>MUGNO CABALLERO ALFONSO GUILLERMO</t>
  </si>
  <si>
    <t>MUG** CAB****** ALF**** GUI******</t>
  </si>
  <si>
    <t>85486441</t>
  </si>
  <si>
    <t>OSPINO ARAGON CARLOS AUGUSTO</t>
  </si>
  <si>
    <t>OSP*** ARA*** CAR*** AUG****</t>
  </si>
  <si>
    <t>85486565</t>
  </si>
  <si>
    <t>RIVERO OCHOA LUIS ALBERTO</t>
  </si>
  <si>
    <t>RIV*** OCH** LUI* ALB****</t>
  </si>
  <si>
    <t>85487140</t>
  </si>
  <si>
    <t>DIAZ CABALLERO HUGO ALEJANDRO</t>
  </si>
  <si>
    <t>DIA* CAB****** HUG* ALE******</t>
  </si>
  <si>
    <t>85487200</t>
  </si>
  <si>
    <t>DE LA CRUZ CHIQUILLO JESUS LIBARDO</t>
  </si>
  <si>
    <t>DE LA CRU* CHI****** JES** LIB****</t>
  </si>
  <si>
    <t>85487234</t>
  </si>
  <si>
    <t>CUADRIS LARIOS JAIDER JOSE</t>
  </si>
  <si>
    <t>CUA**** LAR*** JAI*** JOS*</t>
  </si>
  <si>
    <t>85487261</t>
  </si>
  <si>
    <t>BALDOVINO MERCADO DANIEL RAMON</t>
  </si>
  <si>
    <t>BAL****** MER**** DAN*** RAM**</t>
  </si>
  <si>
    <t>85487264</t>
  </si>
  <si>
    <t>DIAZ CARDENAS JORGE LUIS</t>
  </si>
  <si>
    <t>DIA* CAR***** JOR** LUI*</t>
  </si>
  <si>
    <t>85487366</t>
  </si>
  <si>
    <t>TERAN AGUILAR DAIRO DE JESUS</t>
  </si>
  <si>
    <t>TER** AGU**** DAI** DE JES**</t>
  </si>
  <si>
    <t>85487513</t>
  </si>
  <si>
    <t>FONSECA JARAMILLO NILSON ENRRIQUE</t>
  </si>
  <si>
    <t>FON**** JAR****** NIL*** ENR*****</t>
  </si>
  <si>
    <t>85487541</t>
  </si>
  <si>
    <t>MOLINA NORIEGA IVAN JAVIER</t>
  </si>
  <si>
    <t>MOL*** NOR**** IVA* JAV***</t>
  </si>
  <si>
    <t>85487682</t>
  </si>
  <si>
    <t>CALDERON MEZA JADER DE JESUS</t>
  </si>
  <si>
    <t>CAL***** MEZ* JAD** DE JES**</t>
  </si>
  <si>
    <t>85487854</t>
  </si>
  <si>
    <t>POMARICO CERDA MIGUEL DAVID</t>
  </si>
  <si>
    <t>POM***** CER** MIG*** DAV**</t>
  </si>
  <si>
    <t>85487901</t>
  </si>
  <si>
    <t>OSPINO RAMOS JOEL JAVIER</t>
  </si>
  <si>
    <t>OSP*** RAM** JOE* JAV***</t>
  </si>
  <si>
    <t>85488052</t>
  </si>
  <si>
    <t>MERCADO JARABA ALGEMIRO JOSE</t>
  </si>
  <si>
    <t>MER**** JAR*** ALG***** JOS*</t>
  </si>
  <si>
    <t>85488053</t>
  </si>
  <si>
    <t>MULFORD ORTEGA ARNALDO DE JESUS</t>
  </si>
  <si>
    <t>MUL**** ORT*** ARN**** DE JES**</t>
  </si>
  <si>
    <t>85488194</t>
  </si>
  <si>
    <t>BARRIOS CACERES BLAS ALBERTO</t>
  </si>
  <si>
    <t>BAR**** CAC**** BLA* ALB****</t>
  </si>
  <si>
    <t>85488287</t>
  </si>
  <si>
    <t>VARGAS QUINTERO ALVARO JOSETH</t>
  </si>
  <si>
    <t>VAR*** QUI***** ALV*** JOS***</t>
  </si>
  <si>
    <t>85488308</t>
  </si>
  <si>
    <t>MENDOZA SALCEDO CARLOS MANUEL</t>
  </si>
  <si>
    <t>MEN**** SAL**** CAR*** MAN***</t>
  </si>
  <si>
    <t>85488395</t>
  </si>
  <si>
    <t>DEL TORO LARA LUIS FERNANDO</t>
  </si>
  <si>
    <t>DEL TOR* LAR* LUI* FER*****</t>
  </si>
  <si>
    <t>85488430</t>
  </si>
  <si>
    <t>VILLEGAS ORTIZ JOSE RAFAEL</t>
  </si>
  <si>
    <t>VIL***** ORT** JOS* RAF***</t>
  </si>
  <si>
    <t>85488523</t>
  </si>
  <si>
    <t>DE LA ROSA GOMEZ YOVANNY ENRIQUE</t>
  </si>
  <si>
    <t>DE LA ROS* GOM** YOV**** ENR****</t>
  </si>
  <si>
    <t>85488709</t>
  </si>
  <si>
    <t>MARBELLO GARCIA OSCAR LUIS</t>
  </si>
  <si>
    <t>MAR***** GAR*** OSC** LUI*</t>
  </si>
  <si>
    <t>85488778</t>
  </si>
  <si>
    <t>OSPINO PAEZ ROBERTO RAFAEL</t>
  </si>
  <si>
    <t>OSP*** PAE* ROB**** RAF***</t>
  </si>
  <si>
    <t>85488879</t>
  </si>
  <si>
    <t>GUERRERO LOPEZ JEINSON ALBERTO</t>
  </si>
  <si>
    <t>GUE***** LOP** JEI**** ALB****</t>
  </si>
  <si>
    <t>85489042</t>
  </si>
  <si>
    <t>ANCHILA MARQUEZ FRANCISCO JAVIER</t>
  </si>
  <si>
    <t>ANC**** MAR**** FRA****** JAV***</t>
  </si>
  <si>
    <t>85489866</t>
  </si>
  <si>
    <t>LOPEZ DOMINGUEZ JAINER JOSE</t>
  </si>
  <si>
    <t>LOP** DOM****** JAI*** JOS*</t>
  </si>
  <si>
    <t>85490235</t>
  </si>
  <si>
    <t>SUAREZ CUETO ALBER ENRIQUE</t>
  </si>
  <si>
    <t>SUA*** CUE** ALB** ENR****</t>
  </si>
  <si>
    <t>85490931</t>
  </si>
  <si>
    <t>ANCHILA SALCEDO NEISER ISAAC</t>
  </si>
  <si>
    <t>ANC**** SAL**** NEI*** ISA**</t>
  </si>
  <si>
    <t>87066838</t>
  </si>
  <si>
    <t>HERNANDEZ BASTIDAS ANDERSON YESID</t>
  </si>
  <si>
    <t>HER****** BAS***** AND***** YES**</t>
  </si>
  <si>
    <t>88032704</t>
  </si>
  <si>
    <t>ARAGON SORIANO LUIS ARMANDO</t>
  </si>
  <si>
    <t>ARA*** SOR**** LUI* ARM****</t>
  </si>
  <si>
    <t>88139839</t>
  </si>
  <si>
    <t>BAEZ PIZARRO FREDDIE GERMAN</t>
  </si>
  <si>
    <t>BAE* PIZ**** FRE**** GER***</t>
  </si>
  <si>
    <t>88159114</t>
  </si>
  <si>
    <t>LARA CERA FERNANDO DANIEL</t>
  </si>
  <si>
    <t>LAR* CER* FER***** DAN***</t>
  </si>
  <si>
    <t>88205118</t>
  </si>
  <si>
    <t>PEREZ URIBE DIEGO JAVIER</t>
  </si>
  <si>
    <t>PER** URI** DIE** JAV***</t>
  </si>
  <si>
    <t>88281630</t>
  </si>
  <si>
    <t>MAZO HERNANDEZ RODOLFO ANTONIO</t>
  </si>
  <si>
    <t>MAZ* HER****** ROD**** ANT****</t>
  </si>
  <si>
    <t>91212491</t>
  </si>
  <si>
    <t>SIERRA SANTAMARIA PEDRO JESUS</t>
  </si>
  <si>
    <t>SIE*** SAN******* PED** JES**</t>
  </si>
  <si>
    <t>91242085</t>
  </si>
  <si>
    <t>SANABRIA PEÑARANDA WILLIAM FERNANDO</t>
  </si>
  <si>
    <t>SAN***** PEÑ****** WIL**** FER*****</t>
  </si>
  <si>
    <t>91253555</t>
  </si>
  <si>
    <t>ARENAS RODRIGUEZ NELSON</t>
  </si>
  <si>
    <t>ARE*** ROD****** NEL***</t>
  </si>
  <si>
    <t>91422335</t>
  </si>
  <si>
    <t>RUIDIAZ RUIDIAZ RAFAEL</t>
  </si>
  <si>
    <t>RUI**** RUI**** RAF***</t>
  </si>
  <si>
    <t>91425024</t>
  </si>
  <si>
    <t>PEDRAZA ALVAREZ WILSON</t>
  </si>
  <si>
    <t>PED**** ALV**** WIL***</t>
  </si>
  <si>
    <t>91425060</t>
  </si>
  <si>
    <t>PEREZ MARTINEZ DANILO</t>
  </si>
  <si>
    <t>PER** MAR***** DAN***</t>
  </si>
  <si>
    <t>91430308</t>
  </si>
  <si>
    <t>GALINDO MORALES YOVANYS</t>
  </si>
  <si>
    <t>GAL**** MOR**** YOV****</t>
  </si>
  <si>
    <t>91438575</t>
  </si>
  <si>
    <t>ZARATE ALTAMIRANDA MARLON</t>
  </si>
  <si>
    <t>ZAR*** ALT******** MAR***</t>
  </si>
  <si>
    <t>91523407</t>
  </si>
  <si>
    <t>GAMARRA ARAGON EDWIN ENRIQUE</t>
  </si>
  <si>
    <t>GAM**** ARA*** EDW** ENR****</t>
  </si>
  <si>
    <t>91540097</t>
  </si>
  <si>
    <t>TORRES ARAGON HERNAN EVGUENI</t>
  </si>
  <si>
    <t>TOR*** ARA*** HER*** EVG****</t>
  </si>
  <si>
    <t>91540430</t>
  </si>
  <si>
    <t>PEREZ CORTES ALVARO JOSE</t>
  </si>
  <si>
    <t>PER** COR*** ALV*** JOS*</t>
  </si>
  <si>
    <t>92031974</t>
  </si>
  <si>
    <t>LARA MARTINEZ JHON JAIRO</t>
  </si>
  <si>
    <t>LAR* MAR***** JHO* JAI**</t>
  </si>
  <si>
    <t>92070740</t>
  </si>
  <si>
    <t>MENDOZA DIAZ FRANKLIN JAVID</t>
  </si>
  <si>
    <t>MEN**** DIA* FRA***** JAV**</t>
  </si>
  <si>
    <t>92129164</t>
  </si>
  <si>
    <t>SOTO CHAVEZ LUIS EDUARDO</t>
  </si>
  <si>
    <t>SOT* CHA*** LUI* EDU****</t>
  </si>
  <si>
    <t>92186439</t>
  </si>
  <si>
    <t>ROMERO ORTEGA MIGUEL ACEDES</t>
  </si>
  <si>
    <t>ROM*** ORT*** MIG*** ACE***</t>
  </si>
  <si>
    <t>92189749</t>
  </si>
  <si>
    <t>JUAN DAVID SALCEDO CORENA</t>
  </si>
  <si>
    <t>JUA* DAV** SAL**** COR***</t>
  </si>
  <si>
    <t>92189795</t>
  </si>
  <si>
    <t>PIÑA POLO JAIME</t>
  </si>
  <si>
    <t>PIÑ* POL* JAI**</t>
  </si>
  <si>
    <t>92190762</t>
  </si>
  <si>
    <t>MENDOZA AMELL RAFAEL IGNACIO</t>
  </si>
  <si>
    <t>MEN**** AME** RAF*** IGN****</t>
  </si>
  <si>
    <t>92258353</t>
  </si>
  <si>
    <t>MENDEZ CHIMA ALVARO DEL CRISTO</t>
  </si>
  <si>
    <t>MEN*** CHI** ALV*** DEL CRI***</t>
  </si>
  <si>
    <t>92497187</t>
  </si>
  <si>
    <t>MONTES CASTRO EDGAR</t>
  </si>
  <si>
    <t>MON*** CAS*** EDG**</t>
  </si>
  <si>
    <t>92505516</t>
  </si>
  <si>
    <t>GUTIERREZ DELGADO EDGAR DAVID</t>
  </si>
  <si>
    <t>GUT****** DEL**** EDG** DAV**</t>
  </si>
  <si>
    <t>92508196</t>
  </si>
  <si>
    <t>MARTINEZ OTALORA WILLIAM</t>
  </si>
  <si>
    <t>MAR***** OTA**** WIL****</t>
  </si>
  <si>
    <t>92513019</t>
  </si>
  <si>
    <t>ACOSTA MORALES DAIRO DE JESUS</t>
  </si>
  <si>
    <t>ACO*** MOR**** DAI** DE JES**</t>
  </si>
  <si>
    <t>92524906</t>
  </si>
  <si>
    <t>BATISTA BORJA HERNAN RAFAEL</t>
  </si>
  <si>
    <t>BAT**** BOR** HER*** RAF***</t>
  </si>
  <si>
    <t>92533726</t>
  </si>
  <si>
    <t>MENDOZA BORJA ABELARDO</t>
  </si>
  <si>
    <t>MEN**** BOR** ABE*****</t>
  </si>
  <si>
    <t>92534028</t>
  </si>
  <si>
    <t>MARRUGO MERCADO LUIS ALBERTO</t>
  </si>
  <si>
    <t>MAR**** MER**** LUI* ALB****</t>
  </si>
  <si>
    <t>92538681</t>
  </si>
  <si>
    <t>VERBEL TORRES DAVID MAURICIO</t>
  </si>
  <si>
    <t>VER*** TOR*** DAV** MAU*****</t>
  </si>
  <si>
    <t>92542966</t>
  </si>
  <si>
    <t>CARRASCAL HERRERA MIGUEL ALBERTO</t>
  </si>
  <si>
    <t>CAR****** HER**** MIG*** ALB****</t>
  </si>
  <si>
    <t>92544834</t>
  </si>
  <si>
    <t>ZUBIRIA MARTINEZ ROBERTO CARLOS</t>
  </si>
  <si>
    <t>ZUB**** MAR***** ROB**** CAR***</t>
  </si>
  <si>
    <t>92555905</t>
  </si>
  <si>
    <t>ASSIA PERCY YESID ALI</t>
  </si>
  <si>
    <t>ASS** PER** YES** ALI</t>
  </si>
  <si>
    <t>92559533</t>
  </si>
  <si>
    <t>HERNANDEZ VERGARA ALBERTO SEGUNDO</t>
  </si>
  <si>
    <t>HER****** VER**** ALB**** SEG****</t>
  </si>
  <si>
    <t>92559780</t>
  </si>
  <si>
    <t>LAMBRAÑO PEREZ PIERRE PAOLO RAUL</t>
  </si>
  <si>
    <t>LAM***** PER** PIE*** PAO** RAU*</t>
  </si>
  <si>
    <t>98627476</t>
  </si>
  <si>
    <t>RODRIGUEZ MARENCO ALEXANDER</t>
  </si>
  <si>
    <t>ROD****** MAR**** ALE******</t>
  </si>
  <si>
    <t>1001882180</t>
  </si>
  <si>
    <t>DIAZ DE ORO YUDIS PAOLA</t>
  </si>
  <si>
    <t>DIA* DE ORO YUD** PAO**</t>
  </si>
  <si>
    <t>1001883217</t>
  </si>
  <si>
    <t>ANGUCHO ARIAS MAUREN JUDITH</t>
  </si>
  <si>
    <t>ANG**** ARI** MAU*** JUD***</t>
  </si>
  <si>
    <t>1001917931</t>
  </si>
  <si>
    <t>GARCIA BORRERO MARIA ALEJANDRA</t>
  </si>
  <si>
    <t>GAR*** BOR**** MAR** ALE******</t>
  </si>
  <si>
    <t>1001941113</t>
  </si>
  <si>
    <t>PEREZ GARCIA YARLEDYS PAOLA</t>
  </si>
  <si>
    <t>PER** GAR*** YAR***** PAO**</t>
  </si>
  <si>
    <t>1002070523</t>
  </si>
  <si>
    <t>ORTIZ SARMIENTO JOSE DAMIAN</t>
  </si>
  <si>
    <t>ORT** SAR****** JOS* DAM***</t>
  </si>
  <si>
    <t>1002134997</t>
  </si>
  <si>
    <t>CELESTINO MENDEZ ARGEMIRO ANTONIO</t>
  </si>
  <si>
    <t>CEL****** MEN*** ARG***** ANT****</t>
  </si>
  <si>
    <t>1002323723</t>
  </si>
  <si>
    <t>PEREZ GUERRA YISETH</t>
  </si>
  <si>
    <t>PER** GUE*** YIS***</t>
  </si>
  <si>
    <t>1002377197</t>
  </si>
  <si>
    <t>TRESPALACIOS MORALES ANGELICA PAOLA</t>
  </si>
  <si>
    <t>TRE********* MOR**** ANG***** PAO**</t>
  </si>
  <si>
    <t>1002377455</t>
  </si>
  <si>
    <t>MARTINEZ RODRIGUEZ ANDRIS CAROLINA</t>
  </si>
  <si>
    <t>MAR***** ROD****** AND*** CAR*****</t>
  </si>
  <si>
    <t>1002420869</t>
  </si>
  <si>
    <t>DURAN MARTINEZ SANDRA MILENA</t>
  </si>
  <si>
    <t>DUR** MAR***** SAN*** MIL***</t>
  </si>
  <si>
    <t>1002421092</t>
  </si>
  <si>
    <t>OSPINO SILVA KATIANA</t>
  </si>
  <si>
    <t>OSP*** SIL** KAT****</t>
  </si>
  <si>
    <t>1002422484</t>
  </si>
  <si>
    <t>OTERO ACUÑA DIANIS PAOLA</t>
  </si>
  <si>
    <t>OTE** ACU** DIA*** PAO**</t>
  </si>
  <si>
    <t>1002422937</t>
  </si>
  <si>
    <t>GARCES JIMENEZ JUAN CARLOS</t>
  </si>
  <si>
    <t>GAR*** JIM**** JUA* CAR***</t>
  </si>
  <si>
    <t>1002997087</t>
  </si>
  <si>
    <t>FLOREZ SALAS LULY MARIA</t>
  </si>
  <si>
    <t>FLO*** SAL** LUL* MAR**</t>
  </si>
  <si>
    <t>1003238411</t>
  </si>
  <si>
    <t>ALZATE ARROYO PABLO EMILIO</t>
  </si>
  <si>
    <t>ALZ*** ARR*** PAB** EMI***</t>
  </si>
  <si>
    <t>1003258429</t>
  </si>
  <si>
    <t>ROBLES DANIEL JORGE DANIEL</t>
  </si>
  <si>
    <t>ROB*** DAN*** JOR** DAN***</t>
  </si>
  <si>
    <t>1003290243</t>
  </si>
  <si>
    <t>VILLORINA LONDOÑO BAIRON</t>
  </si>
  <si>
    <t>VIL****** LON**** BAI***</t>
  </si>
  <si>
    <t>1003382532</t>
  </si>
  <si>
    <t>GAMEZ MURGAS IVANNA PAOLA</t>
  </si>
  <si>
    <t>GAM** MUR*** IVA*** PAO**</t>
  </si>
  <si>
    <t>1004091964</t>
  </si>
  <si>
    <t>CARRANZA PABON JOSE CARLOS</t>
  </si>
  <si>
    <t>CAR***** PAB** JOS* CAR***</t>
  </si>
  <si>
    <t>1004094719</t>
  </si>
  <si>
    <t>ALQUERQUE ALVEAR ALFONSO</t>
  </si>
  <si>
    <t>ALQ****** ALV*** ALF****</t>
  </si>
  <si>
    <t>1004095435</t>
  </si>
  <si>
    <t>LOAIZA NORIEGA NEYLMAR</t>
  </si>
  <si>
    <t>LOA*** NOR**** NEY****</t>
  </si>
  <si>
    <t>1004109511</t>
  </si>
  <si>
    <t>DE LEON HERNANDEZ LEONIS DANIEL</t>
  </si>
  <si>
    <t>DE LEO* HER****** LEO*** DAN***</t>
  </si>
  <si>
    <t>1004122133</t>
  </si>
  <si>
    <t>PAYARES HERNANDEZ SHADIA ESTEFANI</t>
  </si>
  <si>
    <t>PAY**** HER****** SHA*** EST*****</t>
  </si>
  <si>
    <t>1004130965</t>
  </si>
  <si>
    <t>MERIÑO GARCIA TATIANA</t>
  </si>
  <si>
    <t>MER*** GAR*** TAT****</t>
  </si>
  <si>
    <t>1004162527</t>
  </si>
  <si>
    <t>CASTRO FORNARIS JAIR ANTONIO</t>
  </si>
  <si>
    <t>CAS*** FOR***** JAI* ANT****</t>
  </si>
  <si>
    <t>1004176389</t>
  </si>
  <si>
    <t>MANGA SIERRA LUIS MIGUEL DE JESUS</t>
  </si>
  <si>
    <t>MAN** SIE*** LUI* MIG*** DE JES**</t>
  </si>
  <si>
    <t>1004212865</t>
  </si>
  <si>
    <t>DE LA HOZ ORTEGA ANGIE PAOLA</t>
  </si>
  <si>
    <t>DE LA HOZ ORT*** ANG** PAO**</t>
  </si>
  <si>
    <t>1004226932</t>
  </si>
  <si>
    <t>NAVARRO BOLAÑO MILAGRO DE JESUS</t>
  </si>
  <si>
    <t>NAV**** BOL*** MIL**** DE JES**</t>
  </si>
  <si>
    <t>1004274461</t>
  </si>
  <si>
    <t>TABORDA COTE JHONFREY DAVID</t>
  </si>
  <si>
    <t>TAB**** COT* JHO***** DAV**</t>
  </si>
  <si>
    <t>1004274960</t>
  </si>
  <si>
    <t>NIÑO TORRES CESAR</t>
  </si>
  <si>
    <t>NIÑ* TOR*** CES**</t>
  </si>
  <si>
    <t>1004275512</t>
  </si>
  <si>
    <t>LLANOS GRANADOS GISELLA JUDITH</t>
  </si>
  <si>
    <t>LLA*** GRA***** GIS**** JUD***</t>
  </si>
  <si>
    <t>1004275811</t>
  </si>
  <si>
    <t>GUTIERREZ MENDOZA GENARO JUNIOR</t>
  </si>
  <si>
    <t>GUT****** MEN**** GEN*** JUN***</t>
  </si>
  <si>
    <t>1004277573</t>
  </si>
  <si>
    <t>CARRANZA BARRIOS WUENDIS JOHANA</t>
  </si>
  <si>
    <t>CAR***** BAR**** WUE**** JOH***</t>
  </si>
  <si>
    <t>1004277955</t>
  </si>
  <si>
    <t>GODOY REALES LUZ ANGELICA</t>
  </si>
  <si>
    <t>GOD** REA*** LUZ ANG*****</t>
  </si>
  <si>
    <t>1004278574</t>
  </si>
  <si>
    <t>MU¿OZ AVILA SILENA MARGARITA</t>
  </si>
  <si>
    <t>MU¿** AVI** SIL*** MAR******</t>
  </si>
  <si>
    <t>1004279280</t>
  </si>
  <si>
    <t>LIZCANO GARCIA TANIA ANDREA</t>
  </si>
  <si>
    <t>LIZ**** GAR*** TAN** AND***</t>
  </si>
  <si>
    <t>1004283442</t>
  </si>
  <si>
    <t>LOPEZ CORTINA LINDA LUZ</t>
  </si>
  <si>
    <t>LOP** COR**** LIN** LUZ</t>
  </si>
  <si>
    <t>1004299076</t>
  </si>
  <si>
    <t>TORRES CUEVAS ROSAIDIS JUDITH</t>
  </si>
  <si>
    <t>TOR*** CUE*** ROS***** JUD***</t>
  </si>
  <si>
    <t>1004307941</t>
  </si>
  <si>
    <t>CORTES SOLANO LIZETH PATRICIA</t>
  </si>
  <si>
    <t>COR*** SOL*** LIZ*** PAT*****</t>
  </si>
  <si>
    <t>1004308250</t>
  </si>
  <si>
    <t>CARO PALOMINO DANIRIS ESTHER</t>
  </si>
  <si>
    <t>CAR* PAL***** DAN**** EST***</t>
  </si>
  <si>
    <t>1004318923</t>
  </si>
  <si>
    <t>RUIDIAZ RUIDIAZ ROJERLIN</t>
  </si>
  <si>
    <t>RUI**** RUI**** ROJ*****</t>
  </si>
  <si>
    <t>1004318966</t>
  </si>
  <si>
    <t>QUIROZ MOYA FERNANDO DAVID</t>
  </si>
  <si>
    <t>QUI*** MOY* FER***** DAV**</t>
  </si>
  <si>
    <t>1004320036</t>
  </si>
  <si>
    <t>HERRERA ACUÑA CINDY PAOLA</t>
  </si>
  <si>
    <t>HER**** ACU** CIN** PAO**</t>
  </si>
  <si>
    <t>1004350333</t>
  </si>
  <si>
    <t>ORELLANO MOLINA MIGUEL ANGEL</t>
  </si>
  <si>
    <t>ORE***** MOL*** MIG*** ANG**</t>
  </si>
  <si>
    <t>1004350743</t>
  </si>
  <si>
    <t>LABORDE KERMES ALEJANDRA MILENA</t>
  </si>
  <si>
    <t>LAB**** KER*** ALE****** MIL***</t>
  </si>
  <si>
    <t>1004351812</t>
  </si>
  <si>
    <t>GRANADOS PUENTES JUCELITH MARIANA</t>
  </si>
  <si>
    <t>GRA***** PUE**** JUC***** MAR****</t>
  </si>
  <si>
    <t>1004355769</t>
  </si>
  <si>
    <t>ARZUAGA ROLON LAUREN VALENTINA</t>
  </si>
  <si>
    <t>ARZ**** ROL** LAU*** VAL******</t>
  </si>
  <si>
    <t>1004359172</t>
  </si>
  <si>
    <t>GARIZABALO CUAO MAYRA YULIETH</t>
  </si>
  <si>
    <t>GAR******* CUA* MAY** YUL****</t>
  </si>
  <si>
    <t>1004365937</t>
  </si>
  <si>
    <t>FLOREZ GARCIA YOLANDA CECILIA</t>
  </si>
  <si>
    <t>FLO*** GAR*** YOL**** CEC****</t>
  </si>
  <si>
    <t>1004369894</t>
  </si>
  <si>
    <t>ORDOÑEZ DIAZ SANDRA MILENA</t>
  </si>
  <si>
    <t>ORD**** DIA* SAN*** MIL***</t>
  </si>
  <si>
    <t>1004370417</t>
  </si>
  <si>
    <t>JAIME RODRIGUEZ YURANY</t>
  </si>
  <si>
    <t>JAI** ROD****** YUR***</t>
  </si>
  <si>
    <t>1004371072</t>
  </si>
  <si>
    <t>GRANADOS MU¿OZ DANA VANESSA</t>
  </si>
  <si>
    <t>GRA***** MU¿** DAN* VAN****</t>
  </si>
  <si>
    <t>1004372037</t>
  </si>
  <si>
    <t>FORONDA GONZALEZ DANIELA MARIA</t>
  </si>
  <si>
    <t>FOR**** GON***** DAN**** MAR**</t>
  </si>
  <si>
    <t>1004372125</t>
  </si>
  <si>
    <t>VELASQUEZ OLAYA LINA MARIA</t>
  </si>
  <si>
    <t>VEL****** OLA** LIN* MAR**</t>
  </si>
  <si>
    <t>1004374878</t>
  </si>
  <si>
    <t>MARCHENA GONZALEZ YERLIS CECILIA</t>
  </si>
  <si>
    <t>MAR***** GON***** YER*** CEC****</t>
  </si>
  <si>
    <t>1004375233</t>
  </si>
  <si>
    <t>JESUS LOPEZ ELIECER DE</t>
  </si>
  <si>
    <t>JES** LOP** ELI**** DE</t>
  </si>
  <si>
    <t>1004376867</t>
  </si>
  <si>
    <t>BUSTAMANTE NU¿EZ YOSELEINE</t>
  </si>
  <si>
    <t>BUS******* NU¿** YOS******</t>
  </si>
  <si>
    <t>1004379622</t>
  </si>
  <si>
    <t>POLO ARIZA KATERIN YULIETH</t>
  </si>
  <si>
    <t>POL* ARI** KAT**** YUL****</t>
  </si>
  <si>
    <t>1004380097</t>
  </si>
  <si>
    <t>RADA MARTINEZ MICHELLE CAROLINA</t>
  </si>
  <si>
    <t>RAD* MAR***** MIC***** CAR*****</t>
  </si>
  <si>
    <t>1004461392</t>
  </si>
  <si>
    <t>TOBIAS RIOS DIEGO ANDRES</t>
  </si>
  <si>
    <t>TOB*** RIO* DIE** AND***</t>
  </si>
  <si>
    <t>1004462977</t>
  </si>
  <si>
    <t>ESCARRAGA VILLALBA DANIELA CAROLINA</t>
  </si>
  <si>
    <t>ESC****** VIL***** DAN**** CAR*****</t>
  </si>
  <si>
    <t>1004485878</t>
  </si>
  <si>
    <t>GAMEZ MONTENEGRO NERYLITH NAYELIS</t>
  </si>
  <si>
    <t>GAM** MON******* NER***** NAY****</t>
  </si>
  <si>
    <t>1004500426</t>
  </si>
  <si>
    <t>RIBON BEDOYA EMILEIDYS</t>
  </si>
  <si>
    <t>RIB** BED*** EMI******</t>
  </si>
  <si>
    <t>1004502956</t>
  </si>
  <si>
    <t>GARCIA BONETT KARIN YULIETH</t>
  </si>
  <si>
    <t>GAR*** BON*** KAR** YUL****</t>
  </si>
  <si>
    <t>1005235116</t>
  </si>
  <si>
    <t>DE LA CRUZ FERRER CAMILO ANDRES</t>
  </si>
  <si>
    <t>DE LA CRU* FER*** CAM*** AND***</t>
  </si>
  <si>
    <t>1005332989</t>
  </si>
  <si>
    <t>GONZALEZ PEÑARANDA NATALIA VANESA</t>
  </si>
  <si>
    <t>GON***** PEÑ****** NAT**** VAN***</t>
  </si>
  <si>
    <t>1005467430</t>
  </si>
  <si>
    <t>BARRERA RODRIGUEZ MARIA PAULA</t>
  </si>
  <si>
    <t>BAR**** ROD****** MAR** PAU**</t>
  </si>
  <si>
    <t>1005584491</t>
  </si>
  <si>
    <t>MEZA MARTINEZ ANDREA CAROLINA</t>
  </si>
  <si>
    <t>MEZ* MAR***** AND*** CAR*****</t>
  </si>
  <si>
    <t>1005675942</t>
  </si>
  <si>
    <t>ANAYA LOPEZ BIVIANA CAROLINA</t>
  </si>
  <si>
    <t>ANA** LOP** BIV**** CAR*****</t>
  </si>
  <si>
    <t>1006742941</t>
  </si>
  <si>
    <t>BOCANEGRA DE LA HOZ JESUS MARIO</t>
  </si>
  <si>
    <t>BOC****** DE LA HOZ JES** MAR**</t>
  </si>
  <si>
    <t>1006897871</t>
  </si>
  <si>
    <t>BRIEVA MOLINA AMERICA JUDITH</t>
  </si>
  <si>
    <t>BRI*** MOL*** AME**** JUD***</t>
  </si>
  <si>
    <t>1007049106</t>
  </si>
  <si>
    <t>BORJA CARVAJAL MARIA FERNANDA</t>
  </si>
  <si>
    <t>BOR** CAR***** MAR** FER*****</t>
  </si>
  <si>
    <t>1007049426</t>
  </si>
  <si>
    <t>CONTRERAS VALENCIA JOSE EDUARDO</t>
  </si>
  <si>
    <t>CON****** VAL***** JOS* EDU****</t>
  </si>
  <si>
    <t>1007050584</t>
  </si>
  <si>
    <t>VEGA GRANADOS AURA CRISTINA</t>
  </si>
  <si>
    <t>VEG* GRA***** AUR* CRI*****</t>
  </si>
  <si>
    <t>1007069063</t>
  </si>
  <si>
    <t>CABRERA PALACIOS LUZ MARINA</t>
  </si>
  <si>
    <t>CAB**** PAL***** LUZ MAR***</t>
  </si>
  <si>
    <t>1007095089</t>
  </si>
  <si>
    <t>RAMOS TORRES GUNSEYTEY ARUGUMU</t>
  </si>
  <si>
    <t>RAM** TOR*** GUN****** ARU****</t>
  </si>
  <si>
    <t>1007095202</t>
  </si>
  <si>
    <t>CASTRILLO BARRANCO MARIA CECILIA</t>
  </si>
  <si>
    <t>CAS****** BAR***** MAR** CEC****</t>
  </si>
  <si>
    <t>1007129166</t>
  </si>
  <si>
    <t>CEDEÑO OSPINO CRISTIAN DAVID</t>
  </si>
  <si>
    <t>CED*** OSP*** CRI***** DAV**</t>
  </si>
  <si>
    <t>1007138789</t>
  </si>
  <si>
    <t>VERGARA SEÑAS HERNANDO</t>
  </si>
  <si>
    <t>VER**** SEÑ** HER*****</t>
  </si>
  <si>
    <t>1007162264</t>
  </si>
  <si>
    <t>IBAÑEZ ORTEGA GABRIELA PATRICIA</t>
  </si>
  <si>
    <t>IBA*** ORT*** GAB***** PAT*****</t>
  </si>
  <si>
    <t>1007270900</t>
  </si>
  <si>
    <t>ZAFRA RODELO JHON RICARDO</t>
  </si>
  <si>
    <t>ZAF** ROD*** JHO* RIC****</t>
  </si>
  <si>
    <t>1007353564</t>
  </si>
  <si>
    <t>ORTEGA GARCIA YENIS CAROLINA</t>
  </si>
  <si>
    <t>ORT*** GAR*** YEN** CAR*****</t>
  </si>
  <si>
    <t>1007365982</t>
  </si>
  <si>
    <t>JIMENEZ RODRIGUEZ JONIER JOSE</t>
  </si>
  <si>
    <t>JIM**** ROD****** JON*** JOS*</t>
  </si>
  <si>
    <t>1007383233</t>
  </si>
  <si>
    <t>GUTIERREZ POLO CLAUDIA YANETH</t>
  </si>
  <si>
    <t>GUT****** POL* CLA**** YAN***</t>
  </si>
  <si>
    <t>1007423094</t>
  </si>
  <si>
    <t>ALVARADO LOPEZ MIGUEL ANDRES</t>
  </si>
  <si>
    <t>ALV***** LOP** MIG*** AND***</t>
  </si>
  <si>
    <t>1007423123</t>
  </si>
  <si>
    <t>MUÑOZ RIZZO JOSHUA MAX</t>
  </si>
  <si>
    <t>MUÑ** RIZ** JOS*** MAX</t>
  </si>
  <si>
    <t>1007443317</t>
  </si>
  <si>
    <t>BELEÑO ESPAÑA MARTIN</t>
  </si>
  <si>
    <t>BEL*** ESP*** MAR***</t>
  </si>
  <si>
    <t>1007443323</t>
  </si>
  <si>
    <t>CADENA VASQUEZ ROCIO AMPARO</t>
  </si>
  <si>
    <t>CAD*** VAS**** ROC** AMP***</t>
  </si>
  <si>
    <t>1007467665</t>
  </si>
  <si>
    <t>DIAZ RODRIGUEZ TANIA MARCELA</t>
  </si>
  <si>
    <t>DIA* ROD****** TAN** MAR****</t>
  </si>
  <si>
    <t>1007468653</t>
  </si>
  <si>
    <t>PEREZ PAYARES INDIRA ISABEL</t>
  </si>
  <si>
    <t>PER** PAY**** IND*** ISA***</t>
  </si>
  <si>
    <t>1007556513</t>
  </si>
  <si>
    <t>BARRIOS GRANADOS CLAUDIA ESTHER</t>
  </si>
  <si>
    <t>BAR**** GRA***** CLA**** EST***</t>
  </si>
  <si>
    <t>1007556523</t>
  </si>
  <si>
    <t>BARRIOS GRANADOS EVER JOSE</t>
  </si>
  <si>
    <t>BAR**** GRA***** EVE* JOS*</t>
  </si>
  <si>
    <t>1007617077</t>
  </si>
  <si>
    <t>SUAREZ ALDANA ANDRES MARIO</t>
  </si>
  <si>
    <t>SUA*** ALD*** AND*** MAR**</t>
  </si>
  <si>
    <t>1007648668</t>
  </si>
  <si>
    <t>PEÑA ESPAÑA OLMEDO JOSE</t>
  </si>
  <si>
    <t>PEÑ* ESP*** OLM*** JOS*</t>
  </si>
  <si>
    <t>1007655010</t>
  </si>
  <si>
    <t>MERI¿O ACOSTA ANDERZON DE JESUS</t>
  </si>
  <si>
    <t>MER*** ACO*** AND***** DE JES**</t>
  </si>
  <si>
    <t>1007661738</t>
  </si>
  <si>
    <t>DELGADO QUINTANA WILMER</t>
  </si>
  <si>
    <t>DEL**** QUI***** WIL***</t>
  </si>
  <si>
    <t>1007687130</t>
  </si>
  <si>
    <t>GAMARRA MOLINA DANIELA LUCIA</t>
  </si>
  <si>
    <t>GAM**** MOL*** DAN**** LUC**</t>
  </si>
  <si>
    <t>1007698221</t>
  </si>
  <si>
    <t>VIZCAINO LEGUIZAMON ROSALINDA</t>
  </si>
  <si>
    <t>VIZ***** LEG******* ROS******</t>
  </si>
  <si>
    <t>1007744141</t>
  </si>
  <si>
    <t>OROZCO VALENCIA MARIA JOSE</t>
  </si>
  <si>
    <t>ORO*** VAL***** MAR** JOS*</t>
  </si>
  <si>
    <t>1007772620</t>
  </si>
  <si>
    <t>SANCHEZ TORRES NEMIAS</t>
  </si>
  <si>
    <t>SAN**** TOR*** NEM***</t>
  </si>
  <si>
    <t>1007772814</t>
  </si>
  <si>
    <t>HERNANDEZ GUERRA KEVIN DAVID</t>
  </si>
  <si>
    <t>HER****** GUE*** KEV** DAV**</t>
  </si>
  <si>
    <t>1007805571</t>
  </si>
  <si>
    <t>PEREZ SERRANO KENNER MANUEL</t>
  </si>
  <si>
    <t>PER** SER**** KEN*** MAN***</t>
  </si>
  <si>
    <t>1007834254</t>
  </si>
  <si>
    <t>FONTALVO PALMA BETSY LILIANA</t>
  </si>
  <si>
    <t>FON***** PAL** BET** LIL****</t>
  </si>
  <si>
    <t>1007889600</t>
  </si>
  <si>
    <t>GUTIERREZ CASTILLEJO YULIS DAYANIS</t>
  </si>
  <si>
    <t>GUT****** CAS******* YUL** DAY****</t>
  </si>
  <si>
    <t>1007919809</t>
  </si>
  <si>
    <t>OJITO MARRIAGA YURLEIDIS LISETH</t>
  </si>
  <si>
    <t>OJI** MAR***** YUR****** LIS***</t>
  </si>
  <si>
    <t>1007960290</t>
  </si>
  <si>
    <t>JIMENEZ ROMERO ANGIE VANESSA</t>
  </si>
  <si>
    <t>JIM**** ROM*** ANG** VAN****</t>
  </si>
  <si>
    <t>1010051911</t>
  </si>
  <si>
    <t>ALVAREZ LINARES GISELL NATALLY</t>
  </si>
  <si>
    <t>ALV**** LIN**** GIS*** NAT****</t>
  </si>
  <si>
    <t>1010056998</t>
  </si>
  <si>
    <t>PERTUZ RODRIGUEZ ISRAEL ENRIQUE</t>
  </si>
  <si>
    <t>PER*** ROD****** ISR*** ENR****</t>
  </si>
  <si>
    <t>1010069144</t>
  </si>
  <si>
    <t>DE LA CRUZ MEZA MILAGROS DE JESUS</t>
  </si>
  <si>
    <t>DE LA CRU* MEZ* MIL***** DE JES**</t>
  </si>
  <si>
    <t>1010080082</t>
  </si>
  <si>
    <t>BRAND BENITEZ ELY YOHANA</t>
  </si>
  <si>
    <t>BRA** BEN**** ELY YOH***</t>
  </si>
  <si>
    <t>1010087497</t>
  </si>
  <si>
    <t>PEREZ PRADO MARIA CAMILA</t>
  </si>
  <si>
    <t>PER** PRA** MAR** CAM***</t>
  </si>
  <si>
    <t>1010099501</t>
  </si>
  <si>
    <t>CANTILLO CASTILLA LINA MARCELA</t>
  </si>
  <si>
    <t>CAN***** CAS***** LIN* MAR****</t>
  </si>
  <si>
    <t>1010132290</t>
  </si>
  <si>
    <t>MENDOZA BELEÑO ROBINSON JOSE</t>
  </si>
  <si>
    <t>MEN**** BEL*** ROB***** JOS*</t>
  </si>
  <si>
    <t>1010146449</t>
  </si>
  <si>
    <t>RIVERA MANCILLA DINA MARCELA</t>
  </si>
  <si>
    <t>RIV*** MAN***** DIN* MAR****</t>
  </si>
  <si>
    <t>1010152395</t>
  </si>
  <si>
    <t>BERMUDEZ SIERRA JUAN ALBERTO</t>
  </si>
  <si>
    <t>BER***** SIE*** JUA* ALB****</t>
  </si>
  <si>
    <t>1012397006</t>
  </si>
  <si>
    <t>TERRAZA DIAZ YULEIDIS CAROLINA</t>
  </si>
  <si>
    <t>TER**** DIA* YUL***** CAR*****</t>
  </si>
  <si>
    <t>1012419288</t>
  </si>
  <si>
    <t>VANEGAS SANCHEZ JESUS DAVID</t>
  </si>
  <si>
    <t>VAN**** SAN**** JES** DAV**</t>
  </si>
  <si>
    <t>1014225869</t>
  </si>
  <si>
    <t>ORTIZ BELEÑO LILIBETH</t>
  </si>
  <si>
    <t>ORT** BEL*** LIL*****</t>
  </si>
  <si>
    <t>1015396998</t>
  </si>
  <si>
    <t>GIL RODELO JHOINIS</t>
  </si>
  <si>
    <t>GIL ROD*** JHO****</t>
  </si>
  <si>
    <t>1016095758</t>
  </si>
  <si>
    <t>ALEMAN HERRERA BENJAMIN</t>
  </si>
  <si>
    <t>ALE*** HER**** BEN*****</t>
  </si>
  <si>
    <t>1018404945</t>
  </si>
  <si>
    <t>PISCIOTTI OROZCO SANDY RAUL</t>
  </si>
  <si>
    <t>PIS****** ORO*** SAN** RAU*</t>
  </si>
  <si>
    <t>1018439596</t>
  </si>
  <si>
    <t>SANABRIA GALVIS GUSTAVO ADOLFO</t>
  </si>
  <si>
    <t>SAN***** GAL*** GUS**** ADO***</t>
  </si>
  <si>
    <t>1018466670</t>
  </si>
  <si>
    <t>ACOSTA HERNANDEZ HASBLEIDY CAROLINA</t>
  </si>
  <si>
    <t>ACO*** HER****** HAS****** CAR*****</t>
  </si>
  <si>
    <t>1018474599</t>
  </si>
  <si>
    <t>SUAREZ PEREZ DIANA PAOLA</t>
  </si>
  <si>
    <t>SUA*** PER** DIA** PAO**</t>
  </si>
  <si>
    <t>1019045124</t>
  </si>
  <si>
    <t>ARIAS PINZON JAVIER</t>
  </si>
  <si>
    <t>ARI** PIN*** JAV***</t>
  </si>
  <si>
    <t>1019051200</t>
  </si>
  <si>
    <t>PALENCIA CARDENAS HAROLD ANTOINIO</t>
  </si>
  <si>
    <t>PAL***** CAR***** HAR*** ANT*****</t>
  </si>
  <si>
    <t>1019085483</t>
  </si>
  <si>
    <t>MEJIA ESTRADA MIGUEL ANGEL</t>
  </si>
  <si>
    <t>MEJ** EST**** MIG*** ANG**</t>
  </si>
  <si>
    <t>1019108416</t>
  </si>
  <si>
    <t>CASTAÑO PEÑA JEIME PAMELA</t>
  </si>
  <si>
    <t>CAS**** PEÑ* JEI** PAM***</t>
  </si>
  <si>
    <t>1020787153</t>
  </si>
  <si>
    <t>BELEÑO ACUÑA EVELIN</t>
  </si>
  <si>
    <t>BEL*** ACU** EVE***</t>
  </si>
  <si>
    <t>1022327819</t>
  </si>
  <si>
    <t>CASTA¿EDA MELO HEIDY VIVIANA</t>
  </si>
  <si>
    <t>CAS****** MEL* HEI** VIV****</t>
  </si>
  <si>
    <t>1022367926</t>
  </si>
  <si>
    <t>MASSON DIAZ JOSE ALFREDO DE JESUS</t>
  </si>
  <si>
    <t>MAS*** DIA* JOS* ALF**** DE JES**</t>
  </si>
  <si>
    <t>1022991304</t>
  </si>
  <si>
    <t>MUÑOZ RIZZO VERONICA MERCEDES</t>
  </si>
  <si>
    <t>MUÑ** RIZ** VER***** MER*****</t>
  </si>
  <si>
    <t>1023880498</t>
  </si>
  <si>
    <t>BERNAL GIRALDO LILIANA CONSTANZA</t>
  </si>
  <si>
    <t>BER*** GIR**** LIL**** CON******</t>
  </si>
  <si>
    <t>1026303499</t>
  </si>
  <si>
    <t>MOLINA ANILLO ANDREA CAROLINA</t>
  </si>
  <si>
    <t>MOL*** ANI*** AND*** CAR*****</t>
  </si>
  <si>
    <t>1026555890</t>
  </si>
  <si>
    <t>MEZA MERIÑO JAIME LUIS</t>
  </si>
  <si>
    <t>MEZ* MER*** JAI** LUI*</t>
  </si>
  <si>
    <t>1026594822</t>
  </si>
  <si>
    <t>ENCISO BLANCO RUBEN DARIO</t>
  </si>
  <si>
    <t>ENC*** BLA*** RUB** DAR**</t>
  </si>
  <si>
    <t>1030535412</t>
  </si>
  <si>
    <t>BLANCO GALINDO GREISY KARINA</t>
  </si>
  <si>
    <t>BLA*** GAL**** GRE*** KAR***</t>
  </si>
  <si>
    <t>1030536065</t>
  </si>
  <si>
    <t>LUGO ROJAS KELLYS LORENA</t>
  </si>
  <si>
    <t>LUG* ROJ** KEL*** LOR***</t>
  </si>
  <si>
    <t>1030587953</t>
  </si>
  <si>
    <t>ZAMBRANO FLORES NESTOR JOSE</t>
  </si>
  <si>
    <t>ZAM***** FLO*** NES*** JOS*</t>
  </si>
  <si>
    <t>1030651996</t>
  </si>
  <si>
    <t>PARRA DADUL BRENDA DEL CARMEN</t>
  </si>
  <si>
    <t>PAR** DAD** BRE*** DEL CAR***</t>
  </si>
  <si>
    <t>1031128844</t>
  </si>
  <si>
    <t>BOHORQUEZ SUAREZ JHON ANDERSON</t>
  </si>
  <si>
    <t>BOH****** SUA*** JHO* AND*****</t>
  </si>
  <si>
    <t>1031139603</t>
  </si>
  <si>
    <t>BOHORQUEZ SUAREZ JENIFFER ANDREA</t>
  </si>
  <si>
    <t>BOH****** SUA*** JEN***** AND***</t>
  </si>
  <si>
    <t>1032420916</t>
  </si>
  <si>
    <t>FRANCO RUA MARLY INDARA</t>
  </si>
  <si>
    <t>FRA*** RUA MAR** IND***</t>
  </si>
  <si>
    <t>1035389122</t>
  </si>
  <si>
    <t>ROJAS ORTIZ YENY ALEJANDRA</t>
  </si>
  <si>
    <t>ROJ** ORT** YEN* ALE******</t>
  </si>
  <si>
    <t>1036599589</t>
  </si>
  <si>
    <t>SANDOVAL SERRANO MARIA CAROLINA</t>
  </si>
  <si>
    <t>SAN***** SER**** MAR** CAR*****</t>
  </si>
  <si>
    <t>1036635517</t>
  </si>
  <si>
    <t>FLORIAN RAMIREZ YINA PAOLA</t>
  </si>
  <si>
    <t>FLO**** RAM**** YIN* PAO**</t>
  </si>
  <si>
    <t>1041892966</t>
  </si>
  <si>
    <t>LLANOS ESCORCIA ANALINDS</t>
  </si>
  <si>
    <t>LLA*** ESC***** ANA*****</t>
  </si>
  <si>
    <t>1042349999</t>
  </si>
  <si>
    <t>POLO ESCORCIA MILAGRO DE JESUS</t>
  </si>
  <si>
    <t>POL* ESC***** MIL**** DE JES**</t>
  </si>
  <si>
    <t>1042350210</t>
  </si>
  <si>
    <t>RODRIGUEZ GUTIERREZ ADRIANA JUDITH</t>
  </si>
  <si>
    <t>ROD****** GUT****** ADR**** JUD***</t>
  </si>
  <si>
    <t>1042350632</t>
  </si>
  <si>
    <t>REBOLLEDO SAYAS LAURA MARCELA</t>
  </si>
  <si>
    <t>REB****** SAY** LAU** MAR****</t>
  </si>
  <si>
    <t>1042352060</t>
  </si>
  <si>
    <t>CORONADO CAMARGO MARIELL EVANGELINA</t>
  </si>
  <si>
    <t>COR***** CAM**** MAR**** EVA*******</t>
  </si>
  <si>
    <t>1042416289</t>
  </si>
  <si>
    <t>ARTETA DE LA HOZ ENRIQUE DE JESUS</t>
  </si>
  <si>
    <t>ART*** DE LA HOZ ENR**** DE JES**</t>
  </si>
  <si>
    <t>1042421622</t>
  </si>
  <si>
    <t>BERRIO AGAMEZ ANDRES MAURICIO</t>
  </si>
  <si>
    <t>BER*** AGA*** AND*** MAU*****</t>
  </si>
  <si>
    <t>1042422442</t>
  </si>
  <si>
    <t>FERRER RAMIREZ EUGENIO ARTURO</t>
  </si>
  <si>
    <t>FER*** RAM**** EUG**** ART***</t>
  </si>
  <si>
    <t>1042422977</t>
  </si>
  <si>
    <t>DE LA CRUZ RODRIGUEZ JULIETH DIVINA</t>
  </si>
  <si>
    <t>DE LA CRU* ROD****** JUL**** DIV***</t>
  </si>
  <si>
    <t>1042425227</t>
  </si>
  <si>
    <t>CASTRO OROZCO MARIA FERNANDA</t>
  </si>
  <si>
    <t>CAS*** ORO*** MAR** FER*****</t>
  </si>
  <si>
    <t>1042431055</t>
  </si>
  <si>
    <t>PUELLO RUIZ NELSON DAVID</t>
  </si>
  <si>
    <t>PUE*** RUI* NEL*** DAV**</t>
  </si>
  <si>
    <t>1042432869</t>
  </si>
  <si>
    <t>TORRIJO OSORIO NEIR JOSE</t>
  </si>
  <si>
    <t>TOR**** OSO*** NEI* JOS*</t>
  </si>
  <si>
    <t>1042995413</t>
  </si>
  <si>
    <t>DIAZ CARRILLO MARIA ISOLINA</t>
  </si>
  <si>
    <t>DIA* CAR***** MAR** ISO****</t>
  </si>
  <si>
    <t>1043020665</t>
  </si>
  <si>
    <t>ESTRADA ALBOR DIVINA LUZ</t>
  </si>
  <si>
    <t>EST**** ALB** DIV*** LUZ</t>
  </si>
  <si>
    <t>1043116078</t>
  </si>
  <si>
    <t>CISNERO SIMANCA CINDY LILIANA</t>
  </si>
  <si>
    <t>CIS**** SIM**** CIN** LIL****</t>
  </si>
  <si>
    <t>1043131491</t>
  </si>
  <si>
    <t>SIERRA PAJARO MARYURIS ROCIO</t>
  </si>
  <si>
    <t>SIE*** PAJ*** MAR***** ROC**</t>
  </si>
  <si>
    <t>1043169439</t>
  </si>
  <si>
    <t>GARAVITO IZQUIERDO JUANI JAVIER</t>
  </si>
  <si>
    <t>GAR***** IZQ****** JUA** JAV***</t>
  </si>
  <si>
    <t>1043605966</t>
  </si>
  <si>
    <t>FONTALVO VALENCIA JOSE ALBERTO</t>
  </si>
  <si>
    <t>FON***** VAL***** JOS* ALB****</t>
  </si>
  <si>
    <t>1043606737</t>
  </si>
  <si>
    <t>BARRIOS BRAVO CLARIBEL</t>
  </si>
  <si>
    <t>BAR**** BRA** CLA*****</t>
  </si>
  <si>
    <t>1043873166</t>
  </si>
  <si>
    <t>CANTILLO REALES YEIRA LUZ</t>
  </si>
  <si>
    <t>CAN***** REA*** YEI** LUZ</t>
  </si>
  <si>
    <t>1043873220</t>
  </si>
  <si>
    <t>ESCORCIA BARRIOS MADELEINE SOFIA</t>
  </si>
  <si>
    <t>ESC***** BAR**** MAD****** SOF**</t>
  </si>
  <si>
    <t>1043930253</t>
  </si>
  <si>
    <t>PACHECO CASTA¿EDA MAYRA ALEJANDRA</t>
  </si>
  <si>
    <t>PAC**** CAS****** MAY** ALE******</t>
  </si>
  <si>
    <t>1044391081</t>
  </si>
  <si>
    <t>MOLINA MOLINARES LOURDES MARIA</t>
  </si>
  <si>
    <t>MOL*** MOL****** LOU**** MAR**</t>
  </si>
  <si>
    <t>1044391938</t>
  </si>
  <si>
    <t>CORONELL JIMENEZ JAVIER ENRIQUE</t>
  </si>
  <si>
    <t>COR***** JIM**** JAV*** ENR****</t>
  </si>
  <si>
    <t>1044392929</t>
  </si>
  <si>
    <t>REYES CHARRIS NORBERTO FELIPE</t>
  </si>
  <si>
    <t>REY** CHA**** NOR***** FEL***</t>
  </si>
  <si>
    <t>1044421852</t>
  </si>
  <si>
    <t>AREVALO GONZALEZ YINETH PAOLA</t>
  </si>
  <si>
    <t>ARE**** GON***** YIN*** PAO**</t>
  </si>
  <si>
    <t>1044422534</t>
  </si>
  <si>
    <t>GONZALEZ GONZALEZ CIRO ANTONIO</t>
  </si>
  <si>
    <t>GON***** GON***** CIR* ANT****</t>
  </si>
  <si>
    <t>1044431393</t>
  </si>
  <si>
    <t>BARRIOS MARTINEZ AYDEE ISABEL</t>
  </si>
  <si>
    <t>BAR**** MAR***** AYD** ISA***</t>
  </si>
  <si>
    <t>1044433166</t>
  </si>
  <si>
    <t>CUELLO SUAREZ WALTER ENRIQUE</t>
  </si>
  <si>
    <t>CUE*** SUA*** WAL*** ENR****</t>
  </si>
  <si>
    <t>1044920917</t>
  </si>
  <si>
    <t>CAMPO TORO SIRELIS</t>
  </si>
  <si>
    <t>CAM** TOR* SIR****</t>
  </si>
  <si>
    <t>1045667417</t>
  </si>
  <si>
    <t>ORTEGA BORREGO WENDY PATRICIA</t>
  </si>
  <si>
    <t>ORT*** BOR**** WEN** PAT*****</t>
  </si>
  <si>
    <t>1045678389</t>
  </si>
  <si>
    <t>DE LA CRUZ OROZCO LUZ EMILIA</t>
  </si>
  <si>
    <t>DE LA CRU* ORO*** LUZ EMI***</t>
  </si>
  <si>
    <t>1045687074</t>
  </si>
  <si>
    <t>VIZCAINO OSPINO YAMILE</t>
  </si>
  <si>
    <t>VIZ***** OSP*** YAM***</t>
  </si>
  <si>
    <t>1045688209</t>
  </si>
  <si>
    <t>BONILLA BARRAZA LIANETTE LILIAN</t>
  </si>
  <si>
    <t>BON**** BAR**** LIA***** LIL***</t>
  </si>
  <si>
    <t>1045690238</t>
  </si>
  <si>
    <t>PALACIO BRIEVA MARIO ANDRES</t>
  </si>
  <si>
    <t>PAL**** BRI*** MAR** AND***</t>
  </si>
  <si>
    <t>1045691357</t>
  </si>
  <si>
    <t>NARVAEZ RODRIGUEZ VANESSA CAROLINA</t>
  </si>
  <si>
    <t>NAR**** ROD****** VAN**** CAR*****</t>
  </si>
  <si>
    <t>1045710583</t>
  </si>
  <si>
    <t>PADILLA POTES ROSA ELENA</t>
  </si>
  <si>
    <t>PAD**** POT** ROS* ELE**</t>
  </si>
  <si>
    <t>1045715703</t>
  </si>
  <si>
    <t>SMITH DE LOS REYES CANDY YULEISI</t>
  </si>
  <si>
    <t>SMI** DE LOS REY** CAN** YUL****</t>
  </si>
  <si>
    <t>1045715846</t>
  </si>
  <si>
    <t>BENAVIDES PARRA ROSA ELENA</t>
  </si>
  <si>
    <t>BEN****** PAR** ROS* ELE**</t>
  </si>
  <si>
    <t>1045717083</t>
  </si>
  <si>
    <t>ACOSTA MARTINEZ JORGE EZEQUIEL</t>
  </si>
  <si>
    <t>ACO*** MAR***** JOR** EZE*****</t>
  </si>
  <si>
    <t>1045719872</t>
  </si>
  <si>
    <t>LOPEZ MORENO HECTOR DANIEL</t>
  </si>
  <si>
    <t>LOP** MOR*** HEC*** DAN***</t>
  </si>
  <si>
    <t>1045725628</t>
  </si>
  <si>
    <t>FERNANDEZ LOPEZ FRANCISCO JAVIER</t>
  </si>
  <si>
    <t>FER****** LOP** FRA****** JAV***</t>
  </si>
  <si>
    <t>1045742379</t>
  </si>
  <si>
    <t>MOLINA GOMEZ VANESSA DEL CARMEN</t>
  </si>
  <si>
    <t>MOL*** GOM** VAN**** DEL CAR***</t>
  </si>
  <si>
    <t>1045743213</t>
  </si>
  <si>
    <t>TURIZO DUQUE LINDA MARCELA</t>
  </si>
  <si>
    <t>TUR*** DUQ** LIN** MAR****</t>
  </si>
  <si>
    <t>1045749100</t>
  </si>
  <si>
    <t>PADILLA RONCALLO PAULINA CONCEPCION</t>
  </si>
  <si>
    <t>PAD**** RON***** PAU**** CON*******</t>
  </si>
  <si>
    <t>1046337959</t>
  </si>
  <si>
    <t>TAPIAS ALMANZA EDIN JOSE</t>
  </si>
  <si>
    <t>TAP*** ALM**** EDI* JOS*</t>
  </si>
  <si>
    <t>1046814045</t>
  </si>
  <si>
    <t>ORELLANO AFRICANO PITER JOSE</t>
  </si>
  <si>
    <t>ORE***** AFR***** PIT** JOS*</t>
  </si>
  <si>
    <t>1046872818</t>
  </si>
  <si>
    <t>SILVERA SANJUAN EDER DE JESUS</t>
  </si>
  <si>
    <t>SIL**** SAN**** EDE* DE JES**</t>
  </si>
  <si>
    <t>1047335342</t>
  </si>
  <si>
    <t>DE LA HOZ AHUMADA TEILYS LUZ</t>
  </si>
  <si>
    <t>DE LA HOZ AHU**** TEI*** LUZ</t>
  </si>
  <si>
    <t>1047362346</t>
  </si>
  <si>
    <t>MURIEL CABALLERO ROSA ELENA</t>
  </si>
  <si>
    <t>MUR*** CAB****** ROS* ELE**</t>
  </si>
  <si>
    <t>1047381539</t>
  </si>
  <si>
    <t>JIMENEZ RICARDO ELIANA PATRICIA</t>
  </si>
  <si>
    <t>JIM**** RIC**** ELI*** PAT*****</t>
  </si>
  <si>
    <t>1047411231</t>
  </si>
  <si>
    <t>PAJARO CAICEDO PIERRE ANDRES</t>
  </si>
  <si>
    <t>PAJ*** CAI**** PIE*** AND***</t>
  </si>
  <si>
    <t>1047414353</t>
  </si>
  <si>
    <t>SALINAS PEREZ TERESA</t>
  </si>
  <si>
    <t>SAL**** PER** TER***</t>
  </si>
  <si>
    <t>1047419116</t>
  </si>
  <si>
    <t>OSPINO MENDOZA CINTHYA CAROLINA</t>
  </si>
  <si>
    <t>OSP*** MEN**** CIN**** CAR*****</t>
  </si>
  <si>
    <t>1047442245</t>
  </si>
  <si>
    <t>HERNANDEZ RODRIGUEZ ALEXANDER ALBERTO</t>
  </si>
  <si>
    <t>HER****** ROD****** ALE****** ALB****</t>
  </si>
  <si>
    <t>1047452908</t>
  </si>
  <si>
    <t>CASSIANI PEREZ ANDREINA</t>
  </si>
  <si>
    <t>CAS***** PER** AND*****</t>
  </si>
  <si>
    <t>1047477244</t>
  </si>
  <si>
    <t>CERPA AGAMEZ LUIS GUILLERMO</t>
  </si>
  <si>
    <t>CER** AGA*** LUI* GUI******</t>
  </si>
  <si>
    <t>1047500541</t>
  </si>
  <si>
    <t>BERRIO SIERRA MELISSA</t>
  </si>
  <si>
    <t>BER*** SIE*** MEL****</t>
  </si>
  <si>
    <t>1048269257</t>
  </si>
  <si>
    <t>SERJE CABANA DIEGO ARMANDO</t>
  </si>
  <si>
    <t>SER** CAB*** DIE** ARM****</t>
  </si>
  <si>
    <t>1048280747</t>
  </si>
  <si>
    <t>IZQUERDO MEJIA MALTINERO</t>
  </si>
  <si>
    <t>IZQ***** MEJ** MAL******</t>
  </si>
  <si>
    <t>1048330987</t>
  </si>
  <si>
    <t>SOBRINO ROCHA GEORJETH PAOLA</t>
  </si>
  <si>
    <t>SOB**** ROC** GEO***** PAO**</t>
  </si>
  <si>
    <t>1049605976</t>
  </si>
  <si>
    <t>LIZARAZO APARICIO CARLOS ANDRES</t>
  </si>
  <si>
    <t>LIZ***** APA***** CAR*** AND***</t>
  </si>
  <si>
    <t>1049643206</t>
  </si>
  <si>
    <t>GONZALEZ MOLINA LINA PAOLA</t>
  </si>
  <si>
    <t>GON***** MOL*** LIN* PAO**</t>
  </si>
  <si>
    <t>1049928837</t>
  </si>
  <si>
    <t>CARABALLO ARJONA MARIA ALEJANDRA</t>
  </si>
  <si>
    <t>CAR****** ARJ*** MAR** ALE******</t>
  </si>
  <si>
    <t>1050034044</t>
  </si>
  <si>
    <t>MARTINEZ LEGUIA OSCAR ALFONSO</t>
  </si>
  <si>
    <t>MAR***** LEG*** OSC** ALF****</t>
  </si>
  <si>
    <t>1050066044</t>
  </si>
  <si>
    <t>RUIZ RUEDA RINA RAQUEL</t>
  </si>
  <si>
    <t>RUI* RUE** RIN* RAQ***</t>
  </si>
  <si>
    <t>1050457916</t>
  </si>
  <si>
    <t>PEREZ RIOS DANIEL</t>
  </si>
  <si>
    <t>PER** RIO* DAN***</t>
  </si>
  <si>
    <t>1050974525</t>
  </si>
  <si>
    <t>PAEZ DE AVILA DAYANA PAOLA</t>
  </si>
  <si>
    <t>PAE* DE AVI** DAY*** PAO**</t>
  </si>
  <si>
    <t>1051358160</t>
  </si>
  <si>
    <t>MADRID GONZALEZ GREGORIO DE JESUS</t>
  </si>
  <si>
    <t>MAD*** GON***** GRE***** DE JES**</t>
  </si>
  <si>
    <t>1051654381</t>
  </si>
  <si>
    <t>VARGAS GUERRERO BERENICE DEL CARMEN</t>
  </si>
  <si>
    <t>VAR*** GUE***** BER***** DEL CAR***</t>
  </si>
  <si>
    <t>1051654568</t>
  </si>
  <si>
    <t>LOPEZ MACHADO YELIBETH</t>
  </si>
  <si>
    <t>LOP** MAC**** YEL*****</t>
  </si>
  <si>
    <t>1051654806</t>
  </si>
  <si>
    <t>DURAN SIMANCA YOELIS</t>
  </si>
  <si>
    <t>DUR** SIM**** YOE***</t>
  </si>
  <si>
    <t>1051655001</t>
  </si>
  <si>
    <t>SILVA ECHAVEZ JOLFRAN ALEXIS</t>
  </si>
  <si>
    <t>SIL** ECH**** JOL**** ALE***</t>
  </si>
  <si>
    <t>1051655301</t>
  </si>
  <si>
    <t>MEJIA OLIVEROS MARYSOL</t>
  </si>
  <si>
    <t>MEJ** OLI***** MAR****</t>
  </si>
  <si>
    <t>1051656396</t>
  </si>
  <si>
    <t>FONSECA AMARIS ANA ALEXANDRA</t>
  </si>
  <si>
    <t>FON**** AMA*** ANA ALE******</t>
  </si>
  <si>
    <t>1051656595</t>
  </si>
  <si>
    <t>MARTINEZ RODRIGUEZ ANA OSMEIDYS</t>
  </si>
  <si>
    <t>MAR***** ROD****** ANA OSM*****</t>
  </si>
  <si>
    <t>1051657122</t>
  </si>
  <si>
    <t>PIANETA SANCHEZ KARINA</t>
  </si>
  <si>
    <t>PIA**** SAN**** KAR***</t>
  </si>
  <si>
    <t>1051657257</t>
  </si>
  <si>
    <t>OLIVEROS DE ARMAS SANDRA MILENA</t>
  </si>
  <si>
    <t>OLI***** DE ARM** SAN*** MIL***</t>
  </si>
  <si>
    <t>1051657306</t>
  </si>
  <si>
    <t>ROJAS ROJAS YURIS ANDREA</t>
  </si>
  <si>
    <t>ROJ** ROJ** YUR** AND***</t>
  </si>
  <si>
    <t>1051659056</t>
  </si>
  <si>
    <t>ROCHA FLOREZ JUAN JOSE</t>
  </si>
  <si>
    <t>ROC** FLO*** JUA* JOS*</t>
  </si>
  <si>
    <t>1051661800</t>
  </si>
  <si>
    <t>MADRID MACHADO GINA</t>
  </si>
  <si>
    <t>MAD*** MAC**** GIN*</t>
  </si>
  <si>
    <t>1051667778</t>
  </si>
  <si>
    <t>AREVALO RIBON ELODYS</t>
  </si>
  <si>
    <t>ARE**** RIB** ELO***</t>
  </si>
  <si>
    <t>1051667897</t>
  </si>
  <si>
    <t>ARMENTA MULETH ANGEL ENRIQUE</t>
  </si>
  <si>
    <t>ARM**** MUL*** ANG** ENR****</t>
  </si>
  <si>
    <t>1051669037</t>
  </si>
  <si>
    <t>JACOME CA¿ARETE EVARISTO</t>
  </si>
  <si>
    <t>JAC*** CA¿***** EVA*****</t>
  </si>
  <si>
    <t>1051670181</t>
  </si>
  <si>
    <t>FONSECA MACHADO JISELLA</t>
  </si>
  <si>
    <t>FON**** MAC**** JIS****</t>
  </si>
  <si>
    <t>1051672700</t>
  </si>
  <si>
    <t>SANCHEZ PACHECO ALEXANDRA</t>
  </si>
  <si>
    <t>SAN**** PAC**** ALE******</t>
  </si>
  <si>
    <t>1051673368</t>
  </si>
  <si>
    <t>ANAYA ESCALANTE JHANT CARLOS</t>
  </si>
  <si>
    <t>ANA** ESC****** JHA** CAR***</t>
  </si>
  <si>
    <t>1051673457</t>
  </si>
  <si>
    <t>PADILLA MORON DIANA ISABEL</t>
  </si>
  <si>
    <t>PAD**** MOR** DIA** ISA***</t>
  </si>
  <si>
    <t>1051673847</t>
  </si>
  <si>
    <t>VIAÑA BUELVAS LINA MARIA</t>
  </si>
  <si>
    <t>VIA** BUE**** LIN* MAR**</t>
  </si>
  <si>
    <t>1051674423</t>
  </si>
  <si>
    <t>FUENTES MORON TOMAS JOSE</t>
  </si>
  <si>
    <t>FUE**** MOR** TOM** JOS*</t>
  </si>
  <si>
    <t>1051674530</t>
  </si>
  <si>
    <t>CORRALES CASTRILLO HERNAN ENRIQUE</t>
  </si>
  <si>
    <t>COR***** CAS****** HER*** ENR****</t>
  </si>
  <si>
    <t>1051675067</t>
  </si>
  <si>
    <t>LOPEZ PADILLA MAURICIO ANDRES</t>
  </si>
  <si>
    <t>LOP** PAD**** MAU***** AND***</t>
  </si>
  <si>
    <t>1051678218</t>
  </si>
  <si>
    <t>ESMERAL PEREZ LUISA MARGARITA</t>
  </si>
  <si>
    <t>ESM**** PER** LUI** MAR******</t>
  </si>
  <si>
    <t>1051745357</t>
  </si>
  <si>
    <t>MANJARREZ SIMANCA JHONATA</t>
  </si>
  <si>
    <t>MAN****** SIM**** JHO****</t>
  </si>
  <si>
    <t>1051820004</t>
  </si>
  <si>
    <t>CARMONA SALCEDO JESUS DAVID</t>
  </si>
  <si>
    <t>CAR**** SAL**** JES** DAV**</t>
  </si>
  <si>
    <t>1051832817</t>
  </si>
  <si>
    <t>CARMONA CARO MARIA DE LOS ANGELES</t>
  </si>
  <si>
    <t>CAR**** CAR* MAR** DE LOS ANG****</t>
  </si>
  <si>
    <t>1052080757</t>
  </si>
  <si>
    <t>CASTRO CARO YAMILET</t>
  </si>
  <si>
    <t>CAS*** CAR* YAM****</t>
  </si>
  <si>
    <t>1052378355</t>
  </si>
  <si>
    <t>ROMERO BLANCO FERNANDO</t>
  </si>
  <si>
    <t>ROM*** BLA*** FER*****</t>
  </si>
  <si>
    <t>1052701129</t>
  </si>
  <si>
    <t>MANCERA KATINA TORO</t>
  </si>
  <si>
    <t>MAN**** KAT*** TOR*</t>
  </si>
  <si>
    <t>1052702686</t>
  </si>
  <si>
    <t>TORO MANCERA ZAMIR</t>
  </si>
  <si>
    <t>TOR* MAN**** ZAM**</t>
  </si>
  <si>
    <t>1052942876</t>
  </si>
  <si>
    <t>SAYEH TANG CARLOS ALBERTO</t>
  </si>
  <si>
    <t>SAY** TAN* CAR*** ALB****</t>
  </si>
  <si>
    <t>1052946437</t>
  </si>
  <si>
    <t>MARTINEZ DIAZ LISETH</t>
  </si>
  <si>
    <t>MAR***** DIA* LIS***</t>
  </si>
  <si>
    <t>1052952989</t>
  </si>
  <si>
    <t>RODRIGUEZ TANGARIFE MAIRA ALEJANDRA</t>
  </si>
  <si>
    <t>ROD****** TAN****** MAI** ALE******</t>
  </si>
  <si>
    <t>1052971413</t>
  </si>
  <si>
    <t>MADERA DUARTE DAINER</t>
  </si>
  <si>
    <t>MAD*** DUA*** DAI***</t>
  </si>
  <si>
    <t>1053784061</t>
  </si>
  <si>
    <t>SUAREZ PULGARIN ESTHEFANY JULIETH</t>
  </si>
  <si>
    <t>SUA*** PUL***** EST****** JUL****</t>
  </si>
  <si>
    <t>1053803134</t>
  </si>
  <si>
    <t>GARZON HERNANDEZ JOSE MARIO</t>
  </si>
  <si>
    <t>GAR*** HER****** JOS* MAR**</t>
  </si>
  <si>
    <t>1054998630</t>
  </si>
  <si>
    <t>RAMIREZ SIMANCA JESUS ENRIQUE</t>
  </si>
  <si>
    <t>RAM**** SIM**** JES** ENR****</t>
  </si>
  <si>
    <t>1056029476</t>
  </si>
  <si>
    <t>CHIQUILLO PACH¿N ANA CAMILA</t>
  </si>
  <si>
    <t>CHI****** PAC*** ANA CAM***</t>
  </si>
  <si>
    <t>1061716252</t>
  </si>
  <si>
    <t>SALAS VELASCO JULIET MARITZA</t>
  </si>
  <si>
    <t>SAL** VEL**** JUL*** MAR****</t>
  </si>
  <si>
    <t>1061722440</t>
  </si>
  <si>
    <t>DIAGO CHARA JUAN MANUEL</t>
  </si>
  <si>
    <t>DIA** CHA** JUA* MAN***</t>
  </si>
  <si>
    <t>1062397493</t>
  </si>
  <si>
    <t>MURGAS HUGUET MARIA LILA</t>
  </si>
  <si>
    <t>MUR*** HUG*** MAR** LIL*</t>
  </si>
  <si>
    <t>1062813150</t>
  </si>
  <si>
    <t>SARABIA CABRERA EDINSON</t>
  </si>
  <si>
    <t>SAR**** CAB**** EDI****</t>
  </si>
  <si>
    <t>1063082631</t>
  </si>
  <si>
    <t>PACHECO BOHORQUEZ DOMINGO EMIGDIO</t>
  </si>
  <si>
    <t>PAC**** BOH****** DOM**** EMI****</t>
  </si>
  <si>
    <t>1063489568</t>
  </si>
  <si>
    <t>HERNANDEZ MARTINEZ YESICA</t>
  </si>
  <si>
    <t>HER****** MAR***** YES***</t>
  </si>
  <si>
    <t>1063493873</t>
  </si>
  <si>
    <t>VILLALOBOS CAMPO MARISOL</t>
  </si>
  <si>
    <t>VIL******* CAM** MAR****</t>
  </si>
  <si>
    <t>1063591043</t>
  </si>
  <si>
    <t>COTES MEJIA ISABEL</t>
  </si>
  <si>
    <t>COT** MEJ** ISA***</t>
  </si>
  <si>
    <t>1063591442</t>
  </si>
  <si>
    <t>ARROYO MARQUEZ OCTAVIO ELIAS</t>
  </si>
  <si>
    <t>ARR*** MAR**** OCT**** ELI**</t>
  </si>
  <si>
    <t>1063594979</t>
  </si>
  <si>
    <t>NIÑO IZQUIERDO RAUL ARMANDO</t>
  </si>
  <si>
    <t>NIÑ* IZQ****** RAU* ARM****</t>
  </si>
  <si>
    <t>1063598099</t>
  </si>
  <si>
    <t>NIÑO TORRES NELSON SAYRIN</t>
  </si>
  <si>
    <t>NIÑ* TOR*** NEL*** SAY***</t>
  </si>
  <si>
    <t>1063598173</t>
  </si>
  <si>
    <t>IZQUIERDO RICTHER YESICA MUNKEYWIA</t>
  </si>
  <si>
    <t>IZQ****** RIC**** YES*** MUN******</t>
  </si>
  <si>
    <t>1063721038</t>
  </si>
  <si>
    <t>MARTINEZ VARGAS JUANA ISABEL</t>
  </si>
  <si>
    <t>MAR***** VAR*** JUA** ISA***</t>
  </si>
  <si>
    <t>1063949751</t>
  </si>
  <si>
    <t>GAMEZ TEHERAN CRISTIAN RICARDO</t>
  </si>
  <si>
    <t>GAM** TEH**** CRI***** RIC****</t>
  </si>
  <si>
    <t>1063966139</t>
  </si>
  <si>
    <t>ANDRADE DE LA HOZ LAURA BANEZA</t>
  </si>
  <si>
    <t>AND**** DE LA HOZ LAU** BAN***</t>
  </si>
  <si>
    <t>1064188675</t>
  </si>
  <si>
    <t>TEJADA GONZALEZ ALBER MANUEL</t>
  </si>
  <si>
    <t>TEJ*** GON***** ALB** MAN***</t>
  </si>
  <si>
    <t>1064992051</t>
  </si>
  <si>
    <t>BARRIOS RIOS TOMAS ENRIQUE</t>
  </si>
  <si>
    <t>BAR**** RIO* TOM** ENR****</t>
  </si>
  <si>
    <t>1065124767</t>
  </si>
  <si>
    <t>ARRIETA QUINTERO JOSEFINA ISABEL</t>
  </si>
  <si>
    <t>ARR**** QUI***** JOS***** ISA***</t>
  </si>
  <si>
    <t>1065129083</t>
  </si>
  <si>
    <t>FLOREZ CERVANTES HERMINIA</t>
  </si>
  <si>
    <t>FLO*** CER****** HER*****</t>
  </si>
  <si>
    <t>1065202204</t>
  </si>
  <si>
    <t>GUACANEME CHAPARRO SANDRA MILENA</t>
  </si>
  <si>
    <t>GUA****** CHA***** SAN*** MIL***</t>
  </si>
  <si>
    <t>1065562771</t>
  </si>
  <si>
    <t>GARRIDO ARAGON JOSE FERNANDO</t>
  </si>
  <si>
    <t>GAR**** ARA*** JOS* FER*****</t>
  </si>
  <si>
    <t>1065563091</t>
  </si>
  <si>
    <t>SEGUANES VIDES RODRIGO RAFAEL</t>
  </si>
  <si>
    <t>SEG***** VID** ROD**** RAF***</t>
  </si>
  <si>
    <t>1065563430</t>
  </si>
  <si>
    <t>ZAPATA TORRES ELKIN JOSE</t>
  </si>
  <si>
    <t>ZAP*** TOR*** ELK** JOS*</t>
  </si>
  <si>
    <t>1065571624</t>
  </si>
  <si>
    <t>GONZALEZ RICO YULENIS</t>
  </si>
  <si>
    <t>GON***** RIC* YUL****</t>
  </si>
  <si>
    <t>1065575666</t>
  </si>
  <si>
    <t>VIZCAINO PATIÑO LUIS ENRIQUE</t>
  </si>
  <si>
    <t>VIZ***** PAT*** LUI* ENR****</t>
  </si>
  <si>
    <t>1065580109</t>
  </si>
  <si>
    <t>ORJUELA FERNANDEZ JEAN CARLOS</t>
  </si>
  <si>
    <t>ORJ**** FER****** JEA* CAR***</t>
  </si>
  <si>
    <t>1065584266</t>
  </si>
  <si>
    <t>ARIAS IZQUIERDO ELVIA MARIA</t>
  </si>
  <si>
    <t>ARI** IZQ****** ELV** MAR**</t>
  </si>
  <si>
    <t>1065585211</t>
  </si>
  <si>
    <t>MENDOZA PEÑALOZA MAIRA ELENA</t>
  </si>
  <si>
    <t>MEN**** PEÑ***** MAI** ELE**</t>
  </si>
  <si>
    <t>1065589842</t>
  </si>
  <si>
    <t>VALLEJO DE LA HOZ MALLERLYS</t>
  </si>
  <si>
    <t>VAL**** DE LA HOZ MAL******</t>
  </si>
  <si>
    <t>1065595603</t>
  </si>
  <si>
    <t>VEGA HENRIQUEZ JOHNATHAN JOSE</t>
  </si>
  <si>
    <t>VEG* HEN****** JOH****** JOS*</t>
  </si>
  <si>
    <t>1065596544</t>
  </si>
  <si>
    <t>PEREZ CANTILLO MILENA GREGORIA</t>
  </si>
  <si>
    <t>PER** CAN***** MIL*** GRE*****</t>
  </si>
  <si>
    <t>1065597129</t>
  </si>
  <si>
    <t>CURIEL GONZALEZ JAVIER</t>
  </si>
  <si>
    <t>CUR*** GON***** JAV***</t>
  </si>
  <si>
    <t>1065598999</t>
  </si>
  <si>
    <t>QUIROZ QUIROZ KEYLA</t>
  </si>
  <si>
    <t>QUI*** QUI*** KEY**</t>
  </si>
  <si>
    <t>1065607605</t>
  </si>
  <si>
    <t>FUENTES DE LA HOZ JULIO DANIEL</t>
  </si>
  <si>
    <t>FUE**** DE LA HOZ JUL** DAN***</t>
  </si>
  <si>
    <t>1065610454</t>
  </si>
  <si>
    <t>CADAVID PEREZ ANDREA MILENA</t>
  </si>
  <si>
    <t>CAD**** PER** AND*** MIL***</t>
  </si>
  <si>
    <t>1065615751</t>
  </si>
  <si>
    <t>VIDES CARVAL DIEGO FERNANDO</t>
  </si>
  <si>
    <t>VID** CAR*** DIE** FER*****</t>
  </si>
  <si>
    <t>1065620681</t>
  </si>
  <si>
    <t>CONTRERAS RIVERA JEISY</t>
  </si>
  <si>
    <t>CON****** RIV*** JEI**</t>
  </si>
  <si>
    <t>1065622511</t>
  </si>
  <si>
    <t>RAMIREZ SOCARRAS ANA MARIA CAROLINA</t>
  </si>
  <si>
    <t>RAM**** SOC***** ANA MAR** CAR*****</t>
  </si>
  <si>
    <t>1065622537</t>
  </si>
  <si>
    <t>PADILLA DEL VALLE BREINER JOSE</t>
  </si>
  <si>
    <t>PAD**** DEL VAL** BRE**** JOS*</t>
  </si>
  <si>
    <t>1065622920</t>
  </si>
  <si>
    <t>PEÑA PEÑA CRISTIAN</t>
  </si>
  <si>
    <t>PEÑ* PEÑ* CRI*****</t>
  </si>
  <si>
    <t>1065623218</t>
  </si>
  <si>
    <t>CUARTAS LOPEZ KATERINE</t>
  </si>
  <si>
    <t>CUA**** LOP** KAT*****</t>
  </si>
  <si>
    <t>1065638405</t>
  </si>
  <si>
    <t>PARODI SOCARRAS CINDY PAOLA</t>
  </si>
  <si>
    <t>PAR*** SOC***** CIN** PAO**</t>
  </si>
  <si>
    <t>1065649228</t>
  </si>
  <si>
    <t>LOPEZ AGAMEZ YULEIDYS PAOLA</t>
  </si>
  <si>
    <t>LOP** AGA*** YUL***** PAO**</t>
  </si>
  <si>
    <t>1065652932</t>
  </si>
  <si>
    <t>TORRES GONSALEZ ANDREINA ANDREA</t>
  </si>
  <si>
    <t>TOR*** GON***** AND***** AND***</t>
  </si>
  <si>
    <t>1065657831</t>
  </si>
  <si>
    <t>ESCOBAR CUJIA KARLA PATRICIA</t>
  </si>
  <si>
    <t>ESC**** CUJ** KAR** PAT*****</t>
  </si>
  <si>
    <t>1065658819</t>
  </si>
  <si>
    <t>PEREZ GUEVARA ANNI MILENA</t>
  </si>
  <si>
    <t>PER** GUE**** ANN* MIL***</t>
  </si>
  <si>
    <t>1065659149</t>
  </si>
  <si>
    <t>FLOREZ TINOCO LEIDYS TATIANA</t>
  </si>
  <si>
    <t>FLO*** TIN*** LEI*** TAT****</t>
  </si>
  <si>
    <t>1065662436</t>
  </si>
  <si>
    <t>SORIANO ARGOTE ANGELICA CARLOTA</t>
  </si>
  <si>
    <t>SOR**** ARG*** ANG***** CAR****</t>
  </si>
  <si>
    <t>1065663044</t>
  </si>
  <si>
    <t>CAMPO ALFARO SANDRY JULIETH</t>
  </si>
  <si>
    <t>CAM** ALF*** SAN*** JUL****</t>
  </si>
  <si>
    <t>1065664309</t>
  </si>
  <si>
    <t>MINDIOLA GARCIA BRAYAN JOSE</t>
  </si>
  <si>
    <t>MIN***** GAR*** BRA*** JOS*</t>
  </si>
  <si>
    <t>1065806418</t>
  </si>
  <si>
    <t>VALLEJO DE LA HOZ LLORLEIDYS</t>
  </si>
  <si>
    <t>VAL**** DE LA HOZ LLO*******</t>
  </si>
  <si>
    <t>1065808935</t>
  </si>
  <si>
    <t>OROZCO OSPINO OMAR YESITH</t>
  </si>
  <si>
    <t>ORO*** OSP*** OMA* YES***</t>
  </si>
  <si>
    <t>1065814510</t>
  </si>
  <si>
    <t>OLIVERA DIAZ JUAN GABRIEL</t>
  </si>
  <si>
    <t>OLI**** DIA* JUA* GAB****</t>
  </si>
  <si>
    <t>1065820352</t>
  </si>
  <si>
    <t>CASTRILLO RODRIGUEZ WENDY YOHANA</t>
  </si>
  <si>
    <t>CAS****** ROD****** WEN** YOH***</t>
  </si>
  <si>
    <t>1065829037</t>
  </si>
  <si>
    <t>FLOREZ FRANCO DAYANA</t>
  </si>
  <si>
    <t>FLO*** FRA*** DAY***</t>
  </si>
  <si>
    <t>1065829432</t>
  </si>
  <si>
    <t>TORRIJOS GUEVARA CLAUDIA MILENA</t>
  </si>
  <si>
    <t>TOR***** GUE**** CLA**** MIL***</t>
  </si>
  <si>
    <t>1065833085</t>
  </si>
  <si>
    <t>VILLARREAL PIZARRO ANA MARCELA</t>
  </si>
  <si>
    <t>VIL******* PIZ**** ANA MAR****</t>
  </si>
  <si>
    <t>1065833620</t>
  </si>
  <si>
    <t>GUTIERREZ GUTIERREZ MARIA ANGELICA</t>
  </si>
  <si>
    <t>GUT****** GUT****** MAR** ANG*****</t>
  </si>
  <si>
    <t>1065834416</t>
  </si>
  <si>
    <t>MEJIA ELJACH DANNA MARCELA</t>
  </si>
  <si>
    <t>MEJ** ELJ*** DAN** MAR****</t>
  </si>
  <si>
    <t>1065836277</t>
  </si>
  <si>
    <t>GALINDO MARTINEZ CLAUDIA PATRICIA</t>
  </si>
  <si>
    <t>GAL**** MAR***** CLA**** PAT*****</t>
  </si>
  <si>
    <t>1065843077</t>
  </si>
  <si>
    <t>ALFARO LOPEZ DELCY CRISTINA</t>
  </si>
  <si>
    <t>ALF*** LOP** DEL** CRI*****</t>
  </si>
  <si>
    <t>1065884031</t>
  </si>
  <si>
    <t>GALVIS RODRIGUEZ ANDERSON FABIAN</t>
  </si>
  <si>
    <t>GAL*** ROD****** AND***** FAB***</t>
  </si>
  <si>
    <t>1065884565</t>
  </si>
  <si>
    <t>LARA OROZCO JOSE GREGORIO</t>
  </si>
  <si>
    <t>LAR* ORO*** JOS* GRE*****</t>
  </si>
  <si>
    <t>1066750255</t>
  </si>
  <si>
    <t>BEDOYA MARTINEZ JOSE PAUL</t>
  </si>
  <si>
    <t>BED*** MAR***** JOS* PAU*</t>
  </si>
  <si>
    <t>1067035835</t>
  </si>
  <si>
    <t>SEGUANES VIDES RODRIGO DAVID</t>
  </si>
  <si>
    <t>SEG***** VID** ROD**** DAV**</t>
  </si>
  <si>
    <t>1067404709</t>
  </si>
  <si>
    <t>DIAZ HERNANDEZ DANIELA DE JESUS</t>
  </si>
  <si>
    <t>DIA* HER****** DAN**** DE JES**</t>
  </si>
  <si>
    <t>1067712743</t>
  </si>
  <si>
    <t>OÑATE AROCA MONICA PAOLA</t>
  </si>
  <si>
    <t>OÑA** ARO** MON*** PAO**</t>
  </si>
  <si>
    <t>1067806188</t>
  </si>
  <si>
    <t>VEGA BARRIOS JULIO RAFAEL</t>
  </si>
  <si>
    <t>VEG* BAR**** JUL** RAF***</t>
  </si>
  <si>
    <t>1067859980</t>
  </si>
  <si>
    <t>PAREJO MORALES KARINA PAOLA</t>
  </si>
  <si>
    <t>PAR*** MOR**** KAR*** PAO**</t>
  </si>
  <si>
    <t>1068349087</t>
  </si>
  <si>
    <t>ESPINEL RADA DOMINGA</t>
  </si>
  <si>
    <t>ESP**** RAD* DOM****</t>
  </si>
  <si>
    <t>1068386940</t>
  </si>
  <si>
    <t>PALOMINO TAPIA CARMEN MARIA</t>
  </si>
  <si>
    <t>PAL***** TAP** CAR*** MAR**</t>
  </si>
  <si>
    <t>1068425184</t>
  </si>
  <si>
    <t>JIMENEZ SAEZ JHEYSSON JAVIER</t>
  </si>
  <si>
    <t>JIM**** SAE* JHE***** JAV***</t>
  </si>
  <si>
    <t>1069463321</t>
  </si>
  <si>
    <t>LOPEZ SANTERO ANETH YOLETTY</t>
  </si>
  <si>
    <t>LOP** SAN**** ANE** YOL****</t>
  </si>
  <si>
    <t>1069491320</t>
  </si>
  <si>
    <t>GOMEZ MARQUEZ ISABEL CRISTINA</t>
  </si>
  <si>
    <t>GOM** MAR**** ISA*** CRI*****</t>
  </si>
  <si>
    <t>1070585529</t>
  </si>
  <si>
    <t>ROMERO HERNANDEZ LIBY ELIZABETH</t>
  </si>
  <si>
    <t>ROM*** HER****** LIB* ELI******</t>
  </si>
  <si>
    <t>1070625421</t>
  </si>
  <si>
    <t>ORTEGA BOLIVAR MARIA FERNANDA</t>
  </si>
  <si>
    <t>ORT*** BOL**** MAR** FER*****</t>
  </si>
  <si>
    <t>1070960661</t>
  </si>
  <si>
    <t>ABRIL GAMEZ YULENIIS NOHEMA</t>
  </si>
  <si>
    <t>ABR** GAM** YUL***** NOH***</t>
  </si>
  <si>
    <t>1072669607</t>
  </si>
  <si>
    <t>GARCIA FLOREZ ANYI PAOLA</t>
  </si>
  <si>
    <t>GAR*** FLO*** ANY* PAO**</t>
  </si>
  <si>
    <t>1072746043</t>
  </si>
  <si>
    <t>GUILLEN MORENO KATHERINE PAOLA</t>
  </si>
  <si>
    <t>GUI**** MOR*** KAT****** PAO**</t>
  </si>
  <si>
    <t>1073610157</t>
  </si>
  <si>
    <t>FELIX POVEDA NATALIA LUCIA</t>
  </si>
  <si>
    <t>FEL** POV*** NAT**** LUC**</t>
  </si>
  <si>
    <t>1074415408</t>
  </si>
  <si>
    <t>CARDENAS RODRIGUEZ YUDY</t>
  </si>
  <si>
    <t>CAR***** ROD****** YUD*</t>
  </si>
  <si>
    <t>1075020401</t>
  </si>
  <si>
    <t>CORDOBA ASPRILLA YURLEYDYS</t>
  </si>
  <si>
    <t>COR**** ASP***** YUR******</t>
  </si>
  <si>
    <t>1075273285</t>
  </si>
  <si>
    <t>PERDOMO MEJIA DIEGO FABIAN</t>
  </si>
  <si>
    <t>PER**** MEJ** DIE** FAB***</t>
  </si>
  <si>
    <t>1075315161</t>
  </si>
  <si>
    <t>TOVAR RIOS LISBEB</t>
  </si>
  <si>
    <t>TOV** RIO* LIS***</t>
  </si>
  <si>
    <t>1075319618</t>
  </si>
  <si>
    <t>DURAN TOVAR AURA TATIANA</t>
  </si>
  <si>
    <t>DUR** TOV** AUR* TAT****</t>
  </si>
  <si>
    <t>1075650831</t>
  </si>
  <si>
    <t>CRUZ FLOREZ LILIANA LISETTE</t>
  </si>
  <si>
    <t>CRU* FLO*** LIL**** LIS****</t>
  </si>
  <si>
    <t>1076325943</t>
  </si>
  <si>
    <t>MOSQUERA MOSQUERA JESUS EVELIO</t>
  </si>
  <si>
    <t>MOS***** MOS***** JES** EVE***</t>
  </si>
  <si>
    <t>1079655058</t>
  </si>
  <si>
    <t>VARGAS JARABA YULI PAOLA</t>
  </si>
  <si>
    <t>VAR*** JAR*** YUL* PAO**</t>
  </si>
  <si>
    <t>1079655191</t>
  </si>
  <si>
    <t>TAPIA SANCHEZ JORGE ARMANDO</t>
  </si>
  <si>
    <t>TAP** SAN**** JOR** ARM****</t>
  </si>
  <si>
    <t>1079655432</t>
  </si>
  <si>
    <t>NUÑEZ BERMUDEZ MARIA ESPERANZA</t>
  </si>
  <si>
    <t>NUÑ** BER***** MAR** ESP******</t>
  </si>
  <si>
    <t>1079656032</t>
  </si>
  <si>
    <t>SIERRA ANAYA EVERLIDES INES</t>
  </si>
  <si>
    <t>SIE*** ANA** EVE****** INE*</t>
  </si>
  <si>
    <t>1079656083</t>
  </si>
  <si>
    <t>MEJIA BARRIOS RAFAEL ANTONIO</t>
  </si>
  <si>
    <t>MEJ** BAR**** RAF*** ANT****</t>
  </si>
  <si>
    <t>1079656444</t>
  </si>
  <si>
    <t>CONTRERAS BRIEVA YANIS LORENA</t>
  </si>
  <si>
    <t>CON****** BRI*** YAN** LOR***</t>
  </si>
  <si>
    <t>1079656549</t>
  </si>
  <si>
    <t>ANDRADE MONTERO ELIANA ISABEL</t>
  </si>
  <si>
    <t>AND**** MON**** ELI*** ISA***</t>
  </si>
  <si>
    <t>1079656941</t>
  </si>
  <si>
    <t>GARCIA OSPINO SANDRA MILENA</t>
  </si>
  <si>
    <t>GAR*** OSP*** SAN*** MIL***</t>
  </si>
  <si>
    <t>1079657137</t>
  </si>
  <si>
    <t>TORRIJOS MERIÑO DAINER LUIS</t>
  </si>
  <si>
    <t>TOR***** MER*** DAI*** LUI*</t>
  </si>
  <si>
    <t>1079657285</t>
  </si>
  <si>
    <t>RAMIREZ TORRES ODALIS DE JESUS</t>
  </si>
  <si>
    <t>RAM**** TOR*** ODA*** DE JES**</t>
  </si>
  <si>
    <t>1079657644</t>
  </si>
  <si>
    <t>MANJARREZ MARTINEZ MAYRA ESTHER</t>
  </si>
  <si>
    <t>MAN****** MAR***** MAY** EST***</t>
  </si>
  <si>
    <t>1079658231</t>
  </si>
  <si>
    <t>MOYA PADILLA YAKLIS DEL AMPARO</t>
  </si>
  <si>
    <t>MOY* PAD**** YAK*** DEL AMP***</t>
  </si>
  <si>
    <t>1079659212</t>
  </si>
  <si>
    <t>TURBAY OSPINO JESUS ANDRES</t>
  </si>
  <si>
    <t>TUR*** OSP*** JES** AND***</t>
  </si>
  <si>
    <t>1079659493</t>
  </si>
  <si>
    <t>MEJIA ANAYA LEYDYS PAOLA</t>
  </si>
  <si>
    <t>MEJ** ANA** LEY*** PAO**</t>
  </si>
  <si>
    <t>1079659686</t>
  </si>
  <si>
    <t>ZABALETA BOLAÑO VERLIS YULIETH</t>
  </si>
  <si>
    <t>ZAB***** BOL*** VER*** YUL****</t>
  </si>
  <si>
    <t>1079660414</t>
  </si>
  <si>
    <t>ANAYA DE AVILA ROSINA MARIA</t>
  </si>
  <si>
    <t>ANA** DE AVI** ROS*** MAR**</t>
  </si>
  <si>
    <t>1079661845</t>
  </si>
  <si>
    <t>MATIU BARRIOS MARIA ANGELICA</t>
  </si>
  <si>
    <t>MAT** BAR**** MAR** ANG*****</t>
  </si>
  <si>
    <t>1079884518</t>
  </si>
  <si>
    <t>BOLAÑO BOLAÑO DAIRO JOSE</t>
  </si>
  <si>
    <t>BOL*** BOL*** DAI** JOS*</t>
  </si>
  <si>
    <t>1079884551</t>
  </si>
  <si>
    <t>ALMANZA RAMBAL CATALINA JOSEFA</t>
  </si>
  <si>
    <t>ALM**** RAM*** CAT***** JOS***</t>
  </si>
  <si>
    <t>1079885073</t>
  </si>
  <si>
    <t>OLAYA TORRIJO MARIA CLAUDIA</t>
  </si>
  <si>
    <t>OLA** TOR**** MAR** CLA****</t>
  </si>
  <si>
    <t>1079885137</t>
  </si>
  <si>
    <t>OBESO MELGAREJO OLINTO ANTONIO</t>
  </si>
  <si>
    <t>OBE** MEL****** OLI*** ANT****</t>
  </si>
  <si>
    <t>1079885159</t>
  </si>
  <si>
    <t>PEÑA OBESO BIANA</t>
  </si>
  <si>
    <t>PEÑ* OBE** BIA**</t>
  </si>
  <si>
    <t>1079885252</t>
  </si>
  <si>
    <t>MENDOZA GUTIERREZ OLGA MARIA</t>
  </si>
  <si>
    <t>MEN**** GUT****** OLG* MAR**</t>
  </si>
  <si>
    <t>1079886173</t>
  </si>
  <si>
    <t>OLAYA TORRIJO RICHARD JOSE</t>
  </si>
  <si>
    <t>OLA** TOR**** RIC**** JOS*</t>
  </si>
  <si>
    <t>1079911005</t>
  </si>
  <si>
    <t>GARCIA NAVARRO ZANDRA MILENA</t>
  </si>
  <si>
    <t>GAR*** NAV**** ZAN*** MIL***</t>
  </si>
  <si>
    <t>1079911560</t>
  </si>
  <si>
    <t>RUIZ CHARRIS GUSTAVO ALFREDO</t>
  </si>
  <si>
    <t>RUI* CHA**** GUS**** ALF****</t>
  </si>
  <si>
    <t>1079912388</t>
  </si>
  <si>
    <t>VERGARA ORTEGA CANDELARIA MARIA</t>
  </si>
  <si>
    <t>VER**** ORT*** CAN******* MAR**</t>
  </si>
  <si>
    <t>1079913661</t>
  </si>
  <si>
    <t>CONTRERAS CASTRO YEISMI</t>
  </si>
  <si>
    <t>CON****** CAS*** YEI***</t>
  </si>
  <si>
    <t>1079913712</t>
  </si>
  <si>
    <t>DE LA CRUZ MERIÑO ANDREA MARGARITA</t>
  </si>
  <si>
    <t>DE LA CRU* MER*** AND*** MAR******</t>
  </si>
  <si>
    <t>1079915320</t>
  </si>
  <si>
    <t>DE LA HOZ CABALLERO JOSE FERNANDO</t>
  </si>
  <si>
    <t>DE LA HOZ CAB****** JOS* FER*****</t>
  </si>
  <si>
    <t>1079916065</t>
  </si>
  <si>
    <t>JARABA DE LA CRUZ LIZETH PAOLA</t>
  </si>
  <si>
    <t>JAR*** DE LA CRU* LIZ*** PAO**</t>
  </si>
  <si>
    <t>1079931663</t>
  </si>
  <si>
    <t>DE LA CRUZ MEDINA MARIA PAZ</t>
  </si>
  <si>
    <t>DE LA CRU* MED*** MAR** PAZ</t>
  </si>
  <si>
    <t>1079931710</t>
  </si>
  <si>
    <t>YANCI LLANOS SERGINA ISABEL</t>
  </si>
  <si>
    <t>YAN** LLA*** SER**** ISA***</t>
  </si>
  <si>
    <t>1079931741</t>
  </si>
  <si>
    <t>PACHECO OROZCO DAYANA MARGARITA</t>
  </si>
  <si>
    <t>PAC**** ORO*** DAY*** MAR******</t>
  </si>
  <si>
    <t>1079932207</t>
  </si>
  <si>
    <t>DE LA HOZ RODRIGUEZ CARMEN CECILIA</t>
  </si>
  <si>
    <t>DE LA HOZ ROD****** CAR*** CEC****</t>
  </si>
  <si>
    <t>1079933789</t>
  </si>
  <si>
    <t>RODRIGUEZ MERCADO ARMANDO JOSE</t>
  </si>
  <si>
    <t>ROD****** MER**** ARM**** JOS*</t>
  </si>
  <si>
    <t>1079934241</t>
  </si>
  <si>
    <t>SALAS SALAS ROSA ELVIRA</t>
  </si>
  <si>
    <t>SAL** SAL** ROS* ELV***</t>
  </si>
  <si>
    <t>1079934435</t>
  </si>
  <si>
    <t>GOMEZ PERTUZ ANA PAULINA</t>
  </si>
  <si>
    <t>GOM** PER*** ANA PAU****</t>
  </si>
  <si>
    <t>1079934820</t>
  </si>
  <si>
    <t>PEREZ MOLINA PAOLA ESTHER</t>
  </si>
  <si>
    <t>PER** MOL*** PAO** EST***</t>
  </si>
  <si>
    <t>1079935045</t>
  </si>
  <si>
    <t>POLO PALMA JUAN MANUEL</t>
  </si>
  <si>
    <t>POL* PAL** JUA* MAN***</t>
  </si>
  <si>
    <t>1079935057</t>
  </si>
  <si>
    <t>DE LA CRUZ CASTRO GISSELLA YAZMIN</t>
  </si>
  <si>
    <t>DE LA CRU* CAS*** GIS***** YAZ***</t>
  </si>
  <si>
    <t>1079936270</t>
  </si>
  <si>
    <t>MONTENEGRO MONTERO HEINER MANUEL</t>
  </si>
  <si>
    <t>MON******* MON**** HEI*** MAN***</t>
  </si>
  <si>
    <t>1079937094</t>
  </si>
  <si>
    <t>VILLA CABARCAS SINDY CAROLINA</t>
  </si>
  <si>
    <t>VIL** CAB***** SIN** CAR*****</t>
  </si>
  <si>
    <t>1079938209</t>
  </si>
  <si>
    <t>MONTENEGRO BORJA LAURA MARCELA</t>
  </si>
  <si>
    <t>MON******* BOR** LAU** MAR****</t>
  </si>
  <si>
    <t>1079939580</t>
  </si>
  <si>
    <t>CHIMAS JIMENEZ MILAGRO DE JESUS</t>
  </si>
  <si>
    <t>CHI*** JIM**** MIL**** DE JES**</t>
  </si>
  <si>
    <t>1079939847</t>
  </si>
  <si>
    <t>IGUARAN CANTILLO ITALA DANIELA</t>
  </si>
  <si>
    <t>IGU**** CAN***** ITA** DAN****</t>
  </si>
  <si>
    <t>1079939942</t>
  </si>
  <si>
    <t>YANCY CERVANTES IVAN RENE</t>
  </si>
  <si>
    <t>YAN** CER****** IVA* REN*</t>
  </si>
  <si>
    <t>1079939951</t>
  </si>
  <si>
    <t>RODRIGUEZ PABON JOSE ENRIQUE</t>
  </si>
  <si>
    <t>ROD****** PAB** JOS* ENR****</t>
  </si>
  <si>
    <t>1079940496</t>
  </si>
  <si>
    <t>LLANOS CANTILLO VIANNEYS VANESSA</t>
  </si>
  <si>
    <t>LLA*** CAN***** VIA***** VAN****</t>
  </si>
  <si>
    <t>1079941514</t>
  </si>
  <si>
    <t>GUERRERO TORRES CARLOS JAVIER</t>
  </si>
  <si>
    <t>GUE***** TOR*** CAR*** JAV***</t>
  </si>
  <si>
    <t>1079990392</t>
  </si>
  <si>
    <t>NIÑO RODRIGUEZ MARGARITA ROSA</t>
  </si>
  <si>
    <t>NIÑ* ROD****** MAR****** ROS*</t>
  </si>
  <si>
    <t>1079990698</t>
  </si>
  <si>
    <t>CANO ACUÑA ELKIN DE JESUS</t>
  </si>
  <si>
    <t>CAN* ACU** ELK** DE JES**</t>
  </si>
  <si>
    <t>1079991080</t>
  </si>
  <si>
    <t>GOMEZ LOPEZ FREDYS</t>
  </si>
  <si>
    <t>GOM** LOP** FRE***</t>
  </si>
  <si>
    <t>1079991168</t>
  </si>
  <si>
    <t>FONSECA AMARIS DANIS MARCELA</t>
  </si>
  <si>
    <t>FON**** AMA*** DAN** MAR****</t>
  </si>
  <si>
    <t>1080010253</t>
  </si>
  <si>
    <t>DIAZ GUTIERREZ INGRID PAOLA</t>
  </si>
  <si>
    <t>DIA* GUT****** ING*** PAO**</t>
  </si>
  <si>
    <t>1080015039</t>
  </si>
  <si>
    <t>OSORIO GUTIERREZ CESAR ANDRES</t>
  </si>
  <si>
    <t>OSO*** GUT****** CES** AND***</t>
  </si>
  <si>
    <t>1080015629</t>
  </si>
  <si>
    <t>RUIZ SANCHEZ JALILE PATRICIA</t>
  </si>
  <si>
    <t>RUI* SAN**** JAL*** PAT*****</t>
  </si>
  <si>
    <t>1080422207</t>
  </si>
  <si>
    <t>SERGE PEREZ LEONARDO JOSE</t>
  </si>
  <si>
    <t>SER** PER** LEO***** JOS*</t>
  </si>
  <si>
    <t>1080429787</t>
  </si>
  <si>
    <t>GARCIA PATIÑO SNELLA SADITH</t>
  </si>
  <si>
    <t>GAR*** PAT*** SNE*** SAD***</t>
  </si>
  <si>
    <t>1080650615</t>
  </si>
  <si>
    <t>CASTRO CHACON OSNAIDER</t>
  </si>
  <si>
    <t>CAS*** CHA*** OSN*****</t>
  </si>
  <si>
    <t>1081002704</t>
  </si>
  <si>
    <t>ORTIZ GUERRA SIMAR MARIA</t>
  </si>
  <si>
    <t>ORT** GUE*** SIM** MAR**</t>
  </si>
  <si>
    <t>1081026272</t>
  </si>
  <si>
    <t>MONTENEGRO OSORIO MANUELA</t>
  </si>
  <si>
    <t>MON******* OSO*** MAN****</t>
  </si>
  <si>
    <t>1081028928</t>
  </si>
  <si>
    <t>MORRON CHARRIS EDGAR JOSUE</t>
  </si>
  <si>
    <t>MOR*** CHA**** EDG** JOS**</t>
  </si>
  <si>
    <t>1081759042</t>
  </si>
  <si>
    <t>OSPINO ARIZA ALBEIRO RAFAEL</t>
  </si>
  <si>
    <t>OSP*** ARI** ALB**** RAF***</t>
  </si>
  <si>
    <t>1081759357</t>
  </si>
  <si>
    <t>VASQUEZ CARRILLO DAGOBERTO JOSE</t>
  </si>
  <si>
    <t>VAS**** CAR***** DAG****** JOS*</t>
  </si>
  <si>
    <t>1081760532</t>
  </si>
  <si>
    <t>NAVARRO CERVANTES REINALDO JOSE</t>
  </si>
  <si>
    <t>NAV**** CER****** REI***** JOS*</t>
  </si>
  <si>
    <t>1081761255</t>
  </si>
  <si>
    <t>RODRIGUEZ GALINDO CLAUDIA PATRICIA</t>
  </si>
  <si>
    <t>ROD****** GAL**** CLA**** PAT*****</t>
  </si>
  <si>
    <t>1081761721</t>
  </si>
  <si>
    <t>DE LA ROSA PALMERA KATYA JUDITH</t>
  </si>
  <si>
    <t>DE LA ROS* PAL**** KAT** JUD***</t>
  </si>
  <si>
    <t>1081762954</t>
  </si>
  <si>
    <t>SALAS ROMO CARLOS EDUARDO</t>
  </si>
  <si>
    <t>SAL** ROM* CAR*** EDU****</t>
  </si>
  <si>
    <t>1081785190</t>
  </si>
  <si>
    <t>FLOREZ CARDENAS JOSE ARMANDO</t>
  </si>
  <si>
    <t>FLO*** CAR***** JOS* ARM****</t>
  </si>
  <si>
    <t>1081786170</t>
  </si>
  <si>
    <t>RODRIGUEZ VERGEL MARILUZ</t>
  </si>
  <si>
    <t>ROD****** VER*** MAR****</t>
  </si>
  <si>
    <t>1081786200</t>
  </si>
  <si>
    <t>CANTILLO ZAMBRANO KAREM PAOLA</t>
  </si>
  <si>
    <t>CAN***** ZAM***** KAR** PAO**</t>
  </si>
  <si>
    <t>1081786973</t>
  </si>
  <si>
    <t>SUESCUN GUEVARA DAVID</t>
  </si>
  <si>
    <t>SUE**** GUE**** DAV**</t>
  </si>
  <si>
    <t>1081787313</t>
  </si>
  <si>
    <t>CALVO MESSINO ATILIO MARCEL</t>
  </si>
  <si>
    <t>CAL** MES**** ATI*** MAR***</t>
  </si>
  <si>
    <t>1081787351</t>
  </si>
  <si>
    <t>PULGAR MARTINEZ AMPARO DEL CARMEN</t>
  </si>
  <si>
    <t>PUL*** MAR***** AMP*** DEL CAR***</t>
  </si>
  <si>
    <t>1081787573</t>
  </si>
  <si>
    <t>GUEVARA RODRIGUEZ MONICA PATRICIA</t>
  </si>
  <si>
    <t>GUE**** ROD****** MON*** PAT*****</t>
  </si>
  <si>
    <t>1081788500</t>
  </si>
  <si>
    <t>PEREZ VASQUEZ ERIKA ZARAY</t>
  </si>
  <si>
    <t>PER** VAS**** ERI** ZAR**</t>
  </si>
  <si>
    <t>1081788902</t>
  </si>
  <si>
    <t>FONTALVO CARRILLO JOSE GREGORIO</t>
  </si>
  <si>
    <t>FON***** CAR***** JOS* GRE*****</t>
  </si>
  <si>
    <t>1081789259</t>
  </si>
  <si>
    <t>POLO JIMENEZ ALEXANDER</t>
  </si>
  <si>
    <t>POL* JIM**** ALE******</t>
  </si>
  <si>
    <t>1081789654</t>
  </si>
  <si>
    <t>GOMEZ MORA ELVIA PATRICIA</t>
  </si>
  <si>
    <t>GOM** MOR* ELV** PAT*****</t>
  </si>
  <si>
    <t>1081789775</t>
  </si>
  <si>
    <t>AGUDELO PAYARES YULIETH PAOLA</t>
  </si>
  <si>
    <t>AGU**** PAY**** YUL**** PAO**</t>
  </si>
  <si>
    <t>1081789854</t>
  </si>
  <si>
    <t>SERRANO AFANADOR LUZ CENITH</t>
  </si>
  <si>
    <t>SER**** AFA***** LUZ CEN***</t>
  </si>
  <si>
    <t>1081790569</t>
  </si>
  <si>
    <t>GUTIERREZ VILLAMIL CORINA BEATRIZ</t>
  </si>
  <si>
    <t>GUT****** VIL***** COR*** BEA****</t>
  </si>
  <si>
    <t>1081790935</t>
  </si>
  <si>
    <t>PADILLA DE LA CRUZ YULIZA LINETH</t>
  </si>
  <si>
    <t>PAD**** DE LA CRU* YUL*** LIN***</t>
  </si>
  <si>
    <t>1081791130</t>
  </si>
  <si>
    <t>TABORDA COTES MAYERLIS</t>
  </si>
  <si>
    <t>TAB**** COT** MAY*****</t>
  </si>
  <si>
    <t>1081791246</t>
  </si>
  <si>
    <t>GONZALEZ PLATA SUAD LORENA</t>
  </si>
  <si>
    <t>GON***** PLA** SUA* LOR***</t>
  </si>
  <si>
    <t>1081792001</t>
  </si>
  <si>
    <t>SOCARRAS MEDINA JOSE ALBERTO</t>
  </si>
  <si>
    <t>SOC***** MED*** JOS* ALB****</t>
  </si>
  <si>
    <t>1081792019</t>
  </si>
  <si>
    <t>ROJANO BERDUGO LISBANIA MARCILIA</t>
  </si>
  <si>
    <t>ROJ*** BER**** LIS***** MAR*****</t>
  </si>
  <si>
    <t>1081792493</t>
  </si>
  <si>
    <t>ROJANO BOCANEGRA LEIDYS KARINA</t>
  </si>
  <si>
    <t>ROJ*** BOC****** LEI*** KAR***</t>
  </si>
  <si>
    <t>1081792619</t>
  </si>
  <si>
    <t>IGLESIAS OROZCO SONIA PAOLA</t>
  </si>
  <si>
    <t>IGL***** ORO*** SON** PAO**</t>
  </si>
  <si>
    <t>1081792767</t>
  </si>
  <si>
    <t>BARRIOS GAMARRA JUANA IRIS</t>
  </si>
  <si>
    <t>BAR**** GAM**** JUA** IRI*</t>
  </si>
  <si>
    <t>1081792990</t>
  </si>
  <si>
    <t>PARDO PEDROZO KAREN PAOLA</t>
  </si>
  <si>
    <t>PAR** PED**** KAR** PAO**</t>
  </si>
  <si>
    <t>1081794410</t>
  </si>
  <si>
    <t>NIÑO CARREÑO JUDITH PAOLA</t>
  </si>
  <si>
    <t>NIÑ* CAR**** JUD*** PAO**</t>
  </si>
  <si>
    <t>1081794609</t>
  </si>
  <si>
    <t>OSPINO TABORDA NILSON DAVID</t>
  </si>
  <si>
    <t>OSP*** TAB**** NIL*** DAV**</t>
  </si>
  <si>
    <t>1081794724</t>
  </si>
  <si>
    <t>YUBRAN BERBEN RUTH MARINA</t>
  </si>
  <si>
    <t>YUB*** BER*** RUT* MAR***</t>
  </si>
  <si>
    <t>1081794865</t>
  </si>
  <si>
    <t>CABALLERO CABALLERO CINTHIA PATRICIA</t>
  </si>
  <si>
    <t>CAB****** CAB****** CIN**** PAT*****</t>
  </si>
  <si>
    <t>1081795081</t>
  </si>
  <si>
    <t>NAVARRO BORJA YEIMA KAREN</t>
  </si>
  <si>
    <t>NAV**** BOR** YEI** KAR**</t>
  </si>
  <si>
    <t>1081796201</t>
  </si>
  <si>
    <t>MARTINEZ PERTUZ MARLY MARGARITA</t>
  </si>
  <si>
    <t>MAR***** PER*** MAR** MAR******</t>
  </si>
  <si>
    <t>1081796279</t>
  </si>
  <si>
    <t>SANCHEZ HENRIQUEZ ROBERTO DE JESUS</t>
  </si>
  <si>
    <t>SAN**** HEN****** ROB**** DE JES**</t>
  </si>
  <si>
    <t>1081796647</t>
  </si>
  <si>
    <t>VILORIA OROZCO LEONARDO DAVID</t>
  </si>
  <si>
    <t>VIL**** ORO*** LEO***** DAV**</t>
  </si>
  <si>
    <t>1081796901</t>
  </si>
  <si>
    <t>GAMARRA ROJANO ANDRES JOSE</t>
  </si>
  <si>
    <t>GAM**** ROJ*** AND*** JOS*</t>
  </si>
  <si>
    <t>1081796926</t>
  </si>
  <si>
    <t>POLO JIMENEZ DEIMER DE JESUS</t>
  </si>
  <si>
    <t>POL* JIM**** DEI*** DE JES**</t>
  </si>
  <si>
    <t>1081797274</t>
  </si>
  <si>
    <t>NIÑO SUAREZ ABEL HERNAN</t>
  </si>
  <si>
    <t>NIÑ* SUA*** ABE* HER***</t>
  </si>
  <si>
    <t>1081798476</t>
  </si>
  <si>
    <t>NIGRINIS OROZCO ROSA MARIA</t>
  </si>
  <si>
    <t>NIG***** ORO*** ROS* MAR**</t>
  </si>
  <si>
    <t>1081799327</t>
  </si>
  <si>
    <t>GUTIERREZ SALAS CINDY</t>
  </si>
  <si>
    <t>GUT****** SAL** CIN**</t>
  </si>
  <si>
    <t>1081799574</t>
  </si>
  <si>
    <t>IGLESIAS OROZCO RAFAEL DE JESUS</t>
  </si>
  <si>
    <t>IGL***** ORO*** RAF*** DE JES**</t>
  </si>
  <si>
    <t>1081800046</t>
  </si>
  <si>
    <t>PEÑALOZA MORENO LINDA LUZ</t>
  </si>
  <si>
    <t>PEÑ***** MOR*** LIN** LUZ</t>
  </si>
  <si>
    <t>1081800628</t>
  </si>
  <si>
    <t>DAVILA GUTIERREZ YURANIS</t>
  </si>
  <si>
    <t>DAV*** GUT****** YUR****</t>
  </si>
  <si>
    <t>1081801589</t>
  </si>
  <si>
    <t>CANDANOZA CUESTA GUSTAVO ADOLFO</t>
  </si>
  <si>
    <t>CAN****** CUE*** GUS**** ADO***</t>
  </si>
  <si>
    <t>1081801816</t>
  </si>
  <si>
    <t>LOBERA CALLEJAS KELLYN YOHANA</t>
  </si>
  <si>
    <t>LOB*** CAL***** KEL*** YOH***</t>
  </si>
  <si>
    <t>1081802082</t>
  </si>
  <si>
    <t>MARULANDA DE LA HOZ LUIS RAFAEL</t>
  </si>
  <si>
    <t>MAR****** DE LA HOZ LUI* RAF***</t>
  </si>
  <si>
    <t>1081802178</t>
  </si>
  <si>
    <t>JULIO STAN DAINER LUIS</t>
  </si>
  <si>
    <t>JUL** STA* DAI*** LUI*</t>
  </si>
  <si>
    <t>1081802802</t>
  </si>
  <si>
    <t>GAUDIO ESCALANTE MARCOS RAFAEL</t>
  </si>
  <si>
    <t>GAU*** ESC****** MAR*** RAF***</t>
  </si>
  <si>
    <t>1081803386</t>
  </si>
  <si>
    <t>ZUÑIGA DE LA CRUZ BANESA MARGARITA</t>
  </si>
  <si>
    <t>ZUÑ*** DE LA CRU* BAN*** MAR******</t>
  </si>
  <si>
    <t>1081803857</t>
  </si>
  <si>
    <t>VARELA DOMINGUEZ YESICA</t>
  </si>
  <si>
    <t>VAR*** DOM****** YES***</t>
  </si>
  <si>
    <t>1081804346</t>
  </si>
  <si>
    <t>RICO PACHECO MARIA MONICA</t>
  </si>
  <si>
    <t>RIC* PAC**** MAR** MON***</t>
  </si>
  <si>
    <t>1081805543</t>
  </si>
  <si>
    <t>GARCIA GAMERO YORCELLIS JUDITH</t>
  </si>
  <si>
    <t>GAR*** GAM*** YOR****** JUD***</t>
  </si>
  <si>
    <t>1081806808</t>
  </si>
  <si>
    <t>ZALABATA TORRES JORGE ROBLEDO</t>
  </si>
  <si>
    <t>ZAL***** TOR*** JOR** ROB****</t>
  </si>
  <si>
    <t>1081807676</t>
  </si>
  <si>
    <t>GOMEZ CASTELLAR EMENEGILDA</t>
  </si>
  <si>
    <t>GOM** CAS****** EME*******</t>
  </si>
  <si>
    <t>1081807677</t>
  </si>
  <si>
    <t>MEJIA MORENO JHAN CARLOS</t>
  </si>
  <si>
    <t>MEJ** MOR*** JHA* CAR***</t>
  </si>
  <si>
    <t>1081808285</t>
  </si>
  <si>
    <t>GUTIERREZ MENDOZA JEINNY MILENA</t>
  </si>
  <si>
    <t>GUT****** MEN**** JEI*** MIL***</t>
  </si>
  <si>
    <t>1081809614</t>
  </si>
  <si>
    <t>CARO ORTEGA MARIA MARGARITA</t>
  </si>
  <si>
    <t>CAR* ORT*** MAR** MAR******</t>
  </si>
  <si>
    <t>1081810130</t>
  </si>
  <si>
    <t>ROSALES GOETHE ANA MERCEDES</t>
  </si>
  <si>
    <t>ROS**** GOE*** ANA MER*****</t>
  </si>
  <si>
    <t>1081810510</t>
  </si>
  <si>
    <t>ALCALA SIERRA CARLOS ANDRES</t>
  </si>
  <si>
    <t>ALC*** SIE*** CAR*** AND***</t>
  </si>
  <si>
    <t>1081810612</t>
  </si>
  <si>
    <t>SANCHEZ CANTILLO ANGELA MARIA</t>
  </si>
  <si>
    <t>SAN**** CAN***** ANG*** MAR**</t>
  </si>
  <si>
    <t>1081810813</t>
  </si>
  <si>
    <t>VARGAS AREVALO ANGELYS PAOLA</t>
  </si>
  <si>
    <t>VAR*** ARE**** ANG**** PAO**</t>
  </si>
  <si>
    <t>1081811116</t>
  </si>
  <si>
    <t>IGLESIAS OROZCO DIANA CAROLINA</t>
  </si>
  <si>
    <t>IGL***** ORO*** DIA** CAR*****</t>
  </si>
  <si>
    <t>1081811167</t>
  </si>
  <si>
    <t>NI¿O RONDEROS LIZETH JOHANA</t>
  </si>
  <si>
    <t>NI¿* RON***** LIZ*** JOH***</t>
  </si>
  <si>
    <t>1081811479</t>
  </si>
  <si>
    <t>ARZUAGA ARRIETA TATIANA</t>
  </si>
  <si>
    <t>ARZ**** ARR**** TAT****</t>
  </si>
  <si>
    <t>1081811753</t>
  </si>
  <si>
    <t>NAVARRO NAVARRO KELLY JOHANNA</t>
  </si>
  <si>
    <t>NAV**** NAV**** KEL** JOH****</t>
  </si>
  <si>
    <t>1081812144</t>
  </si>
  <si>
    <t>MARTINEZ JULIO KATHERINE JOHANA</t>
  </si>
  <si>
    <t>MAR***** JUL** KAT****** JOH***</t>
  </si>
  <si>
    <t>1081812274</t>
  </si>
  <si>
    <t>PEÑA VARELA ANUAR ALFONSO</t>
  </si>
  <si>
    <t>PEÑ* VAR*** ANU** ALF****</t>
  </si>
  <si>
    <t>1081812489</t>
  </si>
  <si>
    <t>OSPINO DURAN ANGEL ENRIQUE</t>
  </si>
  <si>
    <t>OSP*** DUR** ANG** ENR****</t>
  </si>
  <si>
    <t>1081813092</t>
  </si>
  <si>
    <t>MEJIA MORENO TOMAS ALBERTO</t>
  </si>
  <si>
    <t>MEJ** MOR*** TOM** ALB****</t>
  </si>
  <si>
    <t>1081814331</t>
  </si>
  <si>
    <t>PINILLA SALDA¿A CLAUDIA MARCELA</t>
  </si>
  <si>
    <t>PIN**** SAL**** CLA**** MAR****</t>
  </si>
  <si>
    <t>1081814458</t>
  </si>
  <si>
    <t>MARTINEZ BARBOSA ALVARO JAVIER</t>
  </si>
  <si>
    <t>MAR***** BAR**** ALV*** JAV***</t>
  </si>
  <si>
    <t>1081815458</t>
  </si>
  <si>
    <t>BARRIOS MARIN ELSA ALEJANDRA</t>
  </si>
  <si>
    <t>BAR**** MAR** ELS* ALE******</t>
  </si>
  <si>
    <t>1081816341</t>
  </si>
  <si>
    <t>MOLINA GUERRERO NATALIA MERCEDES</t>
  </si>
  <si>
    <t>MOL*** GUE***** NAT**** MER*****</t>
  </si>
  <si>
    <t>1081818033</t>
  </si>
  <si>
    <t>GARCIA SALAZAR DAMARIS ESTHER</t>
  </si>
  <si>
    <t>GAR*** SAL**** DAM**** EST***</t>
  </si>
  <si>
    <t>1081818113</t>
  </si>
  <si>
    <t>BERMUDEZ OROZCO LUIS ANGEL</t>
  </si>
  <si>
    <t>BER***** ORO*** LUI* ANG**</t>
  </si>
  <si>
    <t>1081818280</t>
  </si>
  <si>
    <t>ACEVEDO PAREJO ROXANA PATRICIA</t>
  </si>
  <si>
    <t>ACE**** PAR*** ROX*** PAT*****</t>
  </si>
  <si>
    <t>1081820173</t>
  </si>
  <si>
    <t>GUERRERO ORTEGA LORAINE ESTHER</t>
  </si>
  <si>
    <t>GUE***** ORT*** LOR**** EST***</t>
  </si>
  <si>
    <t>1081820735</t>
  </si>
  <si>
    <t>VIZCAINO CARRANZA ANA ISABEL</t>
  </si>
  <si>
    <t>VIZ***** CAR***** ANA ISA***</t>
  </si>
  <si>
    <t>1081821463</t>
  </si>
  <si>
    <t>VILORIA OROZCO YURLENYS MILENA</t>
  </si>
  <si>
    <t>VIL**** ORO*** YUR***** MIL***</t>
  </si>
  <si>
    <t>1081822158</t>
  </si>
  <si>
    <t>TORRES TORRES OMAR</t>
  </si>
  <si>
    <t>TOR*** TOR*** OMA*</t>
  </si>
  <si>
    <t>1081823663</t>
  </si>
  <si>
    <t>DIAZ CERVANTES ANDREA CAROLINA</t>
  </si>
  <si>
    <t>DIA* CER****** AND*** CAR*****</t>
  </si>
  <si>
    <t>1081823727</t>
  </si>
  <si>
    <t>HERNANDEZ NI¿O INGRYD KATHERINE</t>
  </si>
  <si>
    <t>HER****** NI¿* ING*** KAT******</t>
  </si>
  <si>
    <t>1081824079</t>
  </si>
  <si>
    <t>ZUÑIGA DE LA CRUZ LINA MARCELA</t>
  </si>
  <si>
    <t>ZUÑ*** DE LA CRU* LIN* MAR****</t>
  </si>
  <si>
    <t>1081824538</t>
  </si>
  <si>
    <t>MARIN ARIZA MIRIAN PAOLA</t>
  </si>
  <si>
    <t>MAR** ARI** MIR*** PAO**</t>
  </si>
  <si>
    <t>1081824862</t>
  </si>
  <si>
    <t>PACHECO CABALLERO MARIA JOSE</t>
  </si>
  <si>
    <t>PAC**** CAB****** MAR** JOS*</t>
  </si>
  <si>
    <t>1081826087</t>
  </si>
  <si>
    <t>LARIOS SANCHEZ GUILLERMO ANDRES</t>
  </si>
  <si>
    <t>LAR*** SAN**** GUI****** AND***</t>
  </si>
  <si>
    <t>1081827450</t>
  </si>
  <si>
    <t>JIMENEZ VIZCAINO ANGIE PAOLA</t>
  </si>
  <si>
    <t>JIM**** VIZ***** ANG** PAO**</t>
  </si>
  <si>
    <t>1081828931</t>
  </si>
  <si>
    <t>PATRON MARENCO YIRLEZA PAOLA</t>
  </si>
  <si>
    <t>PAT*** MAR**** YIR**** PAO**</t>
  </si>
  <si>
    <t>1081829448</t>
  </si>
  <si>
    <t>SINNING LOPEZ MARIA CAMILA</t>
  </si>
  <si>
    <t>SIN**** LOP** MAR** CAM***</t>
  </si>
  <si>
    <t>1081829799</t>
  </si>
  <si>
    <t>ESPAÑA LOPEZ MANUEL DAVID</t>
  </si>
  <si>
    <t>ESP*** LOP** MAN*** DAV**</t>
  </si>
  <si>
    <t>1081829909</t>
  </si>
  <si>
    <t>CABANA ROJANO LUIS ALFONSO</t>
  </si>
  <si>
    <t>CAB*** ROJ*** LUI* ALF****</t>
  </si>
  <si>
    <t>1081829932</t>
  </si>
  <si>
    <t>GUERRA REALE S MARIA KAMILA</t>
  </si>
  <si>
    <t>GUE*** REA** S MAR** KAM***</t>
  </si>
  <si>
    <t>1081829959</t>
  </si>
  <si>
    <t>MERCADO BORRERO KISSA JOHANA</t>
  </si>
  <si>
    <t>MER**** BOR**** KIS** JOH***</t>
  </si>
  <si>
    <t>1081829994</t>
  </si>
  <si>
    <t>PACHECO LOPEZ EVELYN DIANITH</t>
  </si>
  <si>
    <t>PAC**** LOP** EVE*** DIA****</t>
  </si>
  <si>
    <t>1081830343</t>
  </si>
  <si>
    <t>DAZA TOBIAS ANDREA CAROLINA</t>
  </si>
  <si>
    <t>DAZ* TOB*** AND*** CAR*****</t>
  </si>
  <si>
    <t>1081831351</t>
  </si>
  <si>
    <t>TERNERA ROMO LAURA VANESSA</t>
  </si>
  <si>
    <t>TER**** ROM* LAU** VAN****</t>
  </si>
  <si>
    <t>1081831497</t>
  </si>
  <si>
    <t>PEREZ PEREZ DANIELA ESTHER</t>
  </si>
  <si>
    <t>PER** PER** DAN**** EST***</t>
  </si>
  <si>
    <t>1081832756</t>
  </si>
  <si>
    <t>CIRO GOMEZ JHONATAN</t>
  </si>
  <si>
    <t>CIR* GOM** JHO*****</t>
  </si>
  <si>
    <t>1081833053</t>
  </si>
  <si>
    <t>MELENDEZ NIÑO LAURA VANESSA</t>
  </si>
  <si>
    <t>MEL***** NIÑ* LAU** VAN****</t>
  </si>
  <si>
    <t>1081833079</t>
  </si>
  <si>
    <t>ORTEGA MARTINEZ ANA MERCEDES</t>
  </si>
  <si>
    <t>ORT*** MAR***** ANA MER*****</t>
  </si>
  <si>
    <t>1081833096</t>
  </si>
  <si>
    <t>FLOREZ RADA LEONARDO MEYRO</t>
  </si>
  <si>
    <t>FLO*** RAD* LEO***** MEY**</t>
  </si>
  <si>
    <t>1081833142</t>
  </si>
  <si>
    <t>VIZCAINO RODRIGUEZ MARIA ANGELICA</t>
  </si>
  <si>
    <t>VIZ***** ROD****** MAR** ANG*****</t>
  </si>
  <si>
    <t>1081833583</t>
  </si>
  <si>
    <t>SUCERQUIA MUÑOZ VERONICA ANDREA</t>
  </si>
  <si>
    <t>SUC****** MUÑ** VER***** AND***</t>
  </si>
  <si>
    <t>1081834349</t>
  </si>
  <si>
    <t>MOSQUERA SANCHEZ JAVIER EDUARDO</t>
  </si>
  <si>
    <t>MOS***** SAN**** JAV*** EDU****</t>
  </si>
  <si>
    <t>1081834729</t>
  </si>
  <si>
    <t>RODRIGUEZ ARDILA MARIA JOSE</t>
  </si>
  <si>
    <t>ROD****** ARD*** MAR** JOS*</t>
  </si>
  <si>
    <t>1081835013</t>
  </si>
  <si>
    <t>DAZA GRANADOS MAVIS NAYETH</t>
  </si>
  <si>
    <t>DAZ* GRA***** MAV** NAY***</t>
  </si>
  <si>
    <t>1081904194</t>
  </si>
  <si>
    <t>TORRES OSPINO JAN CARLOS</t>
  </si>
  <si>
    <t>TOR*** OSP*** JAN CAR***</t>
  </si>
  <si>
    <t>1081904895</t>
  </si>
  <si>
    <t>GOMEZ JATAR SHIRLY JOHANA</t>
  </si>
  <si>
    <t>GOM** JAT** SHI*** JOH***</t>
  </si>
  <si>
    <t>1081905819</t>
  </si>
  <si>
    <t>TOLOZA MARTINEZ SHIRLY</t>
  </si>
  <si>
    <t>TOL*** MAR***** SHI***</t>
  </si>
  <si>
    <t>1081906323</t>
  </si>
  <si>
    <t>DE ARCO HERRERA MERCEDES JUDITH</t>
  </si>
  <si>
    <t>DE ARC* HER**** MER***** JUD***</t>
  </si>
  <si>
    <t>1081906485</t>
  </si>
  <si>
    <t>CASA MIRANDA OSWALDO ENRIQUE</t>
  </si>
  <si>
    <t>CAS* MIR**** OSW**** ENR****</t>
  </si>
  <si>
    <t>1081907136</t>
  </si>
  <si>
    <t>FONSECA JARAMILLO XIMENA PAOLA</t>
  </si>
  <si>
    <t>FON**** JAR****** XIM*** PAO**</t>
  </si>
  <si>
    <t>1081907408</t>
  </si>
  <si>
    <t>AGUILAR VIDES DIANA MARIA</t>
  </si>
  <si>
    <t>AGU**** VID** DIA** MAR**</t>
  </si>
  <si>
    <t>1081907747</t>
  </si>
  <si>
    <t>CHAMORRO AGRESOTH ISAITH DAVID</t>
  </si>
  <si>
    <t>CHA***** AGR***** ISA*** DAV**</t>
  </si>
  <si>
    <t>1081907750</t>
  </si>
  <si>
    <t>RICO PATERNINA LEIDER DE JESUS</t>
  </si>
  <si>
    <t>RIC* PAT****** LEI*** DE JES**</t>
  </si>
  <si>
    <t>1081908318</t>
  </si>
  <si>
    <t>MONTH FRIERI REINALDO ENRIQUE</t>
  </si>
  <si>
    <t>MON** FRI*** REI***** ENR****</t>
  </si>
  <si>
    <t>1081908547</t>
  </si>
  <si>
    <t>RODRIGUEZ VALERO YICETH CARINA</t>
  </si>
  <si>
    <t>ROD****** VAL*** YIC*** CAR***</t>
  </si>
  <si>
    <t>1081908867</t>
  </si>
  <si>
    <t>PEREZ BELLO IVAN JAVIER</t>
  </si>
  <si>
    <t>PER** BEL** IVA* JAV***</t>
  </si>
  <si>
    <t>1081909536</t>
  </si>
  <si>
    <t>OCHOA AGAMEZ HECTOR GUILLERMO</t>
  </si>
  <si>
    <t>OCH** AGA*** HEC*** GUI******</t>
  </si>
  <si>
    <t>1081910153</t>
  </si>
  <si>
    <t>DIAZ LEONES PEDRO LUIS</t>
  </si>
  <si>
    <t>DIA* LEO*** PED** LUI*</t>
  </si>
  <si>
    <t>1081910587</t>
  </si>
  <si>
    <t>MARBELLO SIERRA YOSELIN MARIA</t>
  </si>
  <si>
    <t>MAR***** SIE*** YOS**** MAR**</t>
  </si>
  <si>
    <t>1081910961</t>
  </si>
  <si>
    <t>CAMARGO CAMPO HILDA INES</t>
  </si>
  <si>
    <t>CAM**** CAM** HIL** INE*</t>
  </si>
  <si>
    <t>1081911121</t>
  </si>
  <si>
    <t>GONZALEZ PULGAR ELIZABETH LUZ</t>
  </si>
  <si>
    <t>GON***** PUL*** ELI****** LUZ</t>
  </si>
  <si>
    <t>1081911436</t>
  </si>
  <si>
    <t>HERNANDEZ TERAN DARIANY MILDRETH</t>
  </si>
  <si>
    <t>HER****** TER** DAR**** MIL*****</t>
  </si>
  <si>
    <t>1081911741</t>
  </si>
  <si>
    <t>POLO GARCIA JULIO CESAR</t>
  </si>
  <si>
    <t>POL* GAR*** JUL** CES**</t>
  </si>
  <si>
    <t>1081912039</t>
  </si>
  <si>
    <t>LORA MEDINA SANDRA MARCELA</t>
  </si>
  <si>
    <t>LOR* MED*** SAN*** MAR****</t>
  </si>
  <si>
    <t>1081912567</t>
  </si>
  <si>
    <t>TAMARA PEREZ YAIR JOSE</t>
  </si>
  <si>
    <t>TAM*** PER** YAI* JOS*</t>
  </si>
  <si>
    <t>1081913002</t>
  </si>
  <si>
    <t>OSPINO RODRIGUEZ KATERINE ISABEL</t>
  </si>
  <si>
    <t>OSP*** ROD****** KAT***** ISA***</t>
  </si>
  <si>
    <t>1081913005</t>
  </si>
  <si>
    <t>TORRES PUELLO LEYDYS KARINA</t>
  </si>
  <si>
    <t>TOR*** PUE*** LEY*** KAR***</t>
  </si>
  <si>
    <t>1081913393</t>
  </si>
  <si>
    <t>FLOREZ RUIZ MARTIN GREGORIO</t>
  </si>
  <si>
    <t>FLO*** RUI* MAR*** GRE*****</t>
  </si>
  <si>
    <t>1081913396</t>
  </si>
  <si>
    <t>GONZALEZ GUTIERREZ ROBERTO MANUEL</t>
  </si>
  <si>
    <t>GON***** GUT****** ROB**** MAN***</t>
  </si>
  <si>
    <t>1081914204</t>
  </si>
  <si>
    <t>VERA CUDRIZ GLADYS MARIA</t>
  </si>
  <si>
    <t>VER* CUD*** GLA*** MAR**</t>
  </si>
  <si>
    <t>1081915266</t>
  </si>
  <si>
    <t>GONZALEZ ESCOBAR YONEYDIS ESTHER</t>
  </si>
  <si>
    <t>GON***** ESC**** YON***** EST***</t>
  </si>
  <si>
    <t>1081916987</t>
  </si>
  <si>
    <t>CABALLERO ANAYA STEFANY PAOLA</t>
  </si>
  <si>
    <t>CAB****** ANA** STE**** PAO**</t>
  </si>
  <si>
    <t>1081917331</t>
  </si>
  <si>
    <t>AGUILAR PATERNINA SINDY MARCELA</t>
  </si>
  <si>
    <t>AGU**** PAT****** SIN** MAR****</t>
  </si>
  <si>
    <t>1081917902</t>
  </si>
  <si>
    <t>RODRIGUEZ MELENDEZ RAMIRO RODRIGO</t>
  </si>
  <si>
    <t>ROD****** MEL***** RAM*** ROD****</t>
  </si>
  <si>
    <t>1081918146</t>
  </si>
  <si>
    <t>RAVELO DE LEON KEYLA DE JESUS</t>
  </si>
  <si>
    <t>RAV*** DE LEO* KEY** DE JES**</t>
  </si>
  <si>
    <t>1081918180</t>
  </si>
  <si>
    <t>NARVAEZ PEÑARREDONDA FERNANDO ARTURO</t>
  </si>
  <si>
    <t>NAR**** PEÑ********* FER***** ART***</t>
  </si>
  <si>
    <t>1081918195</t>
  </si>
  <si>
    <t>RAMOS DIAZ JULIAN DAVID</t>
  </si>
  <si>
    <t>RAM** DIA* JUL*** DAV**</t>
  </si>
  <si>
    <t>1081918408</t>
  </si>
  <si>
    <t>RICAURTE SAUMETH FIDEL MANUEL</t>
  </si>
  <si>
    <t>RIC***** SAU**** FID** MAN***</t>
  </si>
  <si>
    <t>1081918997</t>
  </si>
  <si>
    <t>BERNAL MACIAS MAIRENE LICETH</t>
  </si>
  <si>
    <t>BER*** MAC*** MAI**** LIC***</t>
  </si>
  <si>
    <t>1081919077</t>
  </si>
  <si>
    <t>MARTINEZ LAMBOGLIA LAURETH DE JESUS</t>
  </si>
  <si>
    <t>MAR***** LAM****** LAU**** DE JES**</t>
  </si>
  <si>
    <t>1081919208</t>
  </si>
  <si>
    <t>RUIZ ALMENDRALES ALVARO DAVID</t>
  </si>
  <si>
    <t>RUI* ALM******** ALV*** DAV**</t>
  </si>
  <si>
    <t>1081919848</t>
  </si>
  <si>
    <t>CACERES DIAZ YESENIA PAOLA</t>
  </si>
  <si>
    <t>CAC**** DIA* YES**** PAO**</t>
  </si>
  <si>
    <t>1081920876</t>
  </si>
  <si>
    <t>PALLARES RAMOS MONICA MARIA</t>
  </si>
  <si>
    <t>PAL***** RAM** MON*** MAR**</t>
  </si>
  <si>
    <t>1081921014</t>
  </si>
  <si>
    <t>CORTINA MONSALVO LISBETH</t>
  </si>
  <si>
    <t>COR**** MON***** LIS****</t>
  </si>
  <si>
    <t>1081922419</t>
  </si>
  <si>
    <t>JARABA PATERNINA MINERVA ISABEL</t>
  </si>
  <si>
    <t>JAR*** PAT****** MIN**** ISA***</t>
  </si>
  <si>
    <t>1081922565</t>
  </si>
  <si>
    <t>RICAURTE SAUMETH GERALDINE YUSSETH</t>
  </si>
  <si>
    <t>RIC***** SAU**** GER****** YUS****</t>
  </si>
  <si>
    <t>1081924467</t>
  </si>
  <si>
    <t>FIERRO FONSECA GEORGINA MARIA</t>
  </si>
  <si>
    <t>FIE*** FON**** GEO***** MAR**</t>
  </si>
  <si>
    <t>1081925948</t>
  </si>
  <si>
    <t>MEDINA SUAREZ LILIBETH</t>
  </si>
  <si>
    <t>MED*** SUA*** LIL*****</t>
  </si>
  <si>
    <t>1081925982</t>
  </si>
  <si>
    <t>P¿REZ GONZ¿LEZ MARIA JOS¿</t>
  </si>
  <si>
    <t>P¿R** GON***** MAR** JOS*</t>
  </si>
  <si>
    <t>1081926817</t>
  </si>
  <si>
    <t>SALCEDO ALDANA EUDER JOHAN</t>
  </si>
  <si>
    <t>SAL**** ALD*** EUD** JOH**</t>
  </si>
  <si>
    <t>1081928182</t>
  </si>
  <si>
    <t>RAMOS PADILLA LUIS JOSE</t>
  </si>
  <si>
    <t>RAM** PAD**** LUI* JOS*</t>
  </si>
  <si>
    <t>1081928247</t>
  </si>
  <si>
    <t>OSPINO MENDOZA MIGUEL ANDRES</t>
  </si>
  <si>
    <t>OSP*** MEN**** MIG*** AND***</t>
  </si>
  <si>
    <t>1081931833</t>
  </si>
  <si>
    <t>TORRES PEÑA ANDRES FELIPE</t>
  </si>
  <si>
    <t>TOR*** PEÑ* AND*** FEL***</t>
  </si>
  <si>
    <t>1082044447</t>
  </si>
  <si>
    <t>PABON CARRILLO CLAUDIA PATRICIA</t>
  </si>
  <si>
    <t>PAB** CAR***** CLA**** PAT*****</t>
  </si>
  <si>
    <t>1082044788</t>
  </si>
  <si>
    <t>CARRILLO CANTILLO DIANA MARCELA</t>
  </si>
  <si>
    <t>CAR***** CAN***** DIA** MAR****</t>
  </si>
  <si>
    <t>1082045556</t>
  </si>
  <si>
    <t>SALCEDO CANTILLO ANA CECILIA</t>
  </si>
  <si>
    <t>SAL**** CAN***** ANA CEC****</t>
  </si>
  <si>
    <t>1082045618</t>
  </si>
  <si>
    <t>MUTTO PABON TATIANA DE JESUS</t>
  </si>
  <si>
    <t>MUT** PAB** TAT**** DE JES**</t>
  </si>
  <si>
    <t>1082046350</t>
  </si>
  <si>
    <t>PABON NAVARRO MARIA LUISA</t>
  </si>
  <si>
    <t>PAB** NAV**** MAR** LUI**</t>
  </si>
  <si>
    <t>1082064446</t>
  </si>
  <si>
    <t>CERVANTES MOJICA JULIO CESAR</t>
  </si>
  <si>
    <t>CER****** MOJ*** JUL** CES**</t>
  </si>
  <si>
    <t>1082064451</t>
  </si>
  <si>
    <t>MARTINEZ MERCADO SAMIR RICARDO</t>
  </si>
  <si>
    <t>MAR***** MER**** SAM** RIC****</t>
  </si>
  <si>
    <t>1082065042</t>
  </si>
  <si>
    <t>OVIEDO MONTES ANGELA MARIA</t>
  </si>
  <si>
    <t>OVI*** MON*** ANG*** MAR**</t>
  </si>
  <si>
    <t>1082065195</t>
  </si>
  <si>
    <t>DIAZ SALCEDO GERARDO JOSE</t>
  </si>
  <si>
    <t>DIA* SAL**** GER**** JOS*</t>
  </si>
  <si>
    <t>1082065489</t>
  </si>
  <si>
    <t>CERVANTES URDA LISETH JULIETH</t>
  </si>
  <si>
    <t>CER****** URD* LIS*** JUL****</t>
  </si>
  <si>
    <t>1082066256</t>
  </si>
  <si>
    <t>HERNANDEZ MEJIA CARLOS ALFREDO</t>
  </si>
  <si>
    <t>HER****** MEJ** CAR*** ALF****</t>
  </si>
  <si>
    <t>1082066277</t>
  </si>
  <si>
    <t>MERCADO VALERA LUCY ELENA</t>
  </si>
  <si>
    <t>MER**** VAL*** LUC* ELE**</t>
  </si>
  <si>
    <t>1082066386</t>
  </si>
  <si>
    <t>TETTAY MERCADO MAILYS JOHANA</t>
  </si>
  <si>
    <t>TET*** MER**** MAI*** JOH***</t>
  </si>
  <si>
    <t>1082066765</t>
  </si>
  <si>
    <t>RAMOS ROJAS GREIS MARGARITA</t>
  </si>
  <si>
    <t>RAM** ROJ** GRE** MAR******</t>
  </si>
  <si>
    <t>1082067725</t>
  </si>
  <si>
    <t>MORENO ORDOÑEZ JOSE ALFREDO</t>
  </si>
  <si>
    <t>MOR*** ORD**** JOS* ALF****</t>
  </si>
  <si>
    <t>1082067808</t>
  </si>
  <si>
    <t>DIAZ SAENZ MARIA JOSE</t>
  </si>
  <si>
    <t>DIA* SAE** MAR** JOS*</t>
  </si>
  <si>
    <t>1082068109</t>
  </si>
  <si>
    <t>DEL TORO ARRIETA SARON DAYAN</t>
  </si>
  <si>
    <t>DEL TOR* ARR**** SAR** DAY**</t>
  </si>
  <si>
    <t>1082068137</t>
  </si>
  <si>
    <t>BARRIOS DEL TORO EVA SANDRITH</t>
  </si>
  <si>
    <t>BAR**** DEL TOR* EVA SAN*****</t>
  </si>
  <si>
    <t>1082068387</t>
  </si>
  <si>
    <t>CANTILLO TAPIA HUBER EDUARDO</t>
  </si>
  <si>
    <t>CAN***** TAP** HUB** EDU****</t>
  </si>
  <si>
    <t>1082068428</t>
  </si>
  <si>
    <t>BARRIOS ARRIETA PABLO JOSE</t>
  </si>
  <si>
    <t>BAR**** ARR**** PAB** JOS*</t>
  </si>
  <si>
    <t>1082069114</t>
  </si>
  <si>
    <t>ROMERO NAVAS ANNY ELIZ</t>
  </si>
  <si>
    <t>ROM*** NAV** ANN* ELI*</t>
  </si>
  <si>
    <t>1082069254</t>
  </si>
  <si>
    <t>MORENO DAMARIS HERNANDEZ</t>
  </si>
  <si>
    <t>MOR*** DAM**** HER******</t>
  </si>
  <si>
    <t>1082240533</t>
  </si>
  <si>
    <t>DE ANGEL GUERRERO KELLYS MAIRETH</t>
  </si>
  <si>
    <t>DE ANG** GUE***** KEL*** MAI****</t>
  </si>
  <si>
    <t>1082241843</t>
  </si>
  <si>
    <t>CHOPERENA TORRES MERLYS DEL ROSARIO</t>
  </si>
  <si>
    <t>CHO****** TOR*** MER*** DEL ROS****</t>
  </si>
  <si>
    <t>1082242603</t>
  </si>
  <si>
    <t>CASTRILLO OSPINO CARLOS MARIO</t>
  </si>
  <si>
    <t>CAS****** OSP*** CAR*** MAR**</t>
  </si>
  <si>
    <t>1082244216</t>
  </si>
  <si>
    <t>PARODI CARMONA JOSE ANDRES</t>
  </si>
  <si>
    <t>PAR*** CAR**** JOS* AND***</t>
  </si>
  <si>
    <t>1082245319</t>
  </si>
  <si>
    <t>MARTINEZ MARTINEZ ELIZABETH</t>
  </si>
  <si>
    <t>MAR***** MAR***** ELI******</t>
  </si>
  <si>
    <t>1082245530</t>
  </si>
  <si>
    <t>RIVERA CASTRO JESUS ANDRES</t>
  </si>
  <si>
    <t>RIV*** CAS*** JES** AND***</t>
  </si>
  <si>
    <t>1082246777</t>
  </si>
  <si>
    <t>LUNA LOZADA JULIO LUIS</t>
  </si>
  <si>
    <t>LUN* LOZ*** JUL** LUI*</t>
  </si>
  <si>
    <t>1082247004</t>
  </si>
  <si>
    <t>CASTILLO CAMPO JAINER YESID</t>
  </si>
  <si>
    <t>CAS***** CAM** JAI*** YES**</t>
  </si>
  <si>
    <t>1082247049</t>
  </si>
  <si>
    <t>TAPIAS OVIEDO JUAN MIGUEL</t>
  </si>
  <si>
    <t>TAP*** OVI*** JUA* MIG***</t>
  </si>
  <si>
    <t>1082247373</t>
  </si>
  <si>
    <t>ESPA¿A TORRES MALENA DE JESUS</t>
  </si>
  <si>
    <t>ESP*** TOR*** MAL*** DE JES**</t>
  </si>
  <si>
    <t>1082248523</t>
  </si>
  <si>
    <t>CASTILLO OJEDA MARSELLA PAOLA</t>
  </si>
  <si>
    <t>CAS***** OJE** MAR***** PAO**</t>
  </si>
  <si>
    <t>1082248564</t>
  </si>
  <si>
    <t>FIGUEROA MACIA HANS MIGUEL</t>
  </si>
  <si>
    <t>FIG***** MAC** HAN* MIG***</t>
  </si>
  <si>
    <t>1082248568</t>
  </si>
  <si>
    <t>VASQUEZ CADENA ANDRES FELIPE</t>
  </si>
  <si>
    <t>VAS**** CAD*** AND*** FEL***</t>
  </si>
  <si>
    <t>1082249041</t>
  </si>
  <si>
    <t>CASTILLA RODRIGUEZ DANIELA CECILIA</t>
  </si>
  <si>
    <t>CAS***** ROD****** DAN**** CEC****</t>
  </si>
  <si>
    <t>1082249349</t>
  </si>
  <si>
    <t>VILLALBA MERI¿O KARINA PAOLA</t>
  </si>
  <si>
    <t>VIL***** MER*** KAR*** PAO**</t>
  </si>
  <si>
    <t>1082249540</t>
  </si>
  <si>
    <t>CARO BARRAZA DYLAN GIUSSEPPE</t>
  </si>
  <si>
    <t>CAR* BAR**** DYL** GIU******</t>
  </si>
  <si>
    <t>1082250488</t>
  </si>
  <si>
    <t>JIMENEZ MARTINEZ RUBEN DARIO</t>
  </si>
  <si>
    <t>JIM**** MAR***** RUB** DAR**</t>
  </si>
  <si>
    <t>1082251103</t>
  </si>
  <si>
    <t>PEREZ CARVAJAL MARLIS ESTHER</t>
  </si>
  <si>
    <t>PER** CAR***** MAR*** EST***</t>
  </si>
  <si>
    <t>1082251209</t>
  </si>
  <si>
    <t>ORTIZ NUÑEZ ANA MARGARITA</t>
  </si>
  <si>
    <t>ORT** NUÑ** ANA MAR******</t>
  </si>
  <si>
    <t>1082252487</t>
  </si>
  <si>
    <t>BARRIOS VERGARA JUAN DAVID</t>
  </si>
  <si>
    <t>BAR**** VER**** JUA* DAV**</t>
  </si>
  <si>
    <t>1082370417</t>
  </si>
  <si>
    <t>ACUÑA MARTINEZ RENETH</t>
  </si>
  <si>
    <t>ACU** MAR***** REN***</t>
  </si>
  <si>
    <t>1082370561</t>
  </si>
  <si>
    <t>PEREIRA DAVILA DAYANA MARCELA</t>
  </si>
  <si>
    <t>PER**** DAV*** DAY*** MAR****</t>
  </si>
  <si>
    <t>1082370583</t>
  </si>
  <si>
    <t>FERREIRA TALLES OMARIS CONCEPCION</t>
  </si>
  <si>
    <t>FER***** TAL*** OMA*** CON*******</t>
  </si>
  <si>
    <t>1082370615</t>
  </si>
  <si>
    <t>TURIZO OLIVEROS HUGO ARMANDO</t>
  </si>
  <si>
    <t>TUR*** OLI***** HUG* ARM****</t>
  </si>
  <si>
    <t>1082370819</t>
  </si>
  <si>
    <t>DUSSAN ARQUEZ FRANK</t>
  </si>
  <si>
    <t>DUS*** ARQ*** FRA**</t>
  </si>
  <si>
    <t>1082371062</t>
  </si>
  <si>
    <t>LOPEZ PAVA ELISABETH</t>
  </si>
  <si>
    <t>LOP** PAV* ELI******</t>
  </si>
  <si>
    <t>1082371373</t>
  </si>
  <si>
    <t>ELJADUE CORTINA ESMERALDA</t>
  </si>
  <si>
    <t>ELJ**** COR**** ESM******</t>
  </si>
  <si>
    <t>1082371941</t>
  </si>
  <si>
    <t>OSPINO MACHADO AMANDA PATRICIA</t>
  </si>
  <si>
    <t>OSP*** MAC**** AMA*** PAT*****</t>
  </si>
  <si>
    <t>1082372271</t>
  </si>
  <si>
    <t>HERRERA AREVALO BILENIS</t>
  </si>
  <si>
    <t>HER**** ARE**** BIL****</t>
  </si>
  <si>
    <t>1082372639</t>
  </si>
  <si>
    <t>CHICA LENGUA CARLOS ALBERTO</t>
  </si>
  <si>
    <t>CHI** LEN*** CAR*** ALB****</t>
  </si>
  <si>
    <t>1082372643</t>
  </si>
  <si>
    <t>MACHADO MACHADO RAY JOSE</t>
  </si>
  <si>
    <t>MAC**** MAC**** RAY JOS*</t>
  </si>
  <si>
    <t>1082376137</t>
  </si>
  <si>
    <t>MACHADO JIMENEZ GABRIELA</t>
  </si>
  <si>
    <t>MAC**** JIM**** GAB*****</t>
  </si>
  <si>
    <t>1082400603</t>
  </si>
  <si>
    <t>GARCIA GONZALEZ YURLEY MARIA</t>
  </si>
  <si>
    <t>GAR*** GON***** YUR*** MAR**</t>
  </si>
  <si>
    <t>1082401671</t>
  </si>
  <si>
    <t>OROZCO FERNANDEZ LORENA PATRICIA</t>
  </si>
  <si>
    <t>ORO*** FER****** LOR*** PAT*****</t>
  </si>
  <si>
    <t>1082403921</t>
  </si>
  <si>
    <t>BARBUR AGUDELO ELODIA MARIA</t>
  </si>
  <si>
    <t>BAR*** AGU**** ELO*** MAR**</t>
  </si>
  <si>
    <t>1082404568</t>
  </si>
  <si>
    <t>ESCORCIA FUENTES YULEIDIS ESTHER</t>
  </si>
  <si>
    <t>ESC***** FUE**** YUL***** EST***</t>
  </si>
  <si>
    <t>1082406212</t>
  </si>
  <si>
    <t>RUIZ MARQUEZ MARIO ELIAS</t>
  </si>
  <si>
    <t>RUI* MAR**** MAR** ELI**</t>
  </si>
  <si>
    <t>1082407014</t>
  </si>
  <si>
    <t>PACHECO CARDENAS DAYELIS MARIA</t>
  </si>
  <si>
    <t>PAC**** CAR***** DAY**** MAR**</t>
  </si>
  <si>
    <t>1082408815</t>
  </si>
  <si>
    <t>HERNANDEZ FUENTES KAREIMIS LILIAM</t>
  </si>
  <si>
    <t>HER****** FUE**** KAR***** LIL***</t>
  </si>
  <si>
    <t>1082409480</t>
  </si>
  <si>
    <t>CORRO SALCEDO IRIANIS TATIANA</t>
  </si>
  <si>
    <t>COR** SAL**** IRI**** TAT****</t>
  </si>
  <si>
    <t>1082409648</t>
  </si>
  <si>
    <t>ANCHILA OROZCO YURANYS ISABEL</t>
  </si>
  <si>
    <t>ANC**** ORO*** YUR**** ISA***</t>
  </si>
  <si>
    <t>1082470350</t>
  </si>
  <si>
    <t>ORTIZ CARRASCAL YUDELKIS</t>
  </si>
  <si>
    <t>ORT** CAR****** YUD*****</t>
  </si>
  <si>
    <t>1082470379</t>
  </si>
  <si>
    <t>GUTIERREZ ECHAVEZ MAYRA ALEJANDRA</t>
  </si>
  <si>
    <t>GUT****** ECH**** MAY** ALE******</t>
  </si>
  <si>
    <t>1082470630</t>
  </si>
  <si>
    <t>HAECKERMANN VEGA OSCAR ALBERTO</t>
  </si>
  <si>
    <t>HAE******** VEG* OSC** ALB****</t>
  </si>
  <si>
    <t>1082470929</t>
  </si>
  <si>
    <t>BORDETH MERIÑO GRACIELA XIMENA</t>
  </si>
  <si>
    <t>BOR**** MER*** GRA***** XIM***</t>
  </si>
  <si>
    <t>1082471279</t>
  </si>
  <si>
    <t>GARCES GUILLEN LILIBETH</t>
  </si>
  <si>
    <t>GAR*** GUI**** LIL*****</t>
  </si>
  <si>
    <t>1082471598</t>
  </si>
  <si>
    <t>VILLARREAL BARRAZA YESICA PATRICIA</t>
  </si>
  <si>
    <t>VIL******* BAR**** YES*** PAT*****</t>
  </si>
  <si>
    <t>1082472623</t>
  </si>
  <si>
    <t>SAUCEDO LOPEZ YAZMIN</t>
  </si>
  <si>
    <t>SAU**** LOP** YAZ***</t>
  </si>
  <si>
    <t>1082473397</t>
  </si>
  <si>
    <t>RUIDIAZ RUIZ DIANA MARGARITA</t>
  </si>
  <si>
    <t>RUI**** RUI* DIA** MAR******</t>
  </si>
  <si>
    <t>1082473868</t>
  </si>
  <si>
    <t>DIAZ HERRERA DAROLD JOSE</t>
  </si>
  <si>
    <t>DIA* HER**** DAR*** JOS*</t>
  </si>
  <si>
    <t>1082474528</t>
  </si>
  <si>
    <t>FLOREZ ALVAREZ LAURA JUDITH</t>
  </si>
  <si>
    <t>FLO*** ALV**** LAU** JUD***</t>
  </si>
  <si>
    <t>1082474951</t>
  </si>
  <si>
    <t>MEJIA NAVARRO ALBERTO JOSE</t>
  </si>
  <si>
    <t>MEJ** NAV**** ALB**** JOS*</t>
  </si>
  <si>
    <t>1082475597</t>
  </si>
  <si>
    <t>AREVALO PARRA MERYS ALEJANDRA</t>
  </si>
  <si>
    <t>ARE**** PAR** MER** ALE******</t>
  </si>
  <si>
    <t>1082476419</t>
  </si>
  <si>
    <t>BLANCO GALINDO JOSE DE JESUS</t>
  </si>
  <si>
    <t>BLA*** GAL**** JOS* DE JES**</t>
  </si>
  <si>
    <t>1082477236</t>
  </si>
  <si>
    <t>OSPINO HOSTIA MARIA ELENA</t>
  </si>
  <si>
    <t>OSP*** HOS*** MAR** ELE**</t>
  </si>
  <si>
    <t>1082477995</t>
  </si>
  <si>
    <t>ARIAS VILLALOBOS JEISON</t>
  </si>
  <si>
    <t>ARI** VIL******* JEI***</t>
  </si>
  <si>
    <t>1082478070</t>
  </si>
  <si>
    <t>MENDOZA VILLALOBOS ANELBYS</t>
  </si>
  <si>
    <t>MEN**** VIL******* ANE****</t>
  </si>
  <si>
    <t>1082478694</t>
  </si>
  <si>
    <t>BOLAÑOS RANGEL MARLENE</t>
  </si>
  <si>
    <t>BOL**** RAN*** MAR****</t>
  </si>
  <si>
    <t>1082480218</t>
  </si>
  <si>
    <t>OSPINO MORALES JESUS DANIEL</t>
  </si>
  <si>
    <t>OSP*** MOR**** JES** DAN***</t>
  </si>
  <si>
    <t>1082480503</t>
  </si>
  <si>
    <t>CARO HOSTIA YARLEDYS</t>
  </si>
  <si>
    <t>CAR* HOS*** YAR*****</t>
  </si>
  <si>
    <t>1082480504</t>
  </si>
  <si>
    <t>CARO HOSTIA YARELIS</t>
  </si>
  <si>
    <t>CAR* HOS*** YAR****</t>
  </si>
  <si>
    <t>1082492210</t>
  </si>
  <si>
    <t>SILVA AREVALO EDITH MARIA</t>
  </si>
  <si>
    <t>SIL** ARE**** EDI** MAR**</t>
  </si>
  <si>
    <t>1082836907</t>
  </si>
  <si>
    <t>ANAYA PINEDA ANUAR ALFONSO</t>
  </si>
  <si>
    <t>ANA** PIN*** ANU** ALF****</t>
  </si>
  <si>
    <t>1082838582</t>
  </si>
  <si>
    <t>MERIÑO MARTINEZ KATTY LORAINE</t>
  </si>
  <si>
    <t>MER*** MAR***** KAT** LOR****</t>
  </si>
  <si>
    <t>1082838646</t>
  </si>
  <si>
    <t>GALLO TORRIJO FREDIS DE JESUS</t>
  </si>
  <si>
    <t>GAL** TOR**** FRE*** DE JES**</t>
  </si>
  <si>
    <t>1082839169</t>
  </si>
  <si>
    <t>GONZALEZ PALOMINO WILMAR JOSE</t>
  </si>
  <si>
    <t>GON***** PAL***** WIL*** JOS*</t>
  </si>
  <si>
    <t>1082839381</t>
  </si>
  <si>
    <t>CUCUNUBA MAESTRE DAYANI GISELLA</t>
  </si>
  <si>
    <t>CUC***** MAE**** DAY*** GIS****</t>
  </si>
  <si>
    <t>1082840626</t>
  </si>
  <si>
    <t>ATENCIO BUELVAS YAHIR JAVIER</t>
  </si>
  <si>
    <t>ATE**** BUE**** YAH** JAV***</t>
  </si>
  <si>
    <t>1082841797</t>
  </si>
  <si>
    <t>MALDONADO OSPINO JULIETH YOHANA</t>
  </si>
  <si>
    <t>MAL****** OSP*** JUL**** YOH***</t>
  </si>
  <si>
    <t>1082842125</t>
  </si>
  <si>
    <t>DIAZ CAMARGO FARINA LIZETH</t>
  </si>
  <si>
    <t>DIA* CAM**** FAR*** LIZ***</t>
  </si>
  <si>
    <t>1082842661</t>
  </si>
  <si>
    <t>SANCHEZ SALINAS CATERINE PAOLA</t>
  </si>
  <si>
    <t>SAN**** SAL**** CAT***** PAO**</t>
  </si>
  <si>
    <t>1082846722</t>
  </si>
  <si>
    <t>MEDINA PACHECO LILIANA ESTHER</t>
  </si>
  <si>
    <t>MED*** PAC**** LIL**** EST***</t>
  </si>
  <si>
    <t>1082847505</t>
  </si>
  <si>
    <t>YEPES VILLAMIL ELIANETH PAOLA</t>
  </si>
  <si>
    <t>YEP** VIL***** ELI***** PAO**</t>
  </si>
  <si>
    <t>1082848229</t>
  </si>
  <si>
    <t>TRESPALACIOS HERRERA JEYSON DAVID</t>
  </si>
  <si>
    <t>TRE********* HER**** JEY*** DAV**</t>
  </si>
  <si>
    <t>1082848956</t>
  </si>
  <si>
    <t>MENDOZA TORRES ANA CAMILA</t>
  </si>
  <si>
    <t>MEN**** TOR*** ANA CAM***</t>
  </si>
  <si>
    <t>1082848957</t>
  </si>
  <si>
    <t>REYES CAYON JANETSY LORENA</t>
  </si>
  <si>
    <t>REY** CAY** JAN**** LOR***</t>
  </si>
  <si>
    <t>1082850448</t>
  </si>
  <si>
    <t>NOVOA RUIZ ANDRES ALFONSO</t>
  </si>
  <si>
    <t>NOV** RUI* AND*** ALF****</t>
  </si>
  <si>
    <t>1082850846</t>
  </si>
  <si>
    <t>VILLAMIZAR CODINA MANUEL ANTONIO</t>
  </si>
  <si>
    <t>VIL******* COD*** MAN*** ANT****</t>
  </si>
  <si>
    <t>1082851115</t>
  </si>
  <si>
    <t>VILLEGAS EFFER KELLY JOHANNA</t>
  </si>
  <si>
    <t>VIL***** EFF** KEL** JOH****</t>
  </si>
  <si>
    <t>1082851263</t>
  </si>
  <si>
    <t>PERTUZ BARON EDWIN DAVID</t>
  </si>
  <si>
    <t>PER*** BAR** EDW** DAV**</t>
  </si>
  <si>
    <t>1082853317</t>
  </si>
  <si>
    <t>URINA LOPEZ LUIS CARLOS</t>
  </si>
  <si>
    <t>URI** LOP** LUI* CAR***</t>
  </si>
  <si>
    <t>1082853391</t>
  </si>
  <si>
    <t>ESPINOSA NUÑEZ MILENA PATRICIA</t>
  </si>
  <si>
    <t>ESP***** NUÑ** MIL*** PAT*****</t>
  </si>
  <si>
    <t>1082853601</t>
  </si>
  <si>
    <t>OSPINO CURCIO MARCELA PATRICIA</t>
  </si>
  <si>
    <t>OSP*** CUR*** MAR**** PAT*****</t>
  </si>
  <si>
    <t>1082853937</t>
  </si>
  <si>
    <t>ALVAREZ LEON MIRLEY</t>
  </si>
  <si>
    <t>ALV**** LEO* MIR***</t>
  </si>
  <si>
    <t>1082854346</t>
  </si>
  <si>
    <t>BUELVAS CORONADO ROLANDO ANDRES</t>
  </si>
  <si>
    <t>BUE**** COR***** ROL**** AND***</t>
  </si>
  <si>
    <t>1082854391</t>
  </si>
  <si>
    <t>VASQUEZ MARTINEZ NEIBIS JUDIT</t>
  </si>
  <si>
    <t>VAS**** MAR***** NEI*** JUD**</t>
  </si>
  <si>
    <t>1082854658</t>
  </si>
  <si>
    <t>YEPES CHICA KARINA BEATRIZ</t>
  </si>
  <si>
    <t>YEP** CHI** KAR*** BEA****</t>
  </si>
  <si>
    <t>1082857398</t>
  </si>
  <si>
    <t>LANDERO AVILA KAROL SHAILITH</t>
  </si>
  <si>
    <t>LAN**** AVI** KAR** SHA*****</t>
  </si>
  <si>
    <t>1082858791</t>
  </si>
  <si>
    <t>HERNANDEZ ESCORCIA JOSE MANUEL</t>
  </si>
  <si>
    <t>HER****** ESC***** JOS* MAN***</t>
  </si>
  <si>
    <t>1082859813</t>
  </si>
  <si>
    <t>VARELA GUERRERO EDWIN JOSE</t>
  </si>
  <si>
    <t>VAR*** GUE***** EDW** JOS*</t>
  </si>
  <si>
    <t>1082860174</t>
  </si>
  <si>
    <t>VILLAREAL CARMONA LORENA DEL CARMEN</t>
  </si>
  <si>
    <t>VIL****** CAR**** LOR*** DEL CAR***</t>
  </si>
  <si>
    <t>1082860847</t>
  </si>
  <si>
    <t>DURAN CAMARGO CIRALIS CECILA</t>
  </si>
  <si>
    <t>DUR** CAM**** CIR**** CEC***</t>
  </si>
  <si>
    <t>1082864429</t>
  </si>
  <si>
    <t>LOBERA VASQUEZ EMILI MARIA</t>
  </si>
  <si>
    <t>LOB*** VAS**** EMI** MAR**</t>
  </si>
  <si>
    <t>1082865319</t>
  </si>
  <si>
    <t>MULFORD GUERRERO FAIZULY PAOLA</t>
  </si>
  <si>
    <t>MUL**** GUE***** FAI**** PAO**</t>
  </si>
  <si>
    <t>1082865480</t>
  </si>
  <si>
    <t>NOGUERA ALDANA RICARDO JOS¿</t>
  </si>
  <si>
    <t>NOG**** ALD*** RIC**** JOS*</t>
  </si>
  <si>
    <t>1082866539</t>
  </si>
  <si>
    <t>BASTO AMADO FRANCY PAOLA</t>
  </si>
  <si>
    <t>BAS** AMA** FRA*** PAO**</t>
  </si>
  <si>
    <t>1082868056</t>
  </si>
  <si>
    <t>GRANADOS RODRIGUEZ LUIS ANTONIO</t>
  </si>
  <si>
    <t>GRA***** ROD****** LUI* ANT****</t>
  </si>
  <si>
    <t>1082869969</t>
  </si>
  <si>
    <t>MURGAS TRESPALACIO KELLY LEONOR</t>
  </si>
  <si>
    <t>MUR*** TRE******** KEL** LEO***</t>
  </si>
  <si>
    <t>1082873195</t>
  </si>
  <si>
    <t>ORTEGA OSIA VANESSA DE JESUS</t>
  </si>
  <si>
    <t>ORT*** OSI* VAN**** DE JES**</t>
  </si>
  <si>
    <t>1082873468</t>
  </si>
  <si>
    <t>AVENDAÑO POLO DIANA MARCELA</t>
  </si>
  <si>
    <t>AVE***** POL* DIA** MAR****</t>
  </si>
  <si>
    <t>1082873818</t>
  </si>
  <si>
    <t>SANTODOMINGO SAURITH CRISTIAN ALFONSO</t>
  </si>
  <si>
    <t>SAN********* SAU**** CRI***** ALF****</t>
  </si>
  <si>
    <t>1082876335</t>
  </si>
  <si>
    <t>OSPINO BUSTAMANTE SUGEY DEL SOCORRO</t>
  </si>
  <si>
    <t>OSP*** BUS******* SUG** DEL SOC****</t>
  </si>
  <si>
    <t>1082877592</t>
  </si>
  <si>
    <t>GONZALEZ RIVERA JUDITH CRISTINA</t>
  </si>
  <si>
    <t>GON***** RIV*** JUD*** CRI*****</t>
  </si>
  <si>
    <t>1082879780</t>
  </si>
  <si>
    <t>CORONADO MENDOZA RODOLFO ALFONSO</t>
  </si>
  <si>
    <t>COR***** MEN**** ROD**** ALF****</t>
  </si>
  <si>
    <t>1082879880</t>
  </si>
  <si>
    <t>POLO LONDOÑO LILIANA MARIA</t>
  </si>
  <si>
    <t>POL* LON**** LIL**** MAR**</t>
  </si>
  <si>
    <t>1082880375</t>
  </si>
  <si>
    <t>ALCENDRA TORRES ANGELY PAOLA</t>
  </si>
  <si>
    <t>ALC***** TOR*** ANG*** PAO**</t>
  </si>
  <si>
    <t>1082881138</t>
  </si>
  <si>
    <t>DURAN BLANCO JAIME</t>
  </si>
  <si>
    <t>DUR** BLA*** JAI**</t>
  </si>
  <si>
    <t>1082881164</t>
  </si>
  <si>
    <t>AMADOR MARTINEZ INGRID PAOLA</t>
  </si>
  <si>
    <t>AMA*** MAR***** ING*** PAO**</t>
  </si>
  <si>
    <t>1082881822</t>
  </si>
  <si>
    <t>CORONADO ALZATE ANA LISETTS</t>
  </si>
  <si>
    <t>COR***** ALZ*** ANA LIS****</t>
  </si>
  <si>
    <t>1082881847</t>
  </si>
  <si>
    <t>DE LA ROSA JIMENEZ LUIS CARLOS</t>
  </si>
  <si>
    <t>DE LA ROS* JIM**** LUI* CAR***</t>
  </si>
  <si>
    <t>1082882435</t>
  </si>
  <si>
    <t>CEBALLOS GOMEZ CARMEN PAOLA</t>
  </si>
  <si>
    <t>CEB***** GOM** CAR*** PAO**</t>
  </si>
  <si>
    <t>1082882607</t>
  </si>
  <si>
    <t>JARABA SAMPER SHIRLEYS INES</t>
  </si>
  <si>
    <t>JAR*** SAM*** SHI***** INE*</t>
  </si>
  <si>
    <t>1082883065</t>
  </si>
  <si>
    <t>DE LIMA MENDOZA JOANY MICHEL</t>
  </si>
  <si>
    <t>DE LIM* MEN**** JOA** MIC***</t>
  </si>
  <si>
    <t>1082885366</t>
  </si>
  <si>
    <t>PEINADO ARENAS CINDY</t>
  </si>
  <si>
    <t>PEI**** ARE*** CIN**</t>
  </si>
  <si>
    <t>1082886231</t>
  </si>
  <si>
    <t>ALFARO LOPEZ OLGA ALEJANDRA</t>
  </si>
  <si>
    <t>ALF*** LOP** OLG* ALE******</t>
  </si>
  <si>
    <t>1082889482</t>
  </si>
  <si>
    <t>MIRANDA VASQUEZ LORENA PAOLA</t>
  </si>
  <si>
    <t>MIR**** VAS**** LOR*** PAO**</t>
  </si>
  <si>
    <t>1082890588</t>
  </si>
  <si>
    <t>CORREA CARDENAS KELLY JOHANA</t>
  </si>
  <si>
    <t>COR*** CAR***** KEL** JOH***</t>
  </si>
  <si>
    <t>1082894436</t>
  </si>
  <si>
    <t>PALACIO ARGOTE KATHERYN JULIETH</t>
  </si>
  <si>
    <t>PAL**** ARG*** KAT***** JUL****</t>
  </si>
  <si>
    <t>1082895251</t>
  </si>
  <si>
    <t>AVENDAÑO LEONES NAYLETH NATALY</t>
  </si>
  <si>
    <t>AVE***** LEO*** NAY**** NAT***</t>
  </si>
  <si>
    <t>1082895481</t>
  </si>
  <si>
    <t>OLMOS JIMENEZ DIANA JUDITH</t>
  </si>
  <si>
    <t>OLM** JIM**** DIA** JUD***</t>
  </si>
  <si>
    <t>1082897948</t>
  </si>
  <si>
    <t>GUETTE JIMENEZ ANDRES FELIPE</t>
  </si>
  <si>
    <t>GUE*** JIM**** AND*** FEL***</t>
  </si>
  <si>
    <t>1082898460</t>
  </si>
  <si>
    <t>ULLOA MIRANDA CINDY MARCELA</t>
  </si>
  <si>
    <t>ULL** MIR**** CIN** MAR****</t>
  </si>
  <si>
    <t>1082899637</t>
  </si>
  <si>
    <t>PALOMINO MADERO VANESSA JULIETH</t>
  </si>
  <si>
    <t>PAL***** MAD*** VAN**** JUL****</t>
  </si>
  <si>
    <t>1082903448</t>
  </si>
  <si>
    <t>REBOLLEDO CASTILLO JHON EDWARD</t>
  </si>
  <si>
    <t>REB****** CAS***** JHO* EDW***</t>
  </si>
  <si>
    <t>1082903457</t>
  </si>
  <si>
    <t>FERNANDEZ DE CASTRO CRISTINA PAOLA</t>
  </si>
  <si>
    <t>FER****** DE CAS*** CRI***** PAO**</t>
  </si>
  <si>
    <t>1082903674</t>
  </si>
  <si>
    <t>DE ARMAS MALDONADO MIGUEL ANGEL</t>
  </si>
  <si>
    <t>DE ARM** MAL****** MIG*** ANG**</t>
  </si>
  <si>
    <t>1082906227</t>
  </si>
  <si>
    <t>GRANADOS ZAMORA CILSON EMILIO</t>
  </si>
  <si>
    <t>GRA***** ZAM*** CIL*** EMI***</t>
  </si>
  <si>
    <t>1082908004</t>
  </si>
  <si>
    <t>VALENCIA SUESCUN DIVINA DEJESUS</t>
  </si>
  <si>
    <t>VAL***** SUE**** DIV*** DEJ****</t>
  </si>
  <si>
    <t>1082908399</t>
  </si>
  <si>
    <t>SOMERSON CAMACHO JENNIFER</t>
  </si>
  <si>
    <t>SOM***** CAM**** JEN*****</t>
  </si>
  <si>
    <t>1082908414</t>
  </si>
  <si>
    <t>GAMARRA ROSADO CESAR ANDRES</t>
  </si>
  <si>
    <t>GAM**** ROS*** CES** AND***</t>
  </si>
  <si>
    <t>1082909583</t>
  </si>
  <si>
    <t>GRANADOS RODRIGUEZ NAURIS PATRICIA</t>
  </si>
  <si>
    <t>GRA***** ROD****** NAU*** PAT*****</t>
  </si>
  <si>
    <t>1082909606</t>
  </si>
  <si>
    <t>GRANADOS RODRIGUEZ JORGE ARMANDO</t>
  </si>
  <si>
    <t>GRA***** ROD****** JOR** ARM****</t>
  </si>
  <si>
    <t>1082914258</t>
  </si>
  <si>
    <t>ROMERO OTALORA DIANDRA RUBITH</t>
  </si>
  <si>
    <t>ROM*** OTA**** DIA**** RUB***</t>
  </si>
  <si>
    <t>1082914753</t>
  </si>
  <si>
    <t>JIMENEZ TAPIAS YAJAIRA DANIELA</t>
  </si>
  <si>
    <t>JIM**** TAP*** YAJ**** DAN****</t>
  </si>
  <si>
    <t>1082914832</t>
  </si>
  <si>
    <t>BOLAÑO CACERES DIANA CAROLINA</t>
  </si>
  <si>
    <t>BOL*** CAC**** DIA** CAR*****</t>
  </si>
  <si>
    <t>1082915173</t>
  </si>
  <si>
    <t>JACKSON RODRIGUEZ KAREN SOFIA</t>
  </si>
  <si>
    <t>JAC**** ROD****** KAR** SOF**</t>
  </si>
  <si>
    <t>1082915267</t>
  </si>
  <si>
    <t>PACHECO CERVANTES ELIANA</t>
  </si>
  <si>
    <t>PAC**** CER****** ELI***</t>
  </si>
  <si>
    <t>1082917717</t>
  </si>
  <si>
    <t>TAPIA GALAN SANDY PAOLA</t>
  </si>
  <si>
    <t>TAP** GAL** SAN** PAO**</t>
  </si>
  <si>
    <t>1082917794</t>
  </si>
  <si>
    <t>BARROS RODRIGUEZ ESTEFANI LORENA</t>
  </si>
  <si>
    <t>BAR*** ROD****** EST***** LOR***</t>
  </si>
  <si>
    <t>1082918623</t>
  </si>
  <si>
    <t>SANCHEZ LARA CESAR FERNANDO</t>
  </si>
  <si>
    <t>SAN**** LAR* CES** FER*****</t>
  </si>
  <si>
    <t>1082921964</t>
  </si>
  <si>
    <t>AFANADOR HERNANDEZ ELIANA CAROLINA</t>
  </si>
  <si>
    <t>AFA***** HER****** ELI*** CAR*****</t>
  </si>
  <si>
    <t>1082923432</t>
  </si>
  <si>
    <t>DURAN CARREÑO GERMAN ANDRES</t>
  </si>
  <si>
    <t>DUR** CAR**** GER*** AND***</t>
  </si>
  <si>
    <t>1082923621</t>
  </si>
  <si>
    <t>COVILLA RINCONES ANDRES FELIPE</t>
  </si>
  <si>
    <t>COV**** RIN***** AND*** FEL***</t>
  </si>
  <si>
    <t>1082924817</t>
  </si>
  <si>
    <t>CABANA MANJARRES ANA MARCELA</t>
  </si>
  <si>
    <t>CAB*** MAN****** ANA MAR****</t>
  </si>
  <si>
    <t>1082926209</t>
  </si>
  <si>
    <t>HERNANDEZ BOLAÑO DAYANIS KARIM</t>
  </si>
  <si>
    <t>HER****** BOL*** DAY**** KAR**</t>
  </si>
  <si>
    <t>1082928645</t>
  </si>
  <si>
    <t>MOZO MANCILLA YESICA PAOLA</t>
  </si>
  <si>
    <t>MOZ* MAN***** YES*** PAO**</t>
  </si>
  <si>
    <t>1082930929</t>
  </si>
  <si>
    <t>FREDY ARTURO PADILLA SOTO</t>
  </si>
  <si>
    <t>FRE** ART*** PAD**** SOT*</t>
  </si>
  <si>
    <t>1082934461</t>
  </si>
  <si>
    <t>FUENTES EFRAIN ALBERTO</t>
  </si>
  <si>
    <t>FUE**** EFR*** ALB****</t>
  </si>
  <si>
    <t>1082935350</t>
  </si>
  <si>
    <t>SAUMETH OSPINO ARIEL YESITH</t>
  </si>
  <si>
    <t>SAU**** OSP*** ARI** YES***</t>
  </si>
  <si>
    <t>1082935480</t>
  </si>
  <si>
    <t>SALAS CORONADO SILVIA JOHANA</t>
  </si>
  <si>
    <t>SAL** COR***** SIL*** JOH***</t>
  </si>
  <si>
    <t>1082936009</t>
  </si>
  <si>
    <t>CAMARGO BARRIOSNUEVOS JHAN CARLOS</t>
  </si>
  <si>
    <t>CAM**** BAR********** JHA* CAR***</t>
  </si>
  <si>
    <t>1082937050</t>
  </si>
  <si>
    <t>CATALAN HERRERA KARLA DAYANA</t>
  </si>
  <si>
    <t>CAT**** HER**** KAR** DAY***</t>
  </si>
  <si>
    <t>1082937739</t>
  </si>
  <si>
    <t>ANAYA DE LA HOZ FRANKY ALBERTO</t>
  </si>
  <si>
    <t>ANA** DE LA HOZ FRA*** ALB****</t>
  </si>
  <si>
    <t>1082938298</t>
  </si>
  <si>
    <t>MARTINEZ PEREZ DEYANIRA</t>
  </si>
  <si>
    <t>MAR***** PER** DEY*****</t>
  </si>
  <si>
    <t>1082938359</t>
  </si>
  <si>
    <t>FERN¿NDEZ CAMPO ADALGIZA ELENA</t>
  </si>
  <si>
    <t>FER****** CAM** ADA***** ELE**</t>
  </si>
  <si>
    <t>1082938532</t>
  </si>
  <si>
    <t>NIGRINIS LINERO MARIA MERCEDES</t>
  </si>
  <si>
    <t>NIG***** LIN*** MAR** MER*****</t>
  </si>
  <si>
    <t>1082941899</t>
  </si>
  <si>
    <t>SIERRA ZAPATA JUSTYN LORENA</t>
  </si>
  <si>
    <t>SIE*** ZAP*** JUS*** LOR***</t>
  </si>
  <si>
    <t>1082942263</t>
  </si>
  <si>
    <t>DE LEON ORTEGA JOSE MANUEL</t>
  </si>
  <si>
    <t>DE LEO* ORT*** JOS* MAN***</t>
  </si>
  <si>
    <t>1082942534</t>
  </si>
  <si>
    <t>REDONDO OTERO ZAMIR ELIECER</t>
  </si>
  <si>
    <t>RED**** OTE** ZAM** ELI****</t>
  </si>
  <si>
    <t>1082942958</t>
  </si>
  <si>
    <t>OSPINO BUSTAMANTE LAURA MELISA</t>
  </si>
  <si>
    <t>OSP*** BUS******* LAU** MEL***</t>
  </si>
  <si>
    <t>1082943073</t>
  </si>
  <si>
    <t>MARTINEZ FERRER OSWALDO RAFAEL</t>
  </si>
  <si>
    <t>MAR***** FER*** OSW**** RAF***</t>
  </si>
  <si>
    <t>1082943183</t>
  </si>
  <si>
    <t>MARIN GUERRERO HERNANDO LUIS</t>
  </si>
  <si>
    <t>MAR** GUE***** HER***** LUI*</t>
  </si>
  <si>
    <t>1082943660</t>
  </si>
  <si>
    <t>VILLA ANDRADE SAMIR DE JESUS</t>
  </si>
  <si>
    <t>VIL** AND**** SAM** DE JES**</t>
  </si>
  <si>
    <t>1082943967</t>
  </si>
  <si>
    <t>SEGRERA CHAMORRO DIEGO ALONSO</t>
  </si>
  <si>
    <t>SEG**** CHA***** DIE** ALO***</t>
  </si>
  <si>
    <t>1082944926</t>
  </si>
  <si>
    <t>LOPEZ DURAN KELLY MARCELA</t>
  </si>
  <si>
    <t>LOP** DUR** KEL** MAR****</t>
  </si>
  <si>
    <t>1082945817</t>
  </si>
  <si>
    <t>MONTERO DE LA CRUZ SILENA ESTHER</t>
  </si>
  <si>
    <t>MON**** DE LA CRU* SIL*** EST***</t>
  </si>
  <si>
    <t>1082946052</t>
  </si>
  <si>
    <t>MURILLO GARCIA NURYS PAOLA</t>
  </si>
  <si>
    <t>MUR**** GAR*** NUR** PAO**</t>
  </si>
  <si>
    <t>1082948196</t>
  </si>
  <si>
    <t>CUJAR BERMUDEZ CESAR AGUSTO</t>
  </si>
  <si>
    <t>CUJ** BER***** CES** AGU***</t>
  </si>
  <si>
    <t>1082948222</t>
  </si>
  <si>
    <t>OROZCO AGUIS LUIS GUILLERMO</t>
  </si>
  <si>
    <t>ORO*** AGU** LUI* GUI******</t>
  </si>
  <si>
    <t>1082948903</t>
  </si>
  <si>
    <t>MARTINEZ BRITO DIANA MARIA</t>
  </si>
  <si>
    <t>MAR***** BRI** DIA** MAR**</t>
  </si>
  <si>
    <t>1082949458</t>
  </si>
  <si>
    <t>BRITTO MARTINEZ ANE SHIRLEY</t>
  </si>
  <si>
    <t>BRI*** MAR***** ANE SHI****</t>
  </si>
  <si>
    <t>1082950179</t>
  </si>
  <si>
    <t>VILLAR LAGUNA MIGUEL ANGEL</t>
  </si>
  <si>
    <t>VIL*** LAG*** MIG*** ANG**</t>
  </si>
  <si>
    <t>1082951141</t>
  </si>
  <si>
    <t>GONZALEZ CUETO JAIME ALBERTO</t>
  </si>
  <si>
    <t>GON***** CUE** JAI** ALB****</t>
  </si>
  <si>
    <t>1082951285</t>
  </si>
  <si>
    <t>ARAUJO ROJAS JESUS ALBERTO</t>
  </si>
  <si>
    <t>ARA*** ROJ** JES** ALB****</t>
  </si>
  <si>
    <t>1082951699</t>
  </si>
  <si>
    <t>BOLAÑO CACERES CRISTIAN DAVID</t>
  </si>
  <si>
    <t>BOL*** CAC**** CRI***** DAV**</t>
  </si>
  <si>
    <t>1082951794</t>
  </si>
  <si>
    <t>PADILLA BENITEZ KEILA YULAINY</t>
  </si>
  <si>
    <t>PAD**** BEN**** KEI** YUL****</t>
  </si>
  <si>
    <t>1082951868</t>
  </si>
  <si>
    <t>TACHE RODR¿GUEZ MAR¿A MERCEDES</t>
  </si>
  <si>
    <t>TAC** ROD****** MAR** MER*****</t>
  </si>
  <si>
    <t>1082952190</t>
  </si>
  <si>
    <t>CERVANTES VICENTE JUAN DAVID</t>
  </si>
  <si>
    <t>CER****** VIC**** JUA* DAV**</t>
  </si>
  <si>
    <t>1082952200</t>
  </si>
  <si>
    <t>MIRANDA BUELVAS EDWIN ALFONSO</t>
  </si>
  <si>
    <t>MIR**** BUE**** EDW** ALF****</t>
  </si>
  <si>
    <t>1082952334</t>
  </si>
  <si>
    <t>PASTRAN HERN¿NDEZ KATERINE</t>
  </si>
  <si>
    <t>PAS**** HER****** KAT*****</t>
  </si>
  <si>
    <t>1082952857</t>
  </si>
  <si>
    <t>BOTTO BARRIOS DARLIN PATRICIA</t>
  </si>
  <si>
    <t>BOT** BAR**** DAR*** PAT*****</t>
  </si>
  <si>
    <t>1082953309</t>
  </si>
  <si>
    <t>BOJATO PAREJO DEIMER JOSE</t>
  </si>
  <si>
    <t>BOJ*** PAR*** DEI*** JOS*</t>
  </si>
  <si>
    <t>1082956829</t>
  </si>
  <si>
    <t>CARDENAS PADILLA LEIDYS MARIA</t>
  </si>
  <si>
    <t>CAR***** PAD**** LEI*** MAR**</t>
  </si>
  <si>
    <t>1082957306</t>
  </si>
  <si>
    <t>CARDENAS CARDONA JOSE JAIR</t>
  </si>
  <si>
    <t>CAR***** CAR**** JOS* JAI*</t>
  </si>
  <si>
    <t>1082959085</t>
  </si>
  <si>
    <t>PEÑA SARMIENTO ANDREA PAOLA</t>
  </si>
  <si>
    <t>PEÑ* SAR****** AND*** PAO**</t>
  </si>
  <si>
    <t>1082959449</t>
  </si>
  <si>
    <t>MARTINEZ CONTRERAS LUISA MARIA</t>
  </si>
  <si>
    <t>MAR***** CON****** LUI** MAR**</t>
  </si>
  <si>
    <t>1082959515</t>
  </si>
  <si>
    <t>BARBOSA ACOSTA LAURA MAR¿A</t>
  </si>
  <si>
    <t>BAR**** ACO*** LAU** MAR**</t>
  </si>
  <si>
    <t>1082959594</t>
  </si>
  <si>
    <t>OROZCO GARCIA KAREN PATRICIA</t>
  </si>
  <si>
    <t>ORO*** GAR*** KAR** PAT*****</t>
  </si>
  <si>
    <t>1082959895</t>
  </si>
  <si>
    <t>BELEÑO RADA CARLOS IVAN</t>
  </si>
  <si>
    <t>BEL*** RAD* CAR*** IVA*</t>
  </si>
  <si>
    <t>1082959972</t>
  </si>
  <si>
    <t>CUCUNUBA MAESTRE BRAYAM DE JESUS</t>
  </si>
  <si>
    <t>CUC***** MAE**** BRA*** DE JES**</t>
  </si>
  <si>
    <t>1082960563</t>
  </si>
  <si>
    <t>ZABLETH ARVILLA MARIA MARGARITA</t>
  </si>
  <si>
    <t>ZAB**** ARV**** MAR** MAR******</t>
  </si>
  <si>
    <t>1082961332</t>
  </si>
  <si>
    <t>PI¿EREZ GOMEZ GINA DE JESUS</t>
  </si>
  <si>
    <t>PI¿**** GOM** GIN* DE JES**</t>
  </si>
  <si>
    <t>1082961361</t>
  </si>
  <si>
    <t>ACOSTA ANDRADE JORGE ELIECER</t>
  </si>
  <si>
    <t>ACO*** AND**** JOR** ELI****</t>
  </si>
  <si>
    <t>1082963173</t>
  </si>
  <si>
    <t>TONCEL CANTILLO GUSTAVO JOSE</t>
  </si>
  <si>
    <t>TON*** CAN***** GUS**** JOS*</t>
  </si>
  <si>
    <t>1082963178</t>
  </si>
  <si>
    <t>ACONCHA GUERRA JESUS FRANCISCO</t>
  </si>
  <si>
    <t>ACO**** GUE*** JES** FRA******</t>
  </si>
  <si>
    <t>1082963976</t>
  </si>
  <si>
    <t>CANTILLO ZULUAGA DAISY KARINA</t>
  </si>
  <si>
    <t>CAN***** ZUL**** DAI** KAR***</t>
  </si>
  <si>
    <t>1082966509</t>
  </si>
  <si>
    <t>GUERRERO PALENCIA SERGIO ANDRES</t>
  </si>
  <si>
    <t>GUE***** PAL***** SER*** AND***</t>
  </si>
  <si>
    <t>1082968685</t>
  </si>
  <si>
    <t>MADERO LAPEIRA MIGUEL ANGEL</t>
  </si>
  <si>
    <t>MAD*** LAP**** MIG*** ANG**</t>
  </si>
  <si>
    <t>1082969112</t>
  </si>
  <si>
    <t>ACOSTA SAMPER ANA INES</t>
  </si>
  <si>
    <t>ACO*** SAM*** ANA INE*</t>
  </si>
  <si>
    <t>1082969222</t>
  </si>
  <si>
    <t>SOLENO CASTIBLANCO VERONICA JOHANA</t>
  </si>
  <si>
    <t>SOL*** CAS******** VER***** JOH***</t>
  </si>
  <si>
    <t>1082973083</t>
  </si>
  <si>
    <t>MOLINA OBISPO NELSON ENRIQUE</t>
  </si>
  <si>
    <t>MOL*** OBI*** NEL*** ENR****</t>
  </si>
  <si>
    <t>1082974698</t>
  </si>
  <si>
    <t>GAMEZ TELLO EUFREDO DE JESUS</t>
  </si>
  <si>
    <t>GAM** TEL** EUF**** DE JES**</t>
  </si>
  <si>
    <t>1082974833</t>
  </si>
  <si>
    <t>BARRETO PALOMINO DORANA JUDITH</t>
  </si>
  <si>
    <t>BAR**** PAL***** DOR*** JUD***</t>
  </si>
  <si>
    <t>1082975407</t>
  </si>
  <si>
    <t>CABALLERO ROCHA ROXANA TERESITA</t>
  </si>
  <si>
    <t>CAB****** ROC** ROX*** TER*****</t>
  </si>
  <si>
    <t>1082976204</t>
  </si>
  <si>
    <t>TRESPALACIOS HERRERA JULIETH</t>
  </si>
  <si>
    <t>TRE********* HER**** JUL****</t>
  </si>
  <si>
    <t>1082978022</t>
  </si>
  <si>
    <t>MARTINEZ VILLALBA ARLED ZAVIC</t>
  </si>
  <si>
    <t>MAR***** VIL***** ARL** ZAV**</t>
  </si>
  <si>
    <t>1082978609</t>
  </si>
  <si>
    <t>TRESPALACIOS RODRIGUEZ JOANINE MICHEL</t>
  </si>
  <si>
    <t>TRE********* ROD****** JOA**** MIC***</t>
  </si>
  <si>
    <t>1082979007</t>
  </si>
  <si>
    <t>HERNANDEZ CANDELARIO WENDY PAOLA</t>
  </si>
  <si>
    <t>HER****** CAN******* WEN** PAO**</t>
  </si>
  <si>
    <t>1082981053</t>
  </si>
  <si>
    <t>NIETO GUTI¿RREZ LUIS ALFREDO</t>
  </si>
  <si>
    <t>NIE** GUT****** LUI* ALF****</t>
  </si>
  <si>
    <t>1082982160</t>
  </si>
  <si>
    <t>SOLANO OVIEDO ANDREA CAROLINA</t>
  </si>
  <si>
    <t>SOL*** OVI*** AND*** CAR*****</t>
  </si>
  <si>
    <t>1082982420</t>
  </si>
  <si>
    <t>OJITO ESTRADA YULEISIS ELENA</t>
  </si>
  <si>
    <t>OJI** EST**** YUL***** ELE**</t>
  </si>
  <si>
    <t>1082983554</t>
  </si>
  <si>
    <t>GUILLEN ORTIZ LUIS GUILLERMO</t>
  </si>
  <si>
    <t>GUI**** ORT** LUI* GUI******</t>
  </si>
  <si>
    <t>1082983650</t>
  </si>
  <si>
    <t>YANCE RUA JOSE GUILLERMO</t>
  </si>
  <si>
    <t>YAN** RUA JOS* GUI******</t>
  </si>
  <si>
    <t>1082984033</t>
  </si>
  <si>
    <t>SIERRA RAMIREZ LILIBETH PAOLA</t>
  </si>
  <si>
    <t>SIE*** RAM**** LIL***** PAO**</t>
  </si>
  <si>
    <t>1082985640</t>
  </si>
  <si>
    <t>QUINTERO BLANCO ERIKA DAYANA</t>
  </si>
  <si>
    <t>QUI***** BLA*** ERI** DAY***</t>
  </si>
  <si>
    <t>1082987150</t>
  </si>
  <si>
    <t>GONZALEZ VERGARA OMAR ENRIQUE</t>
  </si>
  <si>
    <t>GON***** VER**** OMA* ENR****</t>
  </si>
  <si>
    <t>1082988606</t>
  </si>
  <si>
    <t>CASTA¿O COGOLLO MARIA ALEJANDRA</t>
  </si>
  <si>
    <t>CAS**** COG**** MAR** ALE******</t>
  </si>
  <si>
    <t>1082990338</t>
  </si>
  <si>
    <t>MANJARRES ORTEGA MARYURIS</t>
  </si>
  <si>
    <t>MAN****** ORT*** MAR*****</t>
  </si>
  <si>
    <t>1082990891</t>
  </si>
  <si>
    <t>RODRIGUEZ CURCIO MARIA JOSE</t>
  </si>
  <si>
    <t>ROD****** CUR*** MAR** JOS*</t>
  </si>
  <si>
    <t>1082991245</t>
  </si>
  <si>
    <t>PAREJO CANTILLO PAULA ANREA</t>
  </si>
  <si>
    <t>PAR*** CAN***** PAU** ANR**</t>
  </si>
  <si>
    <t>1082991386</t>
  </si>
  <si>
    <t>CAMBRONEL LOZANO AURA ESTHER</t>
  </si>
  <si>
    <t>CAM****** LOZ*** AUR* EST***</t>
  </si>
  <si>
    <t>1082992503</t>
  </si>
  <si>
    <t>GRANADOS ROMERO ISRAEL DE JESUS</t>
  </si>
  <si>
    <t>GRA***** ROM*** ISR*** DE JES**</t>
  </si>
  <si>
    <t>1082992670</t>
  </si>
  <si>
    <t>GRANADOS PE¿A LUIS CARLOS</t>
  </si>
  <si>
    <t>GRA***** PE¿* LUI* CAR***</t>
  </si>
  <si>
    <t>1082994023</t>
  </si>
  <si>
    <t>CONTRERAS GONZALEZ ASTRID CAROLINA</t>
  </si>
  <si>
    <t>CON****** GON***** AST*** CAR*****</t>
  </si>
  <si>
    <t>1082994532</t>
  </si>
  <si>
    <t>CABANA GUTIERREZ JOHANA ESTHER</t>
  </si>
  <si>
    <t>CAB*** GUT****** JOH*** EST***</t>
  </si>
  <si>
    <t>1082995258</t>
  </si>
  <si>
    <t>LOBATO MONSALVO JOAQUIN JOSE</t>
  </si>
  <si>
    <t>LOB*** MON***** JOA**** JOS*</t>
  </si>
  <si>
    <t>1082995339</t>
  </si>
  <si>
    <t>FRANCO CASTILLA TANIA KARELYS</t>
  </si>
  <si>
    <t>FRA*** CAS***** TAN** KAR****</t>
  </si>
  <si>
    <t>1082995813</t>
  </si>
  <si>
    <t>BARRANCO CASTRO FELIPE ANDRES</t>
  </si>
  <si>
    <t>BAR***** CAS*** FEL*** AND***</t>
  </si>
  <si>
    <t>1082996592</t>
  </si>
  <si>
    <t>RODRIGUEZ LUQUE CARLOS ANDRES</t>
  </si>
  <si>
    <t>ROD****** LUQ** CAR*** AND***</t>
  </si>
  <si>
    <t>1082996784</t>
  </si>
  <si>
    <t>VILLAFA¿E RODRIGUEZ SERGIO ANDRES</t>
  </si>
  <si>
    <t>VIL****** ROD****** SER*** AND***</t>
  </si>
  <si>
    <t>1082998127</t>
  </si>
  <si>
    <t>CURVELO CHINCHILLA JAIDER ENRIQUE</t>
  </si>
  <si>
    <t>CUR**** CHI******* JAI*** ENR****</t>
  </si>
  <si>
    <t>1082998614</t>
  </si>
  <si>
    <t>ARRIETA MORENO JORGE MARIO</t>
  </si>
  <si>
    <t>ARR**** MOR*** JOR** MAR**</t>
  </si>
  <si>
    <t>1082999235</t>
  </si>
  <si>
    <t>TERAN MAYORGA MARTHA LUZ</t>
  </si>
  <si>
    <t>TER** MAY**** MAR*** LUZ</t>
  </si>
  <si>
    <t>1082999814</t>
  </si>
  <si>
    <t>NAME LINDO MARGARITA ISABEL</t>
  </si>
  <si>
    <t>NAM* LIN** MAR****** ISA***</t>
  </si>
  <si>
    <t>1083000443</t>
  </si>
  <si>
    <t>MOLINA OBISPO NEIRIS BEATRIZ</t>
  </si>
  <si>
    <t>MOL*** OBI*** NEI*** BEA****</t>
  </si>
  <si>
    <t>1083000826</t>
  </si>
  <si>
    <t>ORTIZ HERNANDEZ CATALINA ANDREA</t>
  </si>
  <si>
    <t>ORT** HER****** CAT***** AND***</t>
  </si>
  <si>
    <t>1083002173</t>
  </si>
  <si>
    <t>RODRIGUEZ ROSALES IVANA PAOLA</t>
  </si>
  <si>
    <t>ROD****** ROS**** IVA** PAO**</t>
  </si>
  <si>
    <t>1083002949</t>
  </si>
  <si>
    <t>OROZCO ESCALANTE JUAN CARLOS</t>
  </si>
  <si>
    <t>ORO*** ESC****** JUA* CAR***</t>
  </si>
  <si>
    <t>1083003828</t>
  </si>
  <si>
    <t>GUZMAN RUEDA EDUARDO JOSE</t>
  </si>
  <si>
    <t>GUZ*** RUE** EDU**** JOS*</t>
  </si>
  <si>
    <t>1083004611</t>
  </si>
  <si>
    <t>CASTRO RODRIGUEZ LUISA FERNANDA</t>
  </si>
  <si>
    <t>CAS*** ROD****** LUI** FER*****</t>
  </si>
  <si>
    <t>1083005046</t>
  </si>
  <si>
    <t>NISAL YEPES VANEIRIS</t>
  </si>
  <si>
    <t>NIS** YEP** VAN*****</t>
  </si>
  <si>
    <t>1083005250</t>
  </si>
  <si>
    <t>RIVERA CASALINS TANIA VANESSA</t>
  </si>
  <si>
    <t>RIV*** CAS***** TAN** VAN****</t>
  </si>
  <si>
    <t>1083005448</t>
  </si>
  <si>
    <t>MANTILLA RIVERA IAJANY CAROLINA</t>
  </si>
  <si>
    <t>MAN***** RIV*** IAJ*** CAR*****</t>
  </si>
  <si>
    <t>1083006063</t>
  </si>
  <si>
    <t>GUTIERREZ GARCIA ANTONIO LUIS</t>
  </si>
  <si>
    <t>GUT****** GAR*** ANT**** LUI*</t>
  </si>
  <si>
    <t>1083006177</t>
  </si>
  <si>
    <t>MALDONADO MORALES JHAN CARLOS</t>
  </si>
  <si>
    <t>MAL****** MOR**** JHA* CAR***</t>
  </si>
  <si>
    <t>1083006714</t>
  </si>
  <si>
    <t>TERNERA ACOSTA EILEN DAYANA</t>
  </si>
  <si>
    <t>TER**** ACO*** EIL** DAY***</t>
  </si>
  <si>
    <t>1083007551</t>
  </si>
  <si>
    <t>BARROS DE LA HOZ ANGIE PAOLA</t>
  </si>
  <si>
    <t>BAR*** DE LA HOZ ANG** PAO**</t>
  </si>
  <si>
    <t>1083011021</t>
  </si>
  <si>
    <t>HUGUET EVERTH HAROLD DAVID</t>
  </si>
  <si>
    <t>HUG*** EVE*** HAR*** DAV**</t>
  </si>
  <si>
    <t>1083012089</t>
  </si>
  <si>
    <t>JACOME NIETO WILSON EDUARDO</t>
  </si>
  <si>
    <t>JAC*** NIE** WIL*** EDU****</t>
  </si>
  <si>
    <t>1083013945</t>
  </si>
  <si>
    <t>GUILLEN MORENO ANA MARIA</t>
  </si>
  <si>
    <t>GUI**** MOR*** ANA MAR**</t>
  </si>
  <si>
    <t>1083014765</t>
  </si>
  <si>
    <t>SIERRA PINEDA ARELIS PAOLA</t>
  </si>
  <si>
    <t>SIE*** PIN*** ARE*** PAO**</t>
  </si>
  <si>
    <t>1083015017</t>
  </si>
  <si>
    <t>CAMARGO BERRIO MARIA JOSE</t>
  </si>
  <si>
    <t>CAM**** BER*** MAR** JOS*</t>
  </si>
  <si>
    <t>1083016482</t>
  </si>
  <si>
    <t>BORJA TORREGROZA MARENA SOFIA</t>
  </si>
  <si>
    <t>BOR** TOR******* MAR*** SOF**</t>
  </si>
  <si>
    <t>1083016987</t>
  </si>
  <si>
    <t>SALAS VILLA IVAN ANDRES</t>
  </si>
  <si>
    <t>SAL** VIL** IVA* AND***</t>
  </si>
  <si>
    <t>1083017411</t>
  </si>
  <si>
    <t>LEONES PERTUZ ALICIA MARIA</t>
  </si>
  <si>
    <t>LEO*** PER*** ALI*** MAR**</t>
  </si>
  <si>
    <t>1083017668</t>
  </si>
  <si>
    <t>RIVAS ROBLES ANDRES DAVID</t>
  </si>
  <si>
    <t>RIV** ROB*** AND*** DAV**</t>
  </si>
  <si>
    <t>1083019605</t>
  </si>
  <si>
    <t>PAB¿N ESCORCIA AURA MARIA</t>
  </si>
  <si>
    <t>PAB** ESC***** AUR* MAR**</t>
  </si>
  <si>
    <t>1083019653</t>
  </si>
  <si>
    <t>ROMERO TERAN FRANCISCA DEL SOCORRO</t>
  </si>
  <si>
    <t>ROM*** TER** FRA****** DEL SOC****</t>
  </si>
  <si>
    <t>1083019853</t>
  </si>
  <si>
    <t>BALAGUERA CALA YESICA PAOLA</t>
  </si>
  <si>
    <t>BAL****** CAL* YES*** PAO**</t>
  </si>
  <si>
    <t>1083022744</t>
  </si>
  <si>
    <t>DURAN FERNANDEZ LUIS ANTONIO</t>
  </si>
  <si>
    <t>DUR** FER****** LUI* ANT****</t>
  </si>
  <si>
    <t>1083022916</t>
  </si>
  <si>
    <t>CABALLERO SANCHEZ CRISTIAN IVAN</t>
  </si>
  <si>
    <t>CAB****** SAN**** CRI***** IVA*</t>
  </si>
  <si>
    <t>1083024330</t>
  </si>
  <si>
    <t>DAZA BARRIOS NAILIBETH</t>
  </si>
  <si>
    <t>DAZ* BAR**** NAI******</t>
  </si>
  <si>
    <t>1083024380</t>
  </si>
  <si>
    <t>JIMENEZ RODRIGUEZ YULIANIS PAOLA</t>
  </si>
  <si>
    <t>JIM**** ROD****** YUL***** PAO**</t>
  </si>
  <si>
    <t>1083026495</t>
  </si>
  <si>
    <t>GUERA CAMPO MARIA DE LOS ANGELES</t>
  </si>
  <si>
    <t>GUE** CAM** MAR** DE LOS ANG****</t>
  </si>
  <si>
    <t>1083027004</t>
  </si>
  <si>
    <t>CORREA SERRANO PAOLA ANDREA</t>
  </si>
  <si>
    <t>COR*** SER**** PAO** AND***</t>
  </si>
  <si>
    <t>1083027308</t>
  </si>
  <si>
    <t>MOLINA OBISPO NELSY DAVIANA</t>
  </si>
  <si>
    <t>MOL*** OBI*** NEL** DAV****</t>
  </si>
  <si>
    <t>1083027999</t>
  </si>
  <si>
    <t>IMPARATO SUAREZ YORLANDY PAOLA</t>
  </si>
  <si>
    <t>IMP***** SUA*** YOR***** PAO**</t>
  </si>
  <si>
    <t>1083028809</t>
  </si>
  <si>
    <t>MONTALBAN VEGA SAILY CAROLINA</t>
  </si>
  <si>
    <t>MON****** VEG* SAI** CAR*****</t>
  </si>
  <si>
    <t>1083028976</t>
  </si>
  <si>
    <t>ANGULO CRIADO ANDREA PAOLA</t>
  </si>
  <si>
    <t>ANG*** CRI*** AND*** PAO**</t>
  </si>
  <si>
    <t>1083030624</t>
  </si>
  <si>
    <t>ORTEGA RICARDO DAYANA ROSA</t>
  </si>
  <si>
    <t>ORT*** RIC**** DAY*** ROS*</t>
  </si>
  <si>
    <t>1083036551</t>
  </si>
  <si>
    <t>CUCUNUBA CORREA DANIELA DE JESUS</t>
  </si>
  <si>
    <t>CUC***** COR*** DAN**** DE JES**</t>
  </si>
  <si>
    <t>1083037476</t>
  </si>
  <si>
    <t>CAMPO COLORADO DAMARIS ADRIANA</t>
  </si>
  <si>
    <t>CAM** COL***** DAM**** ADR****</t>
  </si>
  <si>
    <t>1083037642</t>
  </si>
  <si>
    <t>MERCADO MANCILLA AUDREYS MARIA</t>
  </si>
  <si>
    <t>MER**** MAN***** AUD**** MAR**</t>
  </si>
  <si>
    <t>1083040073</t>
  </si>
  <si>
    <t>CARBONELL MELENDREZ CESAR DUVAN</t>
  </si>
  <si>
    <t>CAR****** MEL****** CES** DUV**</t>
  </si>
  <si>
    <t>1083040578</t>
  </si>
  <si>
    <t>ROA MERCADO GLENDA ROCIO</t>
  </si>
  <si>
    <t>ROA MER**** GLE*** ROC**</t>
  </si>
  <si>
    <t>1083040629</t>
  </si>
  <si>
    <t>ARAG¿N FERNANDEZ MAYLING</t>
  </si>
  <si>
    <t>ARA*** FER****** MAY****</t>
  </si>
  <si>
    <t>1083040657</t>
  </si>
  <si>
    <t>JIMENEZ CEBALLOS MARCELA PAOLA</t>
  </si>
  <si>
    <t>JIM**** CEB***** MAR**** PAO**</t>
  </si>
  <si>
    <t>1083041578</t>
  </si>
  <si>
    <t>LOBATO SALES CARLOS ANDRES</t>
  </si>
  <si>
    <t>LOB*** SAL** CAR*** AND***</t>
  </si>
  <si>
    <t>1083042517</t>
  </si>
  <si>
    <t>GRANADOS BUENDIA GERALDINE DE JESUS</t>
  </si>
  <si>
    <t>GRA***** BUE**** GER****** DE JES**</t>
  </si>
  <si>
    <t>1083043113</t>
  </si>
  <si>
    <t>FERNANDEZ URUETA CRISTIAN ANDRES</t>
  </si>
  <si>
    <t>FER****** URU*** CRI***** AND***</t>
  </si>
  <si>
    <t>1083044447</t>
  </si>
  <si>
    <t>PASTRAN ORTIZ YESSICA PAOLA</t>
  </si>
  <si>
    <t>PAS**** ORT** YES**** PAO**</t>
  </si>
  <si>
    <t>1083044931</t>
  </si>
  <si>
    <t>CAMARGO CAMARGO STEPHANIA GISSELL</t>
  </si>
  <si>
    <t>CAM**** CAM**** STE****** GIS****</t>
  </si>
  <si>
    <t>1083046672</t>
  </si>
  <si>
    <t>EVILLA FIERRO NILSON ARIEL</t>
  </si>
  <si>
    <t>EVI*** FIE*** NIL*** ARI**</t>
  </si>
  <si>
    <t>1083046773</t>
  </si>
  <si>
    <t>SANCHEZ MEJIA MARIA GUADALUPE</t>
  </si>
  <si>
    <t>SAN**** MEJ** MAR** GUA******</t>
  </si>
  <si>
    <t>1083047292</t>
  </si>
  <si>
    <t>SIERRA REDONDO BELISSE ANDREA</t>
  </si>
  <si>
    <t>SIE*** RED**** BEL**** AND***</t>
  </si>
  <si>
    <t>1083047475</t>
  </si>
  <si>
    <t>VIVIC CARRILLO JAVIERIS JOHANA</t>
  </si>
  <si>
    <t>VIV** CAR***** JAV***** JOH***</t>
  </si>
  <si>
    <t>1083047579</t>
  </si>
  <si>
    <t>FONTALVO DE LA HOZ JHON FREDY</t>
  </si>
  <si>
    <t>FON***** DE LA HOZ JHO* FRE**</t>
  </si>
  <si>
    <t>1083432328</t>
  </si>
  <si>
    <t>ROSADO FONSECA YEISON ANTONIO</t>
  </si>
  <si>
    <t>ROS*** FON**** YEI*** ANT****</t>
  </si>
  <si>
    <t>1083433560</t>
  </si>
  <si>
    <t>PAEZ PALLARES MARIA TERESA</t>
  </si>
  <si>
    <t>PAE* PAL***** MAR** TER***</t>
  </si>
  <si>
    <t>1083433775</t>
  </si>
  <si>
    <t>PEREZ MERIÑO HUGO CARLOS</t>
  </si>
  <si>
    <t>PER** MER*** HUG* CAR***</t>
  </si>
  <si>
    <t>1083434077</t>
  </si>
  <si>
    <t>MEZA LLANOS YULIETH KATERINE</t>
  </si>
  <si>
    <t>MEZ* LLA*** YUL**** KAT*****</t>
  </si>
  <si>
    <t>1083434734</t>
  </si>
  <si>
    <t>MEZA MEZA JOSE JOSE</t>
  </si>
  <si>
    <t>MEZ* MEZ* JOS* JOS*</t>
  </si>
  <si>
    <t>1083453037</t>
  </si>
  <si>
    <t>GONZALEZ BLANCO MARGARITA SOFIA</t>
  </si>
  <si>
    <t>GON***** BLA*** MAR****** SOF**</t>
  </si>
  <si>
    <t>1083453221</t>
  </si>
  <si>
    <t>LOPEZ TORREGROSA YULIANA BEATRIZ</t>
  </si>
  <si>
    <t>LOP** TOR******* YUL**** BEA****</t>
  </si>
  <si>
    <t>1083453323</t>
  </si>
  <si>
    <t>PEÑA DIAZA EILEEN JULIETH</t>
  </si>
  <si>
    <t>PEÑ* DIA** EIL*** JUL****</t>
  </si>
  <si>
    <t>1083453372</t>
  </si>
  <si>
    <t>MORENO MORENO MERLIS CECILIA</t>
  </si>
  <si>
    <t>MOR*** MOR*** MER*** CEC****</t>
  </si>
  <si>
    <t>1083453636</t>
  </si>
  <si>
    <t>MENDOZA PEREZ SANDRA DEL CARMEN</t>
  </si>
  <si>
    <t>MEN**** PER** SAN*** DEL CAR***</t>
  </si>
  <si>
    <t>1083454587</t>
  </si>
  <si>
    <t>GARRIDO MARQUEZ BLADER RAFAEL</t>
  </si>
  <si>
    <t>GAR**** MAR**** BLA*** RAF***</t>
  </si>
  <si>
    <t>1083455096</t>
  </si>
  <si>
    <t>MORENO BORNACHERA SIMON ALBERTO</t>
  </si>
  <si>
    <t>MOR*** BOR******* SIM** ALB****</t>
  </si>
  <si>
    <t>1083455745</t>
  </si>
  <si>
    <t>PEREZ SANDOVAL ERVIN DANEL</t>
  </si>
  <si>
    <t>PER** SAN***** ERV** DAN**</t>
  </si>
  <si>
    <t>1083455778</t>
  </si>
  <si>
    <t>PAZ ALVAREZ OSCAR VICENTE</t>
  </si>
  <si>
    <t>PAZ ALV**** OSC** VIC****</t>
  </si>
  <si>
    <t>1083456150</t>
  </si>
  <si>
    <t>PEÑA ROMERO NILSON ANDRES</t>
  </si>
  <si>
    <t>PEÑ* ROM*** NIL*** AND***</t>
  </si>
  <si>
    <t>1083457441</t>
  </si>
  <si>
    <t>SIERRA LOPEZ SAIN FEDID</t>
  </si>
  <si>
    <t>SIE*** LOP** SAI* FED**</t>
  </si>
  <si>
    <t>1083458944</t>
  </si>
  <si>
    <t>SEVILLA HERNANDEZ MILAGROS DE DIOS</t>
  </si>
  <si>
    <t>SEV**** HER****** MIL***** DE DIO*</t>
  </si>
  <si>
    <t>1083459344</t>
  </si>
  <si>
    <t>BORJA BORNACELI MARIA ALEJANDRINA</t>
  </si>
  <si>
    <t>BOR** BOR****** MAR** ALE********</t>
  </si>
  <si>
    <t>1083459465</t>
  </si>
  <si>
    <t>CARRILLO VILORIA JESSICA ISABEL</t>
  </si>
  <si>
    <t>CAR***** VIL**** JES**** ISA***</t>
  </si>
  <si>
    <t>1083460603</t>
  </si>
  <si>
    <t>CANDANOZA SANTIAGO HEIRA MILENA</t>
  </si>
  <si>
    <t>CAN****** SAN***** HEI** MIL***</t>
  </si>
  <si>
    <t>1083462594</t>
  </si>
  <si>
    <t>MOJICA DOMINGUEZ YESSICA PAOLA</t>
  </si>
  <si>
    <t>MOJ*** DOM****** YES**** PAO**</t>
  </si>
  <si>
    <t>1083462836</t>
  </si>
  <si>
    <t>RODRIGUEZ MARQUEZ ERIC ANTONIO</t>
  </si>
  <si>
    <t>ROD****** MAR**** ERI* ANT****</t>
  </si>
  <si>
    <t>1083464270</t>
  </si>
  <si>
    <t>OROZCO MARTINEZ DINA MARCELA</t>
  </si>
  <si>
    <t>ORO*** MAR***** DIN* MAR****</t>
  </si>
  <si>
    <t>1083464732</t>
  </si>
  <si>
    <t>LARA PEREZ KAREN ALICIA</t>
  </si>
  <si>
    <t>LAR* PER** KAR** ALI***</t>
  </si>
  <si>
    <t>1083464935</t>
  </si>
  <si>
    <t>SANCHEZ POSADA DANIELA ALEJANDRA</t>
  </si>
  <si>
    <t>SAN**** POS*** DAN**** ALE******</t>
  </si>
  <si>
    <t>1083465166</t>
  </si>
  <si>
    <t>LOBO CASTRO FELIX ARTURO</t>
  </si>
  <si>
    <t>LOB* CAS*** FEL** ART***</t>
  </si>
  <si>
    <t>1083468924</t>
  </si>
  <si>
    <t>NORIEGA POLO TAHILY JOHANA</t>
  </si>
  <si>
    <t>NOR**** POL* TAH*** JOH***</t>
  </si>
  <si>
    <t>1083554316</t>
  </si>
  <si>
    <t>MOZO MUÑOZ LORENA CRISTNA</t>
  </si>
  <si>
    <t>MOZ* MUÑ** LOR*** CRI****</t>
  </si>
  <si>
    <t>1083557417</t>
  </si>
  <si>
    <t>CORTINA HERNANDEZ EMERSON ENRIQUE</t>
  </si>
  <si>
    <t>COR**** HER****** EME**** ENR****</t>
  </si>
  <si>
    <t>1083558745</t>
  </si>
  <si>
    <t>CAMPO COVILLA NEMESIS HELENA</t>
  </si>
  <si>
    <t>CAM** COV**** NEM**** HEL***</t>
  </si>
  <si>
    <t>1083560035</t>
  </si>
  <si>
    <t>CORREA GUERRERO FRANKLIN DE JESUS</t>
  </si>
  <si>
    <t>COR*** GUE***** FRA***** DE JES**</t>
  </si>
  <si>
    <t>1083560052</t>
  </si>
  <si>
    <t>PEREZ FIGUEROA GLORIA INES</t>
  </si>
  <si>
    <t>PER** FIG***** GLO*** INE*</t>
  </si>
  <si>
    <t>1083560597</t>
  </si>
  <si>
    <t>ARANGO CHARRIS CESAR AUGUSTO</t>
  </si>
  <si>
    <t>ARA*** CHA**** CES** AUG****</t>
  </si>
  <si>
    <t>1083561251</t>
  </si>
  <si>
    <t>BORNACHERA CANTILLO CARLOS ANDRES</t>
  </si>
  <si>
    <t>BOR******* CAN***** CAR*** AND***</t>
  </si>
  <si>
    <t>1083562081</t>
  </si>
  <si>
    <t>DIAZ MANCILLA MANUEL GUILLERMO</t>
  </si>
  <si>
    <t>DIA* MAN***** MAN*** GUI******</t>
  </si>
  <si>
    <t>1083566630</t>
  </si>
  <si>
    <t>MOJICA DOMINGUEZ JOSELYN PATRICIA</t>
  </si>
  <si>
    <t>MOJ*** DOM****** JOS**** PAT*****</t>
  </si>
  <si>
    <t>1083567796</t>
  </si>
  <si>
    <t>CENTENO GUILLOT SINDY LOREINE</t>
  </si>
  <si>
    <t>CEN**** GUI**** SIN** LOR****</t>
  </si>
  <si>
    <t>1083570278</t>
  </si>
  <si>
    <t>ARROYO MEJIA RAFAEL JOSE</t>
  </si>
  <si>
    <t>ARR*** MEJ** RAF*** JOS*</t>
  </si>
  <si>
    <t>1083571594</t>
  </si>
  <si>
    <t>OBISPO NORIEGA ANDRES FELIPE</t>
  </si>
  <si>
    <t>OBI*** NOR**** AND*** FEL***</t>
  </si>
  <si>
    <t>1083572102</t>
  </si>
  <si>
    <t>SANCHEZ CABALLERO DIANA CAROLINA</t>
  </si>
  <si>
    <t>SAN**** CAB****** DIA** CAR*****</t>
  </si>
  <si>
    <t>1084727469</t>
  </si>
  <si>
    <t>MARTINEZ ROMO YOLIBETH</t>
  </si>
  <si>
    <t>MAR***** ROM* YOL*****</t>
  </si>
  <si>
    <t>1084727794</t>
  </si>
  <si>
    <t>CANTILLO GAMARRA MARIA ISABEL</t>
  </si>
  <si>
    <t>CAN***** GAM**** MAR** ISA***</t>
  </si>
  <si>
    <t>1084727999</t>
  </si>
  <si>
    <t>HURTADO IBAÑEZ JORGE LUIS</t>
  </si>
  <si>
    <t>HUR**** IBA*** JOR** LUI*</t>
  </si>
  <si>
    <t>1084729002</t>
  </si>
  <si>
    <t>MARTINEZ QUESADA ERICA PATRICIA</t>
  </si>
  <si>
    <t>MAR***** QUE**** ERI** PAT*****</t>
  </si>
  <si>
    <t>1084730711</t>
  </si>
  <si>
    <t>ESTRADA MERIÑO AURA MILAGRO</t>
  </si>
  <si>
    <t>EST**** MER*** AUR* MIL****</t>
  </si>
  <si>
    <t>1084730830</t>
  </si>
  <si>
    <t>TORRES VILLAFAÑA DAMIAN</t>
  </si>
  <si>
    <t>TOR*** VIL****** DAM***</t>
  </si>
  <si>
    <t>1084730839</t>
  </si>
  <si>
    <t>ORTIZ VARGAS LORENA SUSANA</t>
  </si>
  <si>
    <t>ORT** VAR*** LOR*** SUS***</t>
  </si>
  <si>
    <t>1084731441</t>
  </si>
  <si>
    <t>BOSSA TABORDA YEISON JAVIER</t>
  </si>
  <si>
    <t>BOS** TAB**** YEI*** JAV***</t>
  </si>
  <si>
    <t>1084732555</t>
  </si>
  <si>
    <t>IBARRA TOBIAS MARTHA LUCIA</t>
  </si>
  <si>
    <t>IBA*** TOB*** MAR*** LUC**</t>
  </si>
  <si>
    <t>1084733787</t>
  </si>
  <si>
    <t>CANTILLO NAVARRO ALEJANDRO SEGUNDO</t>
  </si>
  <si>
    <t>CAN***** NAV**** ALE****** SEG****</t>
  </si>
  <si>
    <t>1084734630</t>
  </si>
  <si>
    <t>SAKER MONTENEGRO JASSER AMIR</t>
  </si>
  <si>
    <t>SAK** MON******* JAS*** AMI*</t>
  </si>
  <si>
    <t>1084736282</t>
  </si>
  <si>
    <t>MARQUEZ TORRES JHON JAIRO</t>
  </si>
  <si>
    <t>MAR**** TOR*** JHO* JAI**</t>
  </si>
  <si>
    <t>1084738030</t>
  </si>
  <si>
    <t>GUERRERO DURAN KAREN DAYANA</t>
  </si>
  <si>
    <t>GUE***** DUR** KAR** DAY***</t>
  </si>
  <si>
    <t>1084738226</t>
  </si>
  <si>
    <t>TETE CASTILLO CESIA LILIANA</t>
  </si>
  <si>
    <t>TET* CAS***** CES** LIL****</t>
  </si>
  <si>
    <t>1084738659</t>
  </si>
  <si>
    <t>SOLANO CASTRO NOREILYS BEATRIZ</t>
  </si>
  <si>
    <t>SOL*** CAS*** NOR***** BEA****</t>
  </si>
  <si>
    <t>1084739383</t>
  </si>
  <si>
    <t>ARIAS SALOME LUISA FERNANDA</t>
  </si>
  <si>
    <t>ARI** SAL*** LUI** FER*****</t>
  </si>
  <si>
    <t>1084740009</t>
  </si>
  <si>
    <t>ELLIS BROCHERO ANA MARIA</t>
  </si>
  <si>
    <t>ELL** BRO***** ANA MAR**</t>
  </si>
  <si>
    <t>1084740318</t>
  </si>
  <si>
    <t>MEZA SALCEDO ANGEL LUIS</t>
  </si>
  <si>
    <t>MEZ* SAL**** ANG** LUI*</t>
  </si>
  <si>
    <t>1084740671</t>
  </si>
  <si>
    <t>JIMENO OROZCO HENRY RAFAEL DARIO</t>
  </si>
  <si>
    <t>JIM*** ORO*** HEN** RAF*** DAR**</t>
  </si>
  <si>
    <t>1084741962</t>
  </si>
  <si>
    <t>IRIARTE MARQUEZ JENNIFER JULIETH</t>
  </si>
  <si>
    <t>IRI**** MAR**** JEN***** JUL****</t>
  </si>
  <si>
    <t>1084742014</t>
  </si>
  <si>
    <t>LOPERA MARIN OMAR ALBERTO</t>
  </si>
  <si>
    <t>LOP*** MAR** OMA* ALB****</t>
  </si>
  <si>
    <t>1084742335</t>
  </si>
  <si>
    <t>FUENTES CANTILLO DAYANA PATRICIA</t>
  </si>
  <si>
    <t>FUE**** CAN***** DAY*** PAT*****</t>
  </si>
  <si>
    <t>1084742758</t>
  </si>
  <si>
    <t>TRUYOL DE LA CRUZ YENIFER MARIA</t>
  </si>
  <si>
    <t>TRU*** DE LA CRU* YEN**** MAR**</t>
  </si>
  <si>
    <t>1084742832</t>
  </si>
  <si>
    <t>GARZON TORRES LINET YICELA</t>
  </si>
  <si>
    <t>GAR*** TOR*** LIN** YIC***</t>
  </si>
  <si>
    <t>1084744149</t>
  </si>
  <si>
    <t>GONZALEZ YEPES OMAR YECITH</t>
  </si>
  <si>
    <t>GON***** YEP** OMA* YEC***</t>
  </si>
  <si>
    <t>1084744566</t>
  </si>
  <si>
    <t>PERTUZ VIDES NAREN DAVID</t>
  </si>
  <si>
    <t>PER*** VID** NAR** DAV**</t>
  </si>
  <si>
    <t>1084744622</t>
  </si>
  <si>
    <t>BOSSA MERCADO ANNY CRISTINE</t>
  </si>
  <si>
    <t>BOS** MER**** ANN* CRI*****</t>
  </si>
  <si>
    <t>1084745001</t>
  </si>
  <si>
    <t>DE LA HOZ MANCILLA EUDES DE JESUS</t>
  </si>
  <si>
    <t>DE LA HOZ MAN***** EUD** DE JES**</t>
  </si>
  <si>
    <t>1084745130</t>
  </si>
  <si>
    <t>TEJEDA FONTALVO ANDRES DAVID</t>
  </si>
  <si>
    <t>TEJ*** FON***** AND*** DAV**</t>
  </si>
  <si>
    <t>1084745192</t>
  </si>
  <si>
    <t>GARCIA SANCHEZ CINDY PAOLA</t>
  </si>
  <si>
    <t>GAR*** SAN**** CIN** PAO**</t>
  </si>
  <si>
    <t>1084786690</t>
  </si>
  <si>
    <t>GONZALEZ QUINTERO WILMER ANDRES</t>
  </si>
  <si>
    <t>GON***** QUI***** WIL*** AND***</t>
  </si>
  <si>
    <t>1084786900</t>
  </si>
  <si>
    <t>JIMENO OROZCO CARLOS ARTURO</t>
  </si>
  <si>
    <t>JIM*** ORO*** CAR*** ART***</t>
  </si>
  <si>
    <t>1084789131</t>
  </si>
  <si>
    <t>HERRERA PABON LUIS HERNANDO</t>
  </si>
  <si>
    <t>HER**** PAB** LUI* HER*****</t>
  </si>
  <si>
    <t>1084789370</t>
  </si>
  <si>
    <t>CAMARGO TOLEDO CARLOS ADAN</t>
  </si>
  <si>
    <t>CAM**** TOL*** CAR*** ADA*</t>
  </si>
  <si>
    <t>1084789671</t>
  </si>
  <si>
    <t>GUTIERREZ MENDOZA JESMITH ADRIANA</t>
  </si>
  <si>
    <t>GUT****** MEN**** JES**** ADR****</t>
  </si>
  <si>
    <t>1084789892</t>
  </si>
  <si>
    <t>PALACIO CANTILLO TERESA DE JESUS</t>
  </si>
  <si>
    <t>PAL**** CAN***** TER*** DE JES**</t>
  </si>
  <si>
    <t>1084790397</t>
  </si>
  <si>
    <t>ZARATE OSORIO LADY CAROLINA</t>
  </si>
  <si>
    <t>ZAR*** OSO*** LAD* CAR*****</t>
  </si>
  <si>
    <t>1084790511</t>
  </si>
  <si>
    <t>MARTINEZ MUÑOZ JUAN DIEGO</t>
  </si>
  <si>
    <t>MAR***** MUÑ** JUA* DIE**</t>
  </si>
  <si>
    <t>1084791106</t>
  </si>
  <si>
    <t>DOMINGUEZ BARRIOS MARCELA ISABEL</t>
  </si>
  <si>
    <t>DOM****** BAR**** MAR**** ISA***</t>
  </si>
  <si>
    <t>1085034381</t>
  </si>
  <si>
    <t>QUIÑONES MACHUCA BENJAMIN</t>
  </si>
  <si>
    <t>QUI***** MAC**** BEN*****</t>
  </si>
  <si>
    <t>1085034497</t>
  </si>
  <si>
    <t>MORALES RANGEL YINETH PAOLA</t>
  </si>
  <si>
    <t>MOR**** RAN*** YIN*** PAO**</t>
  </si>
  <si>
    <t>1085034594</t>
  </si>
  <si>
    <t>LEON TORRES ELVIA MARIA</t>
  </si>
  <si>
    <t>LEO* TOR*** ELV** MAR**</t>
  </si>
  <si>
    <t>1085035142</t>
  </si>
  <si>
    <t>MARTINEZ LOBO HERMINIA</t>
  </si>
  <si>
    <t>MAR***** LOB* HER*****</t>
  </si>
  <si>
    <t>1085035640</t>
  </si>
  <si>
    <t>COGOLLO GALBAN SANDRA MILENA</t>
  </si>
  <si>
    <t>COG**** GAL*** SAN*** MIL***</t>
  </si>
  <si>
    <t>1085035797</t>
  </si>
  <si>
    <t>ROJAS GUILLEN YURANNY STEFANNY</t>
  </si>
  <si>
    <t>ROJ** GUI**** YUR**** STE*****</t>
  </si>
  <si>
    <t>1085037551</t>
  </si>
  <si>
    <t>ROBLES ARROYO ANTONIO</t>
  </si>
  <si>
    <t>ROB*** ARR*** ANT****</t>
  </si>
  <si>
    <t>1085037659</t>
  </si>
  <si>
    <t>GIRALDO DIAZ HERNAN DARIO</t>
  </si>
  <si>
    <t>GIR**** DIA* HER*** DAR**</t>
  </si>
  <si>
    <t>1085038450</t>
  </si>
  <si>
    <t>RIVAS ALVARADO DANIRIS</t>
  </si>
  <si>
    <t>RIV** ALV***** DAN****</t>
  </si>
  <si>
    <t>1085040070</t>
  </si>
  <si>
    <t>FLORIAN BARRETO KENDRY PAOLA</t>
  </si>
  <si>
    <t>FLO**** BAR**** KEN*** PAO**</t>
  </si>
  <si>
    <t>1085040509</t>
  </si>
  <si>
    <t>DIAZ MARTINEZ REINES NICOLAS</t>
  </si>
  <si>
    <t>DIA* MAR***** REI*** NIC****</t>
  </si>
  <si>
    <t>1085040964</t>
  </si>
  <si>
    <t>PALOMINO CAMARGO MARYELYS</t>
  </si>
  <si>
    <t>PAL***** CAM**** MAR*****</t>
  </si>
  <si>
    <t>1085041972</t>
  </si>
  <si>
    <t>MENDOZA NAVARRO YULIANA PAOLA</t>
  </si>
  <si>
    <t>MEN**** NAV**** YUL**** PAO**</t>
  </si>
  <si>
    <t>1085042497</t>
  </si>
  <si>
    <t>MARTINEZ ARRIETA JOSE LUIS</t>
  </si>
  <si>
    <t>MAR***** ARR**** JOS* LUI*</t>
  </si>
  <si>
    <t>1085042872</t>
  </si>
  <si>
    <t>DELGADO HERRERA RONNIE</t>
  </si>
  <si>
    <t>DEL**** HER**** RON***</t>
  </si>
  <si>
    <t>1085044142</t>
  </si>
  <si>
    <t>RANGEL PORTILLO IRINA YULIETH</t>
  </si>
  <si>
    <t>RAN*** POR***** IRI** YUL****</t>
  </si>
  <si>
    <t>1085044402</t>
  </si>
  <si>
    <t>MORON RADA YESSICA PATRICIA</t>
  </si>
  <si>
    <t>MOR** RAD* YES**** PAT*****</t>
  </si>
  <si>
    <t>1085044524</t>
  </si>
  <si>
    <t>CRUZ FLOREZ ANDRES DARIO</t>
  </si>
  <si>
    <t>CRU* FLO*** AND*** DAR**</t>
  </si>
  <si>
    <t>1085045070</t>
  </si>
  <si>
    <t>TORRES DE LA CRUZ JULLIE PAOLA</t>
  </si>
  <si>
    <t>TOR*** DE LA CRU* JUL*** PAO**</t>
  </si>
  <si>
    <t>1085046905</t>
  </si>
  <si>
    <t>RIBON VIDES NELLY MARIA</t>
  </si>
  <si>
    <t>RIB** VID** NEL** MAR**</t>
  </si>
  <si>
    <t>1085047311</t>
  </si>
  <si>
    <t>HERNANDEZ ALVEAR KAREN LORENA</t>
  </si>
  <si>
    <t>HER****** ALV*** KAR** LOR***</t>
  </si>
  <si>
    <t>1085048905</t>
  </si>
  <si>
    <t>DELGADO HERRERA DIOSA MARGARITA</t>
  </si>
  <si>
    <t>DEL**** HER**** DIO** MAR******</t>
  </si>
  <si>
    <t>1085049209</t>
  </si>
  <si>
    <t>MARTINEZ OLIVEROS RIYER</t>
  </si>
  <si>
    <t>MAR***** OLI***** RIY**</t>
  </si>
  <si>
    <t>1085049568</t>
  </si>
  <si>
    <t>JIMENEZ LEON LIZETH MARCELA</t>
  </si>
  <si>
    <t>JIM**** LEO* LIZ*** MAR****</t>
  </si>
  <si>
    <t>1085050297</t>
  </si>
  <si>
    <t>VIADERO ROSARIO KATERINE</t>
  </si>
  <si>
    <t>VIA**** ROS**** KAT*****</t>
  </si>
  <si>
    <t>1085094273</t>
  </si>
  <si>
    <t>DAZA BARRIOS LICETH</t>
  </si>
  <si>
    <t>DAZ* BAR**** LIC***</t>
  </si>
  <si>
    <t>1085094461</t>
  </si>
  <si>
    <t>MENDEZ MORALES ANA PATRICIA</t>
  </si>
  <si>
    <t>MEN*** MOR**** ANA PAT*****</t>
  </si>
  <si>
    <t>1085094586</t>
  </si>
  <si>
    <t>ALVEAR HIDALGO SISSI ZARINE</t>
  </si>
  <si>
    <t>ALV*** HID**** SIS** ZAR***</t>
  </si>
  <si>
    <t>1085097165</t>
  </si>
  <si>
    <t>POSADA MARTINEZ HECTOR ENRIQUE</t>
  </si>
  <si>
    <t>POS*** MAR***** HEC*** ENR****</t>
  </si>
  <si>
    <t>1085097744</t>
  </si>
  <si>
    <t>MEDINA SALAS YENDY ISABEL</t>
  </si>
  <si>
    <t>MED*** SAL** YEN** ISA***</t>
  </si>
  <si>
    <t>1085097870</t>
  </si>
  <si>
    <t>ROCHA DAZA YASMINE DEL CARMEN</t>
  </si>
  <si>
    <t>ROC** DAZ* YAS**** DEL CAR***</t>
  </si>
  <si>
    <t>1085098030</t>
  </si>
  <si>
    <t>JACOME MOYA SERGIO ANDRES</t>
  </si>
  <si>
    <t>JAC*** MOY* SER*** AND***</t>
  </si>
  <si>
    <t>1085098519</t>
  </si>
  <si>
    <t>BELEÑO ALFARO LILIBETH</t>
  </si>
  <si>
    <t>BEL*** ALF*** LIL*****</t>
  </si>
  <si>
    <t>1085098804</t>
  </si>
  <si>
    <t>SALAS GIL KEVIN JOEL</t>
  </si>
  <si>
    <t>SAL** GIL KEV** JOE*</t>
  </si>
  <si>
    <t>1085099247</t>
  </si>
  <si>
    <t>GUERRERO NAVARRO JESUS DAVID</t>
  </si>
  <si>
    <t>GUE***** NAV**** JES** DAV**</t>
  </si>
  <si>
    <t>1085100849</t>
  </si>
  <si>
    <t>VASQUEZ GALAN BEATRIZ HELENA</t>
  </si>
  <si>
    <t>VAS**** GAL** BEA**** HEL***</t>
  </si>
  <si>
    <t>1085101063</t>
  </si>
  <si>
    <t>ZUÑIGA MORALES FREINER JOSE</t>
  </si>
  <si>
    <t>ZUÑ*** MOR**** FRE**** JOS*</t>
  </si>
  <si>
    <t>1085101095</t>
  </si>
  <si>
    <t>PAJARO CAICEDO FABIAN ALEXIS</t>
  </si>
  <si>
    <t>PAJ*** CAI**** FAB*** ALE***</t>
  </si>
  <si>
    <t>1085102213</t>
  </si>
  <si>
    <t>FUENTES HERNANDEZ LUZ MILA</t>
  </si>
  <si>
    <t>FUE**** HER****** LUZ MIL*</t>
  </si>
  <si>
    <t>1085102363</t>
  </si>
  <si>
    <t>ARIZA ALVEAR JULIO CESAR</t>
  </si>
  <si>
    <t>ARI** ALV*** JUL** CES**</t>
  </si>
  <si>
    <t>1085102475</t>
  </si>
  <si>
    <t>ALVARADO AMARIS RODRIGO</t>
  </si>
  <si>
    <t>ALV***** AMA*** ROD****</t>
  </si>
  <si>
    <t>1085104723</t>
  </si>
  <si>
    <t>PEREZ MORENO ALFONSO DE JESUS</t>
  </si>
  <si>
    <t>PER** MOR*** ALF**** DE JES**</t>
  </si>
  <si>
    <t>1085104765</t>
  </si>
  <si>
    <t>OROZCO PABON GREILYS YURANIS</t>
  </si>
  <si>
    <t>ORO*** PAB** GRE**** YUR****</t>
  </si>
  <si>
    <t>1085104783</t>
  </si>
  <si>
    <t>BOLAÑO GRANADOS MARIA MONICA</t>
  </si>
  <si>
    <t>BOL*** GRA***** MAR** MON***</t>
  </si>
  <si>
    <t>1085105434</t>
  </si>
  <si>
    <t>MADERO LLANOS DELFINA EDITH</t>
  </si>
  <si>
    <t>MAD*** LLA*** DEL**** EDI**</t>
  </si>
  <si>
    <t>1085105443</t>
  </si>
  <si>
    <t>PORRAS AFRICANO ANGEL MANUEL</t>
  </si>
  <si>
    <t>POR*** AFR***** ANG** MAN***</t>
  </si>
  <si>
    <t>1085105917</t>
  </si>
  <si>
    <t>VAN STRALEN VILLALOBOS NEMESIS VANESSA</t>
  </si>
  <si>
    <t>VAN STR**** VIL******* NEM**** VAN****</t>
  </si>
  <si>
    <t>1085106046</t>
  </si>
  <si>
    <t>BOLAÑO FERRER ELISA JOHANA</t>
  </si>
  <si>
    <t>BOL*** FER*** ELI** JOH***</t>
  </si>
  <si>
    <t>1085106520</t>
  </si>
  <si>
    <t>HERRERA ZAPATA JAIRO LUIS</t>
  </si>
  <si>
    <t>HER**** ZAP*** JAI** LUI*</t>
  </si>
  <si>
    <t>1085108047</t>
  </si>
  <si>
    <t>BLANCO ALTAHONA VANESSA ALEJANDRA</t>
  </si>
  <si>
    <t>BLA*** ALT***** VAN**** ALE******</t>
  </si>
  <si>
    <t>1085108288</t>
  </si>
  <si>
    <t>ALANDETE CERVANTES DANIELA STEFANIA</t>
  </si>
  <si>
    <t>ALA***** CER****** DAN**** STE*****</t>
  </si>
  <si>
    <t>1085108727</t>
  </si>
  <si>
    <t>CASALINS OROZCO PEDRO ANTONIO</t>
  </si>
  <si>
    <t>CAS***** ORO*** PED** ANT****</t>
  </si>
  <si>
    <t>1085108757</t>
  </si>
  <si>
    <t>GARCIA RIVERA RONAL DAVID</t>
  </si>
  <si>
    <t>GAR*** RIV*** RON** DAV**</t>
  </si>
  <si>
    <t>1085108817</t>
  </si>
  <si>
    <t>GUTIERREZ ORTEGA LUISA FERNANDA</t>
  </si>
  <si>
    <t>GUT****** ORT*** LUI** FER*****</t>
  </si>
  <si>
    <t>1085109783</t>
  </si>
  <si>
    <t>ALTAHONA CERVANTES MARTA ISABEL</t>
  </si>
  <si>
    <t>ALT***** CER****** MAR** ISA***</t>
  </si>
  <si>
    <t>1085110022</t>
  </si>
  <si>
    <t>AVENDAÑO LARA DUBRASKA CAROLINA</t>
  </si>
  <si>
    <t>AVE***** LAR* DUB***** CAR*****</t>
  </si>
  <si>
    <t>1085110182</t>
  </si>
  <si>
    <t>PERTUZ CAMACHO LAURA VANESSA</t>
  </si>
  <si>
    <t>PER*** CAM**** LAU** VAN****</t>
  </si>
  <si>
    <t>1085112893</t>
  </si>
  <si>
    <t>PADILLA PEREZ NARLIZ PATRICIA</t>
  </si>
  <si>
    <t>PAD**** PER** NAR*** PAT*****</t>
  </si>
  <si>
    <t>1085112902</t>
  </si>
  <si>
    <t>SIMANCA SAMPER JOSE ALBERTO</t>
  </si>
  <si>
    <t>SIM**** SAM*** JOS* ALB****</t>
  </si>
  <si>
    <t>1085113278</t>
  </si>
  <si>
    <t>PERTUZ VIDES JUAN DAVID</t>
  </si>
  <si>
    <t>PER*** VID** JUA* DAV**</t>
  </si>
  <si>
    <t>1085113405</t>
  </si>
  <si>
    <t>GARCIA CABARCAS LILIA ROSA</t>
  </si>
  <si>
    <t>GAR*** CAB***** LIL** ROS*</t>
  </si>
  <si>
    <t>1085165139</t>
  </si>
  <si>
    <t>RANGEL HERNANDEZ LENIS SIOMARA</t>
  </si>
  <si>
    <t>RAN*** HER****** LEN** SIO****</t>
  </si>
  <si>
    <t>1085165505</t>
  </si>
  <si>
    <t>RUIDIAZ RIVERA YANELA DEL CARMEN</t>
  </si>
  <si>
    <t>RUI**** RIV*** YAN*** DEL CAR***</t>
  </si>
  <si>
    <t>1085165791</t>
  </si>
  <si>
    <t>GONZALEZ DEL CASTILLO SINDI BEATRIZ</t>
  </si>
  <si>
    <t>GON***** DEL CAS***** SIN** BEA****</t>
  </si>
  <si>
    <t>1085165949</t>
  </si>
  <si>
    <t>ARMESTO VILLEGAS LUIS FERNANDO</t>
  </si>
  <si>
    <t>ARM**** VIL***** LUI* FER*****</t>
  </si>
  <si>
    <t>1085166515</t>
  </si>
  <si>
    <t>ARDILA FLOREZ YULISETH</t>
  </si>
  <si>
    <t>ARD*** FLO*** YUL*****</t>
  </si>
  <si>
    <t>1085167028</t>
  </si>
  <si>
    <t>SAUCEDO RAMOS LUZ VELIS</t>
  </si>
  <si>
    <t>SAU**** RAM** LUZ VEL**</t>
  </si>
  <si>
    <t>1085167031</t>
  </si>
  <si>
    <t>LOPEZ HERNANDEZ JANNY MELISSA</t>
  </si>
  <si>
    <t>LOP** HER****** JAN** MEL****</t>
  </si>
  <si>
    <t>1085167198</t>
  </si>
  <si>
    <t>MENDOZA FLORIAN IVETH CRISTINA</t>
  </si>
  <si>
    <t>MEN**** FLO**** IVE** CRI*****</t>
  </si>
  <si>
    <t>1085167646</t>
  </si>
  <si>
    <t>ALFARO ROCHA JAIME JESUS</t>
  </si>
  <si>
    <t>ALF*** ROC** JAI** JES**</t>
  </si>
  <si>
    <t>1085167960</t>
  </si>
  <si>
    <t>TORRES PADILLA RONY JOSE</t>
  </si>
  <si>
    <t>TOR*** PAD**** RON* JOS*</t>
  </si>
  <si>
    <t>1085168194</t>
  </si>
  <si>
    <t>RODRIGUEZ RIBON YINA MARCELA</t>
  </si>
  <si>
    <t>ROD****** RIB** YIN* MAR****</t>
  </si>
  <si>
    <t>1085168216</t>
  </si>
  <si>
    <t>AVILA RUIDIAZ LUIS ALBERTO</t>
  </si>
  <si>
    <t>AVI** RUI**** LUI* ALB****</t>
  </si>
  <si>
    <t>1085170548</t>
  </si>
  <si>
    <t>ALVARADO PALOMINO JULIETH</t>
  </si>
  <si>
    <t>ALV***** PAL***** JUL****</t>
  </si>
  <si>
    <t>1085171344</t>
  </si>
  <si>
    <t>PEREZ BAENA MADELAINE</t>
  </si>
  <si>
    <t>PER** BAE** MAD******</t>
  </si>
  <si>
    <t>1085171946</t>
  </si>
  <si>
    <t>QUIROZ BARROS KARINA</t>
  </si>
  <si>
    <t>QUI*** BAR*** KAR***</t>
  </si>
  <si>
    <t>1085172262</t>
  </si>
  <si>
    <t>CONTRERAS HERNANDEZ CARLOS</t>
  </si>
  <si>
    <t>CON****** HER****** CAR***</t>
  </si>
  <si>
    <t>1085173161</t>
  </si>
  <si>
    <t>OLANO SAUCEDO EVARISTO JOSE</t>
  </si>
  <si>
    <t>OLA** SAU**** EVA***** JOS*</t>
  </si>
  <si>
    <t>1085173314</t>
  </si>
  <si>
    <t>GUILLEN ALVARADO DAURIS</t>
  </si>
  <si>
    <t>GUI**** ALV***** DAU***</t>
  </si>
  <si>
    <t>1085174253</t>
  </si>
  <si>
    <t>SALCEDO RINALDI JOSE AURELIO</t>
  </si>
  <si>
    <t>SAL**** RIN**** JOS* AUR****</t>
  </si>
  <si>
    <t>1085174762</t>
  </si>
  <si>
    <t>QUIROZ MIRANDA KATTY</t>
  </si>
  <si>
    <t>QUI*** MIR**** KAT**</t>
  </si>
  <si>
    <t>1085174813</t>
  </si>
  <si>
    <t>CUADRADO LOGREIRA MARIA LICETH</t>
  </si>
  <si>
    <t>CUA***** LOG***** MAR** LIC***</t>
  </si>
  <si>
    <t>1085175397</t>
  </si>
  <si>
    <t>DIAZ CAMARGO JOSE EDUARDO</t>
  </si>
  <si>
    <t>DIA* CAM**** JOS* EDU****</t>
  </si>
  <si>
    <t>1085175599</t>
  </si>
  <si>
    <t>KENDRY PAOLA ALFARO LOPEZ</t>
  </si>
  <si>
    <t>KEN*** PAO** ALF*** LOP**</t>
  </si>
  <si>
    <t>1085175846</t>
  </si>
  <si>
    <t>TORRES PADILLA KAREN</t>
  </si>
  <si>
    <t>TOR*** PAD**** KAR**</t>
  </si>
  <si>
    <t>1085176122</t>
  </si>
  <si>
    <t>QUIROZ MIRANDA ANDY</t>
  </si>
  <si>
    <t>QUI*** MIR**** AND*</t>
  </si>
  <si>
    <t>1085176147</t>
  </si>
  <si>
    <t>DIAZ ACUÑA OLADIS</t>
  </si>
  <si>
    <t>DIA* ACU** OLA***</t>
  </si>
  <si>
    <t>1085176306</t>
  </si>
  <si>
    <t>VEGA BENAVIDES CARLOS ANDRES</t>
  </si>
  <si>
    <t>VEG* BEN****** CAR*** AND***</t>
  </si>
  <si>
    <t>1085176506</t>
  </si>
  <si>
    <t>ALFARO ROCHA JESUS ALBERTO</t>
  </si>
  <si>
    <t>ALF*** ROC** JES** ALB****</t>
  </si>
  <si>
    <t>1085176521</t>
  </si>
  <si>
    <t>GUERRA OROZCO LUIS ALBERTO</t>
  </si>
  <si>
    <t>GUE*** ORO*** LUI* ALB****</t>
  </si>
  <si>
    <t>1085178902</t>
  </si>
  <si>
    <t>VEGA TORO LILIANA MARGARITA</t>
  </si>
  <si>
    <t>VEG* TOR* LIL**** MAR******</t>
  </si>
  <si>
    <t>1085180426</t>
  </si>
  <si>
    <t>ALVARADO CASTRO ROXANA</t>
  </si>
  <si>
    <t>ALV***** CAS*** ROX***</t>
  </si>
  <si>
    <t>1085180522</t>
  </si>
  <si>
    <t>PALACIO SIERRA RAFAEL ANGEL</t>
  </si>
  <si>
    <t>PAL**** SIE*** RAF*** ANG**</t>
  </si>
  <si>
    <t>1085181032</t>
  </si>
  <si>
    <t>QUIROZ MIRANDA ARNALDO</t>
  </si>
  <si>
    <t>QUI*** MIR**** ARN****</t>
  </si>
  <si>
    <t>1085224724</t>
  </si>
  <si>
    <t>GARCIA PAYARES CANDELARIO LUIS</t>
  </si>
  <si>
    <t>GAR*** PAY**** CAN******* LUI*</t>
  </si>
  <si>
    <t>1085224737</t>
  </si>
  <si>
    <t>JIMENEZ LOPEZ JOSE RAFAEL</t>
  </si>
  <si>
    <t>JIM**** LOP** JOS* RAF***</t>
  </si>
  <si>
    <t>1085224756</t>
  </si>
  <si>
    <t>PABA RUIZ MIRLEIDYS JOSHAIRA</t>
  </si>
  <si>
    <t>PAB* RUI* MIR****** JOS*****</t>
  </si>
  <si>
    <t>1085224771</t>
  </si>
  <si>
    <t>JIMENEZ MEZA DAIRO ALBERTO</t>
  </si>
  <si>
    <t>JIM**** MEZ* DAI** ALB****</t>
  </si>
  <si>
    <t>1085225241</t>
  </si>
  <si>
    <t>CANEDO VERGARA IRENE DEL CARMEN</t>
  </si>
  <si>
    <t>CAN*** VER**** IRE** DEL CAR***</t>
  </si>
  <si>
    <t>1085225249</t>
  </si>
  <si>
    <t>OSPINO DELGADO MONICA PATRICIA</t>
  </si>
  <si>
    <t>OSP*** DEL**** MON*** PAT*****</t>
  </si>
  <si>
    <t>1085225324</t>
  </si>
  <si>
    <t>SEÑAS CHACON CARLOS MARIO</t>
  </si>
  <si>
    <t>SEÑ** CHA*** CAR*** MAR**</t>
  </si>
  <si>
    <t>1085225350</t>
  </si>
  <si>
    <t>SANCHEZ SANCHEZ MADELEINIS</t>
  </si>
  <si>
    <t>SAN**** SAN**** MAD*******</t>
  </si>
  <si>
    <t>1085226685</t>
  </si>
  <si>
    <t>SOLORZANO CERRO YOHENYS</t>
  </si>
  <si>
    <t>SOL****** CER** YOH****</t>
  </si>
  <si>
    <t>1085227715</t>
  </si>
  <si>
    <t>MARIOS JIMENEZ ESTEFANNI</t>
  </si>
  <si>
    <t>MAR*** JIM**** EST******</t>
  </si>
  <si>
    <t>1085228491</t>
  </si>
  <si>
    <t>GOMEZ MACHADO DAJANYS MARGARITA</t>
  </si>
  <si>
    <t>GOM** MAC**** DAJ**** MAR******</t>
  </si>
  <si>
    <t>1087204297</t>
  </si>
  <si>
    <t>PRECIADO CASTILLO CRISTIAN DAVID</t>
  </si>
  <si>
    <t>PRE***** CAS***** CRI***** DAV**</t>
  </si>
  <si>
    <t>1088249309</t>
  </si>
  <si>
    <t>GONZALEZ ROYERO ORUS ALEJANDRO</t>
  </si>
  <si>
    <t>GON***** ROY*** ORU* ALE******</t>
  </si>
  <si>
    <t>1090401536</t>
  </si>
  <si>
    <t>JAIMES DUARTE DENIS LORENA</t>
  </si>
  <si>
    <t>JAI*** DUA*** DEN** LOR***</t>
  </si>
  <si>
    <t>1090406951</t>
  </si>
  <si>
    <t>DIAZ ALVAREZ KATHY ESMERALDA</t>
  </si>
  <si>
    <t>DIA* ALV**** KAT** ESM******</t>
  </si>
  <si>
    <t>1094249057</t>
  </si>
  <si>
    <t>CUDRIS PACHECO LIVIS DEL CARMEN</t>
  </si>
  <si>
    <t>CUD*** PAC**** LIV** DEL CAR***</t>
  </si>
  <si>
    <t>1094267191</t>
  </si>
  <si>
    <t>DE LA HOZ CARRANZA SHAYIRA PAOLA</t>
  </si>
  <si>
    <t>DE LA HOZ CAR***** SHA**** PAO**</t>
  </si>
  <si>
    <t>1094268657</t>
  </si>
  <si>
    <t>GUAVITA SEQUEA GUSTAVO STEVEN</t>
  </si>
  <si>
    <t>GUA**** SEQ*** GUS**** STE***</t>
  </si>
  <si>
    <t>1094270938</t>
  </si>
  <si>
    <t>VILLAMIZAR DELGADO NELSON JAVIER</t>
  </si>
  <si>
    <t>VIL******* DEL**** NEL*** JAV***</t>
  </si>
  <si>
    <t>1094273633</t>
  </si>
  <si>
    <t>VANEGAS VILLALOBOS LUIS CARLOS JOSE</t>
  </si>
  <si>
    <t>VAN**** VIL******* LUI* CAR*** JOS*</t>
  </si>
  <si>
    <t>1094275874</t>
  </si>
  <si>
    <t>DIAZ JAIMES AURA CRISTINA</t>
  </si>
  <si>
    <t>DIA* JAI*** AUR* CRI*****</t>
  </si>
  <si>
    <t>1094278078</t>
  </si>
  <si>
    <t>CAMARGO VEGA MARIA JOSE</t>
  </si>
  <si>
    <t>CAM**** VEG* MAR** JOS*</t>
  </si>
  <si>
    <t>1096189075</t>
  </si>
  <si>
    <t>RAMIREZ ESPARRAGOZA MARTHA LILIANA</t>
  </si>
  <si>
    <t>RAM**** ESP******** MAR*** LIL****</t>
  </si>
  <si>
    <t>1096199534</t>
  </si>
  <si>
    <t>OLAYA RODRIGUEZ MIRELLA</t>
  </si>
  <si>
    <t>OLA** ROD****** MIR****</t>
  </si>
  <si>
    <t>1096216935</t>
  </si>
  <si>
    <t>MEJIA DE LA OSSA KELLY JOHANA</t>
  </si>
  <si>
    <t>MEJ** DE LA OSS* KEL** JOH***</t>
  </si>
  <si>
    <t>1096220742</t>
  </si>
  <si>
    <t>FONTECHA DAVILA MARIA ZULEIMA</t>
  </si>
  <si>
    <t>FON***** DAV*** MAR** ZUL****</t>
  </si>
  <si>
    <t>1098632567</t>
  </si>
  <si>
    <t>SANGREGORIO BELTRAN SHEILA LUCIA</t>
  </si>
  <si>
    <t>SAN******** BEL**** SHE*** LUC**</t>
  </si>
  <si>
    <t>1098637188</t>
  </si>
  <si>
    <t>FORERO MARTINEZ JUAN MIGUEL</t>
  </si>
  <si>
    <t>FOR*** MAR***** JUA* MIG***</t>
  </si>
  <si>
    <t>1098669753</t>
  </si>
  <si>
    <t>BENITEZ NAVARRO PABLA</t>
  </si>
  <si>
    <t>BEN**** NAV**** PAB**</t>
  </si>
  <si>
    <t>1098709051</t>
  </si>
  <si>
    <t>BAYONA TAPIERO JEISSON DANILO</t>
  </si>
  <si>
    <t>BAY*** TAP**** JEI**** DAN***</t>
  </si>
  <si>
    <t>1098739071</t>
  </si>
  <si>
    <t>SALAS CORTES DARIO JOSE</t>
  </si>
  <si>
    <t>SAL** COR*** DAR** JOS*</t>
  </si>
  <si>
    <t>1100392137</t>
  </si>
  <si>
    <t>HERAZO NUÑEZ KELY DIAMANTINA</t>
  </si>
  <si>
    <t>HER*** NUÑ** KEL* DIA*******</t>
  </si>
  <si>
    <t>1100392558</t>
  </si>
  <si>
    <t>PALENCIA HORMECHEA JAZMIN PAOLA</t>
  </si>
  <si>
    <t>PAL***** HOR****** JAZ*** PAO**</t>
  </si>
  <si>
    <t>1100398167</t>
  </si>
  <si>
    <t>ARRIETA BARRIOS GABRIEL JOSE</t>
  </si>
  <si>
    <t>ARR**** BAR**** GAB**** JOS*</t>
  </si>
  <si>
    <t>1100403515</t>
  </si>
  <si>
    <t>TOVAR MARICHAL IVANA DEL SOCORRO</t>
  </si>
  <si>
    <t>TOV** MAR***** IVA** DEL SOC****</t>
  </si>
  <si>
    <t>1101386085</t>
  </si>
  <si>
    <t>POLANCO ORTEGA HEBERTO</t>
  </si>
  <si>
    <t>POL**** ORT*** HEB****</t>
  </si>
  <si>
    <t>1101447025</t>
  </si>
  <si>
    <t>LOPEZ CAMPO JOSE MIGUEL</t>
  </si>
  <si>
    <t>LOP** CAM** JOS* MIG***</t>
  </si>
  <si>
    <t>1102118010</t>
  </si>
  <si>
    <t>YECOMELO MONTERROSA JOSE ALFREDO</t>
  </si>
  <si>
    <t>YEC***** MON******* JOS* ALF****</t>
  </si>
  <si>
    <t>1102119261</t>
  </si>
  <si>
    <t>TEJADA GONZALEZ YULIS PAOLA</t>
  </si>
  <si>
    <t>TEJ*** GON***** YUL** PAO**</t>
  </si>
  <si>
    <t>1102366212</t>
  </si>
  <si>
    <t>JIMENEZ GIL DANIEL EDUARDO</t>
  </si>
  <si>
    <t>JIM**** GIL DAN*** EDU****</t>
  </si>
  <si>
    <t>1102794464</t>
  </si>
  <si>
    <t>DIAZ MARTINEZ JOSE MARIA</t>
  </si>
  <si>
    <t>DIA* MAR***** JOS* MAR**</t>
  </si>
  <si>
    <t>1102799094</t>
  </si>
  <si>
    <t>ACOSTA PATERNINA DIOVER LUIS</t>
  </si>
  <si>
    <t>ACO*** PAT****** DIO*** LUI*</t>
  </si>
  <si>
    <t>1102810047</t>
  </si>
  <si>
    <t>LECLETH GOMEZ RODOLFO JAIME</t>
  </si>
  <si>
    <t>LEC**** GOM** ROD**** JAI**</t>
  </si>
  <si>
    <t>1102843714</t>
  </si>
  <si>
    <t>BENITEZ CEBALLOS KAREN LUCIA</t>
  </si>
  <si>
    <t>BEN**** CEB***** KAR** LUC**</t>
  </si>
  <si>
    <t>1102844377</t>
  </si>
  <si>
    <t>FERMIN MONTES KORIS MAIVETH</t>
  </si>
  <si>
    <t>FER*** MON*** KOR** MAI****</t>
  </si>
  <si>
    <t>1102848043</t>
  </si>
  <si>
    <t>JARABA VERGARA KARINA MARCELA</t>
  </si>
  <si>
    <t>JAR*** VER**** KAR*** MAR****</t>
  </si>
  <si>
    <t>1102851263</t>
  </si>
  <si>
    <t>PATERNINA RUIZ WILMER JAVIER</t>
  </si>
  <si>
    <t>PAT****** RUI* WIL*** JAV***</t>
  </si>
  <si>
    <t>1102854340</t>
  </si>
  <si>
    <t>ROCHA BARRAZA JOSE GREGORIO</t>
  </si>
  <si>
    <t>ROC** BAR**** JOS* GRE*****</t>
  </si>
  <si>
    <t>1102856524</t>
  </si>
  <si>
    <t>ORTIZ HERNANDEZ YENIS</t>
  </si>
  <si>
    <t>ORT** HER****** YEN**</t>
  </si>
  <si>
    <t>1102867100</t>
  </si>
  <si>
    <t>TORRES PERTUZ ANGELICA MARIA</t>
  </si>
  <si>
    <t>TOR*** PER*** ANG***** MAR**</t>
  </si>
  <si>
    <t>1102868903</t>
  </si>
  <si>
    <t>DIAZ RIVERO JASON SMITH</t>
  </si>
  <si>
    <t>DIA* RIV*** JAS** SMI**</t>
  </si>
  <si>
    <t>1103094626</t>
  </si>
  <si>
    <t>GIL HERNANDEZ SAIN YESID</t>
  </si>
  <si>
    <t>GIL HER****** SAI* YES**</t>
  </si>
  <si>
    <t>1103098367</t>
  </si>
  <si>
    <t>RODRIGUEZ ZAMBRANO NESTOR GUILLERMO</t>
  </si>
  <si>
    <t>ROD****** ZAM***** NES*** GUI******</t>
  </si>
  <si>
    <t>1103103137</t>
  </si>
  <si>
    <t>PEREZ HERNANDEZ KARINA MARCELA</t>
  </si>
  <si>
    <t>PER** HER****** KAR*** MAR****</t>
  </si>
  <si>
    <t>1103110498</t>
  </si>
  <si>
    <t>ALVAREZ TAPIA JOS¿ CARLOS</t>
  </si>
  <si>
    <t>ALV**** TAP** JOS* CAR***</t>
  </si>
  <si>
    <t>1103114511</t>
  </si>
  <si>
    <t>MEZA PEREZ JORGE MANUEL</t>
  </si>
  <si>
    <t>MEZ* PER** JOR** MAN***</t>
  </si>
  <si>
    <t>1103220323</t>
  </si>
  <si>
    <t>SAMIA PEREZ ANDRES FELIPE</t>
  </si>
  <si>
    <t>SAM** PER** AND*** FEL***</t>
  </si>
  <si>
    <t>1103951851</t>
  </si>
  <si>
    <t>MENDOZA PEREZ JOSE JOSE</t>
  </si>
  <si>
    <t>MEN**** PER** JOS* JOS*</t>
  </si>
  <si>
    <t>1104416184</t>
  </si>
  <si>
    <t>NUÑEZ FLOREZ JOSE JORGE</t>
  </si>
  <si>
    <t>NUÑ** FLO*** JOS* JOR**</t>
  </si>
  <si>
    <t>1104425345</t>
  </si>
  <si>
    <t>SEVERICHE URDA LUISA MARGARITA</t>
  </si>
  <si>
    <t>SEV****** URD* LUI** MAR******</t>
  </si>
  <si>
    <t>1104698444</t>
  </si>
  <si>
    <t>MOLINA JIMENEZ YERLIS</t>
  </si>
  <si>
    <t>MOL*** JIM**** YER***</t>
  </si>
  <si>
    <t>1106787639</t>
  </si>
  <si>
    <t>ALBA BALLESTEROS LAURA MARCELA</t>
  </si>
  <si>
    <t>ALB* BAL******** LAU** MAR****</t>
  </si>
  <si>
    <t>1107099672</t>
  </si>
  <si>
    <t>LOPEZ VALENCIA JHON STIVEN</t>
  </si>
  <si>
    <t>LOP** VAL***** JHO* STI***</t>
  </si>
  <si>
    <t>1110524241</t>
  </si>
  <si>
    <t>BUITRAGO GONZALEZ GINA ALEXANDRA</t>
  </si>
  <si>
    <t>BUI***** GON***** GIN* ALE******</t>
  </si>
  <si>
    <t>1118846069</t>
  </si>
  <si>
    <t>OROZCO PEREZ FERNANDO JOSE</t>
  </si>
  <si>
    <t>ORO*** PER** FER***** JOS*</t>
  </si>
  <si>
    <t>1118852077</t>
  </si>
  <si>
    <t>JIMENO BACCA JESSICA JANEY</t>
  </si>
  <si>
    <t>JIM*** BAC** JES**** JAN**</t>
  </si>
  <si>
    <t>1118861857</t>
  </si>
  <si>
    <t>CARVAJAL RODRIGUEZ RODRIGUEZ RUBEN DARIO</t>
  </si>
  <si>
    <t>CAR***** ROD****** ROD****** RUB** DAR**</t>
  </si>
  <si>
    <t>1120748431</t>
  </si>
  <si>
    <t>RUEDA ROSADO KAROLINA VANESSA</t>
  </si>
  <si>
    <t>RUE** ROS*** KAR***** VAN****</t>
  </si>
  <si>
    <t>1121043257</t>
  </si>
  <si>
    <t>MOLINA GARCIA ALEIDER EDUARDO</t>
  </si>
  <si>
    <t>MOL*** GAR*** ALE**** EDU****</t>
  </si>
  <si>
    <t>1121329704</t>
  </si>
  <si>
    <t>MARTINEZ YAGUNA KELIS YOHANA</t>
  </si>
  <si>
    <t>MAR***** YAG*** KEL** YOH***</t>
  </si>
  <si>
    <t>1122816268</t>
  </si>
  <si>
    <t>MEZA LOZANO MILCIADES JOSE</t>
  </si>
  <si>
    <t>MEZ* LOZ*** MIL****** JOS*</t>
  </si>
  <si>
    <t>1122819350</t>
  </si>
  <si>
    <t>CARRILLO CASTRO PILAR VANESSA</t>
  </si>
  <si>
    <t>CAR***** CAS*** PIL** VAN****</t>
  </si>
  <si>
    <t>1122820632</t>
  </si>
  <si>
    <t>CARRILLO CASTRO EDGAR ANDRES</t>
  </si>
  <si>
    <t>CAR***** CAS*** EDG** AND***</t>
  </si>
  <si>
    <t>1124008784</t>
  </si>
  <si>
    <t>RANGEL CRESPO EDIANA MARIA</t>
  </si>
  <si>
    <t>RAN*** CRE*** EDI*** MAR**</t>
  </si>
  <si>
    <t>1124009502</t>
  </si>
  <si>
    <t>BOCANEGRA CONTRERAS DIANA MARCELA</t>
  </si>
  <si>
    <t>BOC****** CON****** DIA** MAR****</t>
  </si>
  <si>
    <t>1124049794</t>
  </si>
  <si>
    <t>SILVA RANGEL YURYS</t>
  </si>
  <si>
    <t>SIL** RAN*** YUR**</t>
  </si>
  <si>
    <t>1124052788</t>
  </si>
  <si>
    <t>PATI¿O GUETTE RICARDO JUNIOR</t>
  </si>
  <si>
    <t>PAT*** GUE*** RIC**** JUN***</t>
  </si>
  <si>
    <t>1124059919</t>
  </si>
  <si>
    <t>BELTRAN PEDRAZA BLEIDYS YULIETH</t>
  </si>
  <si>
    <t>BEL**** PED**** BLE**** YUL****</t>
  </si>
  <si>
    <t>1124072935</t>
  </si>
  <si>
    <t>ORTIZ BOCANEGRA YELENKA</t>
  </si>
  <si>
    <t>ORT** BOC****** YEL****</t>
  </si>
  <si>
    <t>1127592170</t>
  </si>
  <si>
    <t>SOTO DIAZ YANELA DE JESUS</t>
  </si>
  <si>
    <t>SOT* DIA* YAN*** DE JES**</t>
  </si>
  <si>
    <t>1128044944</t>
  </si>
  <si>
    <t>MONTERROSA GOMEZ TATIANA PAOLA</t>
  </si>
  <si>
    <t>MON******* GOM** TAT**** PAO**</t>
  </si>
  <si>
    <t>1128047450</t>
  </si>
  <si>
    <t>REYES PACHECO KATINE DE LOS ANGELES</t>
  </si>
  <si>
    <t>REY** PAC**** KAT*** DE LOS ANG****</t>
  </si>
  <si>
    <t>1128051601</t>
  </si>
  <si>
    <t>MEZA PADILLA ITALA MATILDE</t>
  </si>
  <si>
    <t>MEZ* PAD**** ITA** MAT****</t>
  </si>
  <si>
    <t>1128105714</t>
  </si>
  <si>
    <t>CARDENAS CUITIVA KELLIS JOHANA</t>
  </si>
  <si>
    <t>CAR***** CUI**** KEL*** JOH***</t>
  </si>
  <si>
    <t>1128106634</t>
  </si>
  <si>
    <t>VIZCAINO PADILLA ELIZABETH</t>
  </si>
  <si>
    <t>VIZ***** PAD**** ELI******</t>
  </si>
  <si>
    <t>1128107080</t>
  </si>
  <si>
    <t>PEREZ CERVANTES LORENA FERNANDA</t>
  </si>
  <si>
    <t>PER** CER****** LOR*** FER*****</t>
  </si>
  <si>
    <t>1128107814</t>
  </si>
  <si>
    <t>CARRILLO PUELLO LUZ MAIRA</t>
  </si>
  <si>
    <t>CAR***** PUE*** LUZ MAI**</t>
  </si>
  <si>
    <t>1128124416</t>
  </si>
  <si>
    <t>GUTIERREZ FERNANDEZ GERMAN FABIAN</t>
  </si>
  <si>
    <t>GUT****** FER****** GER*** FAB***</t>
  </si>
  <si>
    <t>1128126195</t>
  </si>
  <si>
    <t>MU¿OZ CASTRO SANDRA MILENA</t>
  </si>
  <si>
    <t>MU¿** CAS*** SAN*** MIL***</t>
  </si>
  <si>
    <t>1128127047</t>
  </si>
  <si>
    <t>CAMACHO PEÑALOZA ELIANA PAOLA</t>
  </si>
  <si>
    <t>CAM**** PEÑ***** ELI*** PAO**</t>
  </si>
  <si>
    <t>1128127498</t>
  </si>
  <si>
    <t>CASTRO CASTRO GERMAN CAMILO</t>
  </si>
  <si>
    <t>CAS*** CAS*** GER*** CAM***</t>
  </si>
  <si>
    <t>1128127850</t>
  </si>
  <si>
    <t>DE LEON SANABRIA HEIDER JOSE</t>
  </si>
  <si>
    <t>DE LEO* SAN***** HEI*** JOS*</t>
  </si>
  <si>
    <t>1128129783</t>
  </si>
  <si>
    <t>BETTER DE LA HOZ ZAUDITH SARAY</t>
  </si>
  <si>
    <t>BET*** DE LA HOZ ZAU**** SAR**</t>
  </si>
  <si>
    <t>1128130230</t>
  </si>
  <si>
    <t>ESCORCIA BARRIOS MARIA JOSE</t>
  </si>
  <si>
    <t>ESC***** BAR**** MAR** JOS*</t>
  </si>
  <si>
    <t>1128145576</t>
  </si>
  <si>
    <t>VILLA ROMERO YERLEIS SUGEIS</t>
  </si>
  <si>
    <t>VIL** ROM*** YER**** SUG***</t>
  </si>
  <si>
    <t>1128145753</t>
  </si>
  <si>
    <t>RIVERO ORTEGA EDUAR DAVID</t>
  </si>
  <si>
    <t>RIV*** ORT*** EDU** DAV**</t>
  </si>
  <si>
    <t>1128145856</t>
  </si>
  <si>
    <t>BLANCO DE LA CRUZ GALIA ESTHER</t>
  </si>
  <si>
    <t>BLA*** DE LA CRU* GAL** EST***</t>
  </si>
  <si>
    <t>1128146643</t>
  </si>
  <si>
    <t>CORTEZ CANTILLO ISMAR DALIANA</t>
  </si>
  <si>
    <t>COR*** CAN***** ISM** DAL****</t>
  </si>
  <si>
    <t>1128151293</t>
  </si>
  <si>
    <t>ESCA¿O JARABA ZAIDA ELENA</t>
  </si>
  <si>
    <t>ESC*** JAR*** ZAI** ELE**</t>
  </si>
  <si>
    <t>1128152640</t>
  </si>
  <si>
    <t>YANETH DEL CARMEN MADARRIAGA CARDONA</t>
  </si>
  <si>
    <t>YAN*** DEL CAR*** MAD******* CAR****</t>
  </si>
  <si>
    <t>1128152663</t>
  </si>
  <si>
    <t>BOSSIO HINCAPIE MARIA DEL CARMEN</t>
  </si>
  <si>
    <t>BOS*** HIN***** MAR** DEL CAR***</t>
  </si>
  <si>
    <t>1128165978</t>
  </si>
  <si>
    <t>SARMIENTO HERNANDEZ DEISY YURLEY</t>
  </si>
  <si>
    <t>SAR****** HER****** DEI** YUR***</t>
  </si>
  <si>
    <t>1128169385</t>
  </si>
  <si>
    <t>DE LA CRUZ GOMEZ YOSI ESTEBAN</t>
  </si>
  <si>
    <t>DE LA CRU* GOM** YOS* EST****</t>
  </si>
  <si>
    <t>1128169390</t>
  </si>
  <si>
    <t>PADILLA TERNERA ANTONIO MARIA</t>
  </si>
  <si>
    <t>PAD**** TER**** ANT**** MAR**</t>
  </si>
  <si>
    <t>1128170405</t>
  </si>
  <si>
    <t>GOMEZ CASTRO MARIELENA</t>
  </si>
  <si>
    <t>GOM** CAS*** MAR******</t>
  </si>
  <si>
    <t>1128178453</t>
  </si>
  <si>
    <t>GOMEZ CASTRO LUIS DAVID</t>
  </si>
  <si>
    <t>GOM** CAS*** LUI* DAV**</t>
  </si>
  <si>
    <t>1128185695</t>
  </si>
  <si>
    <t>BERNUIZ AREVALO BELIBER YECIBER</t>
  </si>
  <si>
    <t>BER**** ARE**** BEL**** YEC****</t>
  </si>
  <si>
    <t>1128185989</t>
  </si>
  <si>
    <t>VILLAR LOPEZ CLAUDIA ESTER</t>
  </si>
  <si>
    <t>VIL*** LOP** CLA**** EST**</t>
  </si>
  <si>
    <t>1128187710</t>
  </si>
  <si>
    <t>DE LA VEGA BABILONIA YIRA LUZ</t>
  </si>
  <si>
    <t>DE LA VEG* BAB****** YIR* LUZ</t>
  </si>
  <si>
    <t>1128192230</t>
  </si>
  <si>
    <t>ACOSTA CANTILLO HOLMAN JOSE</t>
  </si>
  <si>
    <t>ACO*** CAN***** HOL*** JOS*</t>
  </si>
  <si>
    <t>1128192460</t>
  </si>
  <si>
    <t>LOPEZ MARIMON KARELI JOHANA</t>
  </si>
  <si>
    <t>LOP** MAR**** KAR*** JOH***</t>
  </si>
  <si>
    <t>1128193325</t>
  </si>
  <si>
    <t>ALVAREZ DIAZ YULEIMIS MARIA</t>
  </si>
  <si>
    <t>ALV**** DIA* YUL***** MAR**</t>
  </si>
  <si>
    <t>1128194190</t>
  </si>
  <si>
    <t>CASTILLO VARGAS JOAQUIN EMILIO</t>
  </si>
  <si>
    <t>CAS***** VAR*** JOA**** EMI***</t>
  </si>
  <si>
    <t>1128194323</t>
  </si>
  <si>
    <t>MARTINEZ BARRIOS MARGARETH MILENA</t>
  </si>
  <si>
    <t>MAR***** BAR**** MAR****** MIL***</t>
  </si>
  <si>
    <t>1128197559</t>
  </si>
  <si>
    <t>ESPINOZA ALMEIDA ALCIDES RAFAEL</t>
  </si>
  <si>
    <t>ESP***** ALM**** ALC**** RAF***</t>
  </si>
  <si>
    <t>1128198303</t>
  </si>
  <si>
    <t>HERAZO CANTILLO MARIA HELENA</t>
  </si>
  <si>
    <t>HER*** CAN***** MAR** HEL***</t>
  </si>
  <si>
    <t>1128202808</t>
  </si>
  <si>
    <t>SERGE PACHECO NESTOR ANTONIO</t>
  </si>
  <si>
    <t>SER** PAC**** NES*** ANT****</t>
  </si>
  <si>
    <t>1128273319</t>
  </si>
  <si>
    <t>LOPERA QUINTERO JHON ALEXANDER</t>
  </si>
  <si>
    <t>LOP*** QUI***** JHO* ALE******</t>
  </si>
  <si>
    <t>1128279377</t>
  </si>
  <si>
    <t>PUELLO GERMAN INGRID JOHANA</t>
  </si>
  <si>
    <t>PUE*** GER*** ING*** JOH***</t>
  </si>
  <si>
    <t>1128324592</t>
  </si>
  <si>
    <t>MARTINEZ LARIOS JOHON HENRY</t>
  </si>
  <si>
    <t>MAR***** LAR*** JOH** HEN**</t>
  </si>
  <si>
    <t>1128324683</t>
  </si>
  <si>
    <t>ALFARO ALFARO ROMAIRO</t>
  </si>
  <si>
    <t>ALF*** ALF*** ROM****</t>
  </si>
  <si>
    <t>1128324977</t>
  </si>
  <si>
    <t>TURIZO SORACA MINAUBRIS AURENIS</t>
  </si>
  <si>
    <t>TUR*** SOR*** MIN****** AUR****</t>
  </si>
  <si>
    <t>1128325117</t>
  </si>
  <si>
    <t>ANDRADE RAMIREZ YINA PAOLA</t>
  </si>
  <si>
    <t>AND**** RAM**** YIN* PAO**</t>
  </si>
  <si>
    <t>1128325680</t>
  </si>
  <si>
    <t>DEL CASTILLO SINNING MARIA CAROLINA</t>
  </si>
  <si>
    <t>DEL CAS***** SIN**** MAR** CAR*****</t>
  </si>
  <si>
    <t>1128326489</t>
  </si>
  <si>
    <t>RIVERA MARTINEZ MARIA ELENA</t>
  </si>
  <si>
    <t>RIV*** MAR***** MAR** ELE**</t>
  </si>
  <si>
    <t>1128327364</t>
  </si>
  <si>
    <t>VEGA SANES ALCIDES RAFAEL</t>
  </si>
  <si>
    <t>VEG* SAN** ALC**** RAF***</t>
  </si>
  <si>
    <t>1128329478</t>
  </si>
  <si>
    <t>ORTIZ HERAZO ADRIANA CAROLINA</t>
  </si>
  <si>
    <t>ORT** HER*** ADR**** CAR*****</t>
  </si>
  <si>
    <t>1129515783</t>
  </si>
  <si>
    <t>HERNANDEZ BERACASA LUIS RAFAEL</t>
  </si>
  <si>
    <t>HER****** BER***** LUI* RAF***</t>
  </si>
  <si>
    <t>1129515853</t>
  </si>
  <si>
    <t>PEÑA MATINEZ MELISSA</t>
  </si>
  <si>
    <t>PEÑ* MAT**** MEL****</t>
  </si>
  <si>
    <t>1129516766</t>
  </si>
  <si>
    <t>MUÑOZ BRIEVA NEMESIA ISABEL</t>
  </si>
  <si>
    <t>MUÑ** BRI*** NEM**** ISA***</t>
  </si>
  <si>
    <t>1129519761</t>
  </si>
  <si>
    <t>GUZMAN ARAUJO NARLY PAOLA</t>
  </si>
  <si>
    <t>GUZ*** ARA*** NAR** PAO**</t>
  </si>
  <si>
    <t>1129520297</t>
  </si>
  <si>
    <t>MIRANDA DIAZ SANIR RAFAEL</t>
  </si>
  <si>
    <t>MIR**** DIA* SAN** RAF***</t>
  </si>
  <si>
    <t>1129521483</t>
  </si>
  <si>
    <t>LORA DAVILA VANESSA DAYANA</t>
  </si>
  <si>
    <t>LOR* DAV*** VAN**** DAY***</t>
  </si>
  <si>
    <t>1129522343</t>
  </si>
  <si>
    <t>QUANT VERGARA LAURETH TATIANA</t>
  </si>
  <si>
    <t>QUA** VER**** LAU**** TAT****</t>
  </si>
  <si>
    <t>1129522993</t>
  </si>
  <si>
    <t>CANTILLO PADILLA LILIAN KARINA</t>
  </si>
  <si>
    <t>CAN***** PAD**** LIL*** KAR***</t>
  </si>
  <si>
    <t>1129523567</t>
  </si>
  <si>
    <t>MARTINEZ RODRIGUEZ LEYNIS PAOLA</t>
  </si>
  <si>
    <t>MAR***** ROD****** LEY*** PAO**</t>
  </si>
  <si>
    <t>1129542913</t>
  </si>
  <si>
    <t>REBOLLEDO LONDOÑO CINDY YAMELL</t>
  </si>
  <si>
    <t>REB****** LON**** CIN** YAM***</t>
  </si>
  <si>
    <t>1129571551</t>
  </si>
  <si>
    <t>DUCHESNE OÑORO MARIA ISABEL</t>
  </si>
  <si>
    <t>DUC***** OÑO** MAR** ISA***</t>
  </si>
  <si>
    <t>1129572198</t>
  </si>
  <si>
    <t>PEREZ GONZALEZ CLAYDER ELIAS</t>
  </si>
  <si>
    <t>PER** GON***** CLA**** ELI**</t>
  </si>
  <si>
    <t>1129574180</t>
  </si>
  <si>
    <t>TOLOZA PARODYS LUZ MARY</t>
  </si>
  <si>
    <t>TOL*** PAR**** LUZ MAR*</t>
  </si>
  <si>
    <t>1129576104</t>
  </si>
  <si>
    <t>CUADRADO DE LA ROSA JUAN ALBERTO</t>
  </si>
  <si>
    <t>CUA***** DE LA ROS* JUA* ALB****</t>
  </si>
  <si>
    <t>1129577294</t>
  </si>
  <si>
    <t>VERA AVILA ADRIANA MARIA</t>
  </si>
  <si>
    <t>VER* AVI** ADR**** MAR**</t>
  </si>
  <si>
    <t>1129582261</t>
  </si>
  <si>
    <t>DELGADO RICO SHEYLLY PAOLA</t>
  </si>
  <si>
    <t>DEL**** RIC* SHE**** PAO**</t>
  </si>
  <si>
    <t>1129583538</t>
  </si>
  <si>
    <t>TORRES YEPEZ JOSE GREGORIO</t>
  </si>
  <si>
    <t>TOR*** YEP** JOS* GRE*****</t>
  </si>
  <si>
    <t>1129583874</t>
  </si>
  <si>
    <t>BALDOVINO ANAYA MAIRA ALEJANDRA</t>
  </si>
  <si>
    <t>BAL****** ANA** MAI** ALE******</t>
  </si>
  <si>
    <t>1131004063</t>
  </si>
  <si>
    <t>CARMONA MENDOZA GERARDO MANUEL</t>
  </si>
  <si>
    <t>CAR**** MEN**** GER**** MAN***</t>
  </si>
  <si>
    <t>1131004263</t>
  </si>
  <si>
    <t>TERNERA HERRERA JOSE GREGORIO</t>
  </si>
  <si>
    <t>TER**** HER**** JOS* GRE*****</t>
  </si>
  <si>
    <t>1131005669</t>
  </si>
  <si>
    <t>MENDOZA MENDOZA ALDEMAR ENRIQUE</t>
  </si>
  <si>
    <t>MEN**** MEN**** ALD**** ENR****</t>
  </si>
  <si>
    <t>1131005908</t>
  </si>
  <si>
    <t>BAENA BAENA YINA MARCELA</t>
  </si>
  <si>
    <t>BAE** BAE** YIN* MAR****</t>
  </si>
  <si>
    <t>1131005917</t>
  </si>
  <si>
    <t>SANCHEZ DE LA ROSA ELIZABETH MARIA</t>
  </si>
  <si>
    <t>SAN**** DE LA ROS* ELI****** MAR**</t>
  </si>
  <si>
    <t>1131005931</t>
  </si>
  <si>
    <t>BARROS MEZA ARACELLIS YULIETH</t>
  </si>
  <si>
    <t>BAR*** MEZ* ARA****** YUL****</t>
  </si>
  <si>
    <t>1131006071</t>
  </si>
  <si>
    <t>MENDOZA JIMENEZ ANDRES EMIRO</t>
  </si>
  <si>
    <t>MEN**** JIM**** AND*** EMI**</t>
  </si>
  <si>
    <t>1131007088</t>
  </si>
  <si>
    <t>POLO GARCIA JORGE LUIS</t>
  </si>
  <si>
    <t>POL* GAR*** JOR** LUI*</t>
  </si>
  <si>
    <t>1133569825</t>
  </si>
  <si>
    <t>IZQUIERDO TORRES JAIDER ANDRES</t>
  </si>
  <si>
    <t>IZQ****** TOR*** JAI*** AND***</t>
  </si>
  <si>
    <t>1133571211</t>
  </si>
  <si>
    <t>SUAREZ VILLAFAÑA JUAN AURELIO</t>
  </si>
  <si>
    <t>SUA*** VIL****** JUA* AUR****</t>
  </si>
  <si>
    <t>1133600228</t>
  </si>
  <si>
    <t>CHAPARRO TORRES DINGUMU</t>
  </si>
  <si>
    <t>CHA***** TOR*** DIN****</t>
  </si>
  <si>
    <t>1134209255</t>
  </si>
  <si>
    <t>RODRIGUEZ TORRES OSNEIDER</t>
  </si>
  <si>
    <t>ROD****** TOR*** OSN*****</t>
  </si>
  <si>
    <t>1134254367</t>
  </si>
  <si>
    <t>QUINTERO BECERRA DIOSCARIDES</t>
  </si>
  <si>
    <t>QUI***** BEC**** DIO********</t>
  </si>
  <si>
    <t>1134264195</t>
  </si>
  <si>
    <t>CATALAN HERRERA ANDRES ELIAS</t>
  </si>
  <si>
    <t>CAT**** HER**** AND*** ELI**</t>
  </si>
  <si>
    <t>1134299035</t>
  </si>
  <si>
    <t>GRANADOS GRANADOS EDINSON ELIAS</t>
  </si>
  <si>
    <t>GRA***** GRA***** EDI**** ELI**</t>
  </si>
  <si>
    <t>1134299040</t>
  </si>
  <si>
    <t>PUELLO SAUMETH ANA MILENA</t>
  </si>
  <si>
    <t>PUE*** SAU**** ANA MIL***</t>
  </si>
  <si>
    <t>1134299082</t>
  </si>
  <si>
    <t>MARTINEZ ESCORCIA PABLO</t>
  </si>
  <si>
    <t>MAR***** ESC***** PAB**</t>
  </si>
  <si>
    <t>1134299097</t>
  </si>
  <si>
    <t>JIMENEZ GAMARRA DAISON</t>
  </si>
  <si>
    <t>JIM**** GAM**** DAI***</t>
  </si>
  <si>
    <t>1134299113</t>
  </si>
  <si>
    <t>GALLARDO DUQUE BALDOMINO JOSE</t>
  </si>
  <si>
    <t>GAL***** DUQ** BAL****** JOS*</t>
  </si>
  <si>
    <t>1134299119</t>
  </si>
  <si>
    <t>PUELLO SAUMETH ELEIZENDA ONEIDA</t>
  </si>
  <si>
    <t>PUE*** SAU**** ELE****** ONE***</t>
  </si>
  <si>
    <t>1134299138</t>
  </si>
  <si>
    <t>MEDINA JIMENEZ MANUEL JESUS</t>
  </si>
  <si>
    <t>MED*** JIM**** MAN*** JES**</t>
  </si>
  <si>
    <t>1134299141</t>
  </si>
  <si>
    <t>JIMENEZ MARTINEZ HERWIN</t>
  </si>
  <si>
    <t>JIM**** MAR***** HER***</t>
  </si>
  <si>
    <t>1134331294</t>
  </si>
  <si>
    <t>MARTINEZ JIMENEZ JAIRO ENRIQUE</t>
  </si>
  <si>
    <t>MAR***** JIM**** JAI** ENR****</t>
  </si>
  <si>
    <t>1134359615</t>
  </si>
  <si>
    <t>MARQUEZ LUNA MOISES DAVID</t>
  </si>
  <si>
    <t>MAR**** LUN* MOI*** DAV**</t>
  </si>
  <si>
    <t>1140818336</t>
  </si>
  <si>
    <t>OROZCO VIECO YURICE LIX</t>
  </si>
  <si>
    <t>ORO*** VIE** YUR*** LIX</t>
  </si>
  <si>
    <t>1140819663</t>
  </si>
  <si>
    <t>TRESPALACIOS LOPEZ ISRAEL DE JESUS</t>
  </si>
  <si>
    <t>TRE********* LOP** ISR*** DE JES**</t>
  </si>
  <si>
    <t>1140820523</t>
  </si>
  <si>
    <t>CENDALES CANTILLO JAIRO ALFONSO</t>
  </si>
  <si>
    <t>CEN***** CAN***** JAI** ALF****</t>
  </si>
  <si>
    <t>1140820666</t>
  </si>
  <si>
    <t>BERMUDEZ PRASCA CINDY LORRAINE</t>
  </si>
  <si>
    <t>BER***** PRA*** CIN** LOR*****</t>
  </si>
  <si>
    <t>1140821826</t>
  </si>
  <si>
    <t>GONZALEZ RUEDA INGRITH JOHANA</t>
  </si>
  <si>
    <t>GON***** RUE** ING**** JOH***</t>
  </si>
  <si>
    <t>1140823919</t>
  </si>
  <si>
    <t>SOTO MUÑOZ FRANCISCO LEONEL</t>
  </si>
  <si>
    <t>SOT* MUÑ** FRA****** LEO***</t>
  </si>
  <si>
    <t>1140828520</t>
  </si>
  <si>
    <t>GOMEZ MOYA YORLINDYS ROSSY</t>
  </si>
  <si>
    <t>GOM** MOY* YOR****** ROS**</t>
  </si>
  <si>
    <t>1140829071</t>
  </si>
  <si>
    <t>MORRINSON BORELLY CARLOS ANDRES</t>
  </si>
  <si>
    <t>MOR****** BOR**** CAR*** AND***</t>
  </si>
  <si>
    <t>1140833517</t>
  </si>
  <si>
    <t>CAIAFFA ANDRADE JEAN PAUL ALEXANDER</t>
  </si>
  <si>
    <t>CAI**** AND**** JEA* PAU* ALE******</t>
  </si>
  <si>
    <t>1140835428</t>
  </si>
  <si>
    <t>MARTINEZ LINDADO JUAN CARLOS</t>
  </si>
  <si>
    <t>MAR***** LIN**** JUA* CAR***</t>
  </si>
  <si>
    <t>1140836063</t>
  </si>
  <si>
    <t>LONDO¿O POSADA SINDY CAROLINA</t>
  </si>
  <si>
    <t>LON**** POS*** SIN** CAR*****</t>
  </si>
  <si>
    <t>1140837446</t>
  </si>
  <si>
    <t>PELUFO CALDERIN JOSE LUIS</t>
  </si>
  <si>
    <t>PEL*** CAL***** JOS* LUI*</t>
  </si>
  <si>
    <t>1140858942</t>
  </si>
  <si>
    <t>GARCIA CABANA FABER JADITH</t>
  </si>
  <si>
    <t>GAR*** CAB*** FAB** JAD***</t>
  </si>
  <si>
    <t>1140863572</t>
  </si>
  <si>
    <t>GUTIERREZ CAMPO RUBEN DARIO</t>
  </si>
  <si>
    <t>GUT****** CAM** RUB** DAR**</t>
  </si>
  <si>
    <t>1140868636</t>
  </si>
  <si>
    <t>REDONDO URUETA MELANY GRETHEL</t>
  </si>
  <si>
    <t>RED**** URU*** MEL*** GRE****</t>
  </si>
  <si>
    <t>1140868659</t>
  </si>
  <si>
    <t>GUETTE LLANOS LEONELA MARGARITA</t>
  </si>
  <si>
    <t>GUE*** LLA*** LEO**** MAR******</t>
  </si>
  <si>
    <t>1140871363</t>
  </si>
  <si>
    <t>GARCIA ORTIZ PAULA MARCELA</t>
  </si>
  <si>
    <t>GAR*** ORT** PAU** MAR****</t>
  </si>
  <si>
    <t>1140871942</t>
  </si>
  <si>
    <t>RIVERA ROCA GERSON DE JESUS</t>
  </si>
  <si>
    <t>RIV*** ROC* GER*** DE JES**</t>
  </si>
  <si>
    <t>1140872840</t>
  </si>
  <si>
    <t>LERMA DE LA HOZ MILEIDY PATRICIA</t>
  </si>
  <si>
    <t>LER** DE LA HOZ MIL**** PAT*****</t>
  </si>
  <si>
    <t>1140886888</t>
  </si>
  <si>
    <t>TETTAY MEJIA ANDRES JULIAN</t>
  </si>
  <si>
    <t>TET*** MEJ** AND*** JUL***</t>
  </si>
  <si>
    <t>1140887108</t>
  </si>
  <si>
    <t>PERTUZ SEGURA DANIEL ALFONSO</t>
  </si>
  <si>
    <t>PER*** SEG*** DAN*** ALF****</t>
  </si>
  <si>
    <t>1140890366</t>
  </si>
  <si>
    <t>POLO MARMOL YARITZA CANDELARIA</t>
  </si>
  <si>
    <t>POL* MAR*** YAR**** CAN*******</t>
  </si>
  <si>
    <t>1140891051</t>
  </si>
  <si>
    <t>ECHENIQUE POCHE ROBERTO CARLOS</t>
  </si>
  <si>
    <t>ECH****** POC** ROB**** CAR***</t>
  </si>
  <si>
    <t>1140891166</t>
  </si>
  <si>
    <t>PEÑALOZA SOSA EDITH</t>
  </si>
  <si>
    <t>PEÑ***** SOS* EDI**</t>
  </si>
  <si>
    <t>1140901562</t>
  </si>
  <si>
    <t>SUAREZ PERCY SILENDY SILENA</t>
  </si>
  <si>
    <t>SUA*** PER** SIL**** SIL***</t>
  </si>
  <si>
    <t>1142314098</t>
  </si>
  <si>
    <t>PEDRAZA CARMONA ROGER EDUAR</t>
  </si>
  <si>
    <t>PED**** CAR**** ROG** EDU**</t>
  </si>
  <si>
    <t>1142314768</t>
  </si>
  <si>
    <t>MENDOZA JIMENEZ JOSE FRANCISCO</t>
  </si>
  <si>
    <t>MEN**** JIM**** JOS* FRA******</t>
  </si>
  <si>
    <t>1143116607</t>
  </si>
  <si>
    <t>ALBOR ALFARO LORENA CAROLINA</t>
  </si>
  <si>
    <t>ALB** ALF*** LOR*** CAR*****</t>
  </si>
  <si>
    <t>1143118576</t>
  </si>
  <si>
    <t>MOLINA ALARCON JAIDER JOHAN</t>
  </si>
  <si>
    <t>MOL*** ALA**** JAI*** JOH**</t>
  </si>
  <si>
    <t>1143119690</t>
  </si>
  <si>
    <t>JIMENEZ SALGADO SAMIR JOSE</t>
  </si>
  <si>
    <t>JIM**** SAL**** SAM** JOS*</t>
  </si>
  <si>
    <t>1143124066</t>
  </si>
  <si>
    <t>PALMA NAVARRO JOHNNY ALBERTO</t>
  </si>
  <si>
    <t>PAL** NAV**** JOH*** ALB****</t>
  </si>
  <si>
    <t>1143126674</t>
  </si>
  <si>
    <t>CANTILLO PADILLA ANDRES EDUARDO</t>
  </si>
  <si>
    <t>CAN***** PAD**** AND*** EDU****</t>
  </si>
  <si>
    <t>1143128423</t>
  </si>
  <si>
    <t>VALENCIA GONZALEZ GUILLERMO RICARDO</t>
  </si>
  <si>
    <t>VAL***** GON***** GUI****** RIC****</t>
  </si>
  <si>
    <t>1143132089</t>
  </si>
  <si>
    <t>NAVARRO ACU¿A BELKYS ALEJANDRA</t>
  </si>
  <si>
    <t>NAV**** ACU** BEL*** ALE******</t>
  </si>
  <si>
    <t>1143147815</t>
  </si>
  <si>
    <t>PUELLO CASTRO ANA CECILIA</t>
  </si>
  <si>
    <t>PUE*** CAS*** ANA CEC****</t>
  </si>
  <si>
    <t>1143153012</t>
  </si>
  <si>
    <t>BERMUDEZ FLORES MELISSA ANDREA</t>
  </si>
  <si>
    <t>BER***** FLO*** MEL**** AND***</t>
  </si>
  <si>
    <t>1143161309</t>
  </si>
  <si>
    <t>L¿PEZ D¿VILA EVER DE JESUS</t>
  </si>
  <si>
    <t>L¿P** D¿V*** EVE* DE JES**</t>
  </si>
  <si>
    <t>1143224793</t>
  </si>
  <si>
    <t>MARTINEZ PEREZ JOAQUIN ALBERTO</t>
  </si>
  <si>
    <t>MAR***** PER** JOA**** ALB****</t>
  </si>
  <si>
    <t>1143226544</t>
  </si>
  <si>
    <t>MUÑOZ BOLAÑO EDGAR ANTONIO</t>
  </si>
  <si>
    <t>MUÑ** BOL*** EDG** ANT****</t>
  </si>
  <si>
    <t>1143227636</t>
  </si>
  <si>
    <t>CARREÑO GOMEZ YESSICA MARIA</t>
  </si>
  <si>
    <t>CAR**** GOM** YES**** MAR**</t>
  </si>
  <si>
    <t>1143245003</t>
  </si>
  <si>
    <t>CHARRIZ ESCORCIA SOL MARINA</t>
  </si>
  <si>
    <t>CHA**** ESC***** SOL MAR***</t>
  </si>
  <si>
    <t>1143245498</t>
  </si>
  <si>
    <t>GARCIA CARO SAUDITH JULIETH</t>
  </si>
  <si>
    <t>GAR*** CAR* SAU**** JUL****</t>
  </si>
  <si>
    <t>1143257622</t>
  </si>
  <si>
    <t>DURAN FLOREZ JULIETH PAOLA</t>
  </si>
  <si>
    <t>DUR** FLO*** JUL**** PAO**</t>
  </si>
  <si>
    <t>1143257836</t>
  </si>
  <si>
    <t>DIAZ MEZA CAMILO ANDRES</t>
  </si>
  <si>
    <t>DIA* MEZ* CAM*** AND***</t>
  </si>
  <si>
    <t>1143258722</t>
  </si>
  <si>
    <t>MEZA MEJIA LUIS EMIRO</t>
  </si>
  <si>
    <t>MEZ* MEJ** LUI* EMI**</t>
  </si>
  <si>
    <t>1143262738</t>
  </si>
  <si>
    <t>MARTINEZ ORELLANO YULIZA</t>
  </si>
  <si>
    <t>MAR***** ORE***** YUL***</t>
  </si>
  <si>
    <t>1143327497</t>
  </si>
  <si>
    <t>MAZA LOPEZ SILVANA PATRICIA</t>
  </si>
  <si>
    <t>MAZ* LOP** SIL**** PAT*****</t>
  </si>
  <si>
    <t>1143334723</t>
  </si>
  <si>
    <t>SALGADO VALDES LUIS ALBERTO</t>
  </si>
  <si>
    <t>SAL**** VAL*** LUI* ALB****</t>
  </si>
  <si>
    <t>1143365490</t>
  </si>
  <si>
    <t>GODOY CANEDO MAYRA ALEJANDRA</t>
  </si>
  <si>
    <t>GOD** CAN*** MAY** ALE******</t>
  </si>
  <si>
    <t>1143369964</t>
  </si>
  <si>
    <t>MURILLO BEJARANO YESSICA</t>
  </si>
  <si>
    <t>MUR**** BEJ***** YES****</t>
  </si>
  <si>
    <t>1143374583</t>
  </si>
  <si>
    <t>OROZCO MARRUGO JULYS PAOLA</t>
  </si>
  <si>
    <t>ORO*** MAR**** JUL** PAO**</t>
  </si>
  <si>
    <t>1143428258</t>
  </si>
  <si>
    <t>PALACIOS SANDOVAL LUIS ALBERTO</t>
  </si>
  <si>
    <t>PAL***** SAN***** LUI* ALB****</t>
  </si>
  <si>
    <t>1143437561</t>
  </si>
  <si>
    <t>BROCHERO MERIÑO JESUS MANUEL</t>
  </si>
  <si>
    <t>BRO***** MER*** JES** MAN***</t>
  </si>
  <si>
    <t>1143440198</t>
  </si>
  <si>
    <t>BUELVAS BARRAZA JUSTINO JOSE</t>
  </si>
  <si>
    <t>BUE**** BAR**** JUS**** JOS*</t>
  </si>
  <si>
    <t>1143447127</t>
  </si>
  <si>
    <t>SALCEDO VEGA SHEYLA VANESSA</t>
  </si>
  <si>
    <t>SAL**** VEG* SHE*** VAN****</t>
  </si>
  <si>
    <t>1143454432</t>
  </si>
  <si>
    <t>BERRIO RUIDIAZ MARIA FERNANDA</t>
  </si>
  <si>
    <t>BER*** RUI**** MAR** FER*****</t>
  </si>
  <si>
    <t>1143455211</t>
  </si>
  <si>
    <t>VIZCAINO OSPINO THALIA ANGELICA</t>
  </si>
  <si>
    <t>VIZ***** OSP*** THA*** ANG*****</t>
  </si>
  <si>
    <t>1143457937</t>
  </si>
  <si>
    <t>CARRILLO VILLA YENNIFER</t>
  </si>
  <si>
    <t>CAR***** VIL** YEN*****</t>
  </si>
  <si>
    <t>1144105086</t>
  </si>
  <si>
    <t>VARGAS LOPEZ ARMANDO</t>
  </si>
  <si>
    <t>VAR*** LOP** ARM****</t>
  </si>
  <si>
    <t>1148200120</t>
  </si>
  <si>
    <t>MESTRE ROBLES ALEJANDRO</t>
  </si>
  <si>
    <t>MES*** ROB*** ALE******</t>
  </si>
  <si>
    <t>1151185508</t>
  </si>
  <si>
    <t>MACHADO CAAMAÑO JESIKA MARIA</t>
  </si>
  <si>
    <t>MAC**** CAA**** JES*** MAR**</t>
  </si>
  <si>
    <t>1151187202</t>
  </si>
  <si>
    <t>PEDROZA CONTRERAS ANA CECILIA</t>
  </si>
  <si>
    <t>PED**** CON****** ANA CEC****</t>
  </si>
  <si>
    <t>1151187749</t>
  </si>
  <si>
    <t>CARCAMO BLANCO MARJORYE</t>
  </si>
  <si>
    <t>CAR**** BLA*** MAR*****</t>
  </si>
  <si>
    <t>1152705138</t>
  </si>
  <si>
    <t>RIZO BELEÑO ANGYE YULIETH</t>
  </si>
  <si>
    <t>RIZ* BEL*** ANG** YUL****</t>
  </si>
  <si>
    <t>1152933244</t>
  </si>
  <si>
    <t>GRANADOS VIBANCO YANINIS PAMELA</t>
  </si>
  <si>
    <t>GRA***** VIB**** YAN**** PAM***</t>
  </si>
  <si>
    <t>1152933618</t>
  </si>
  <si>
    <t>MEL¿NDEZ SIERRA ARNOBIS SEGUNDO</t>
  </si>
  <si>
    <t>MEL***** SIE*** ARN**** SEG****</t>
  </si>
  <si>
    <t>1152934225</t>
  </si>
  <si>
    <t>APARICIO JIMENEZ SALLIRA ISABEL</t>
  </si>
  <si>
    <t>APA***** JIM**** SAL**** ISA***</t>
  </si>
  <si>
    <t>1152934493</t>
  </si>
  <si>
    <t>CABALLERO RODRIGUEZ ROBINSON ANTONIO</t>
  </si>
  <si>
    <t>CAB****** ROD****** ROB***** ANT****</t>
  </si>
  <si>
    <t>1152935392</t>
  </si>
  <si>
    <t>PERTUZ DE LA CRUZ WENDY VANESSA</t>
  </si>
  <si>
    <t>PER*** DE LA CRU* WEN** VAN****</t>
  </si>
  <si>
    <t>1152936946</t>
  </si>
  <si>
    <t>CONTRERAS CAMBRONEL KENNE ANDERSON</t>
  </si>
  <si>
    <t>CON****** CAM****** KEN** AND*****</t>
  </si>
  <si>
    <t>1152941373</t>
  </si>
  <si>
    <t>APARICIO BLANCO ANGEL ALBERTO</t>
  </si>
  <si>
    <t>APA***** BLA*** ANG** ALB****</t>
  </si>
  <si>
    <t>1152942912</t>
  </si>
  <si>
    <t>CHIQUILO CUENTA DANIEL DAVID</t>
  </si>
  <si>
    <t>CHI***** CUE*** DAN*** DAV**</t>
  </si>
  <si>
    <t>1152943899</t>
  </si>
  <si>
    <t>G¿MEZ GUTI¿RREZ LAURA CAMILA</t>
  </si>
  <si>
    <t>G¿M** GUT****** LAU** CAM***</t>
  </si>
  <si>
    <t>1192714040</t>
  </si>
  <si>
    <t>OSPINA MEJIA ESNEIDER DAVID</t>
  </si>
  <si>
    <t>OSP*** MEJ** ESN***** DAV**</t>
  </si>
  <si>
    <t>1192787592</t>
  </si>
  <si>
    <t>PUELLO BARANDICA MARLA YASID</t>
  </si>
  <si>
    <t>PUE*** BAR****** MAR** YAS**</t>
  </si>
  <si>
    <t>1192794692</t>
  </si>
  <si>
    <t>CAMPO RODRIGUEZ WENDY PAOLA</t>
  </si>
  <si>
    <t>CAM** ROD****** WEN** PAO**</t>
  </si>
  <si>
    <t>1193041531</t>
  </si>
  <si>
    <t>BARROS COVILLA LILIBETH</t>
  </si>
  <si>
    <t>BAR*** COV**** LIL*****</t>
  </si>
  <si>
    <t>1193071573</t>
  </si>
  <si>
    <t>CALANCHE VILLA ROBERT JOSE</t>
  </si>
  <si>
    <t>CAL***** VIL** ROB*** JOS*</t>
  </si>
  <si>
    <t>1193083017</t>
  </si>
  <si>
    <t>HERRERA MACHADO JAVIER ANDRES</t>
  </si>
  <si>
    <t>HER**** MAC**** JAV*** AND***</t>
  </si>
  <si>
    <t>1193086181</t>
  </si>
  <si>
    <t>HERRERA ROJANO YESICA PAOLA</t>
  </si>
  <si>
    <t>HER**** ROJ*** YES*** PAO**</t>
  </si>
  <si>
    <t>1193088581</t>
  </si>
  <si>
    <t>MADRID OSPINO ARNALDO ANDRES</t>
  </si>
  <si>
    <t>MAD*** OSP*** ARN**** AND***</t>
  </si>
  <si>
    <t>1193109814</t>
  </si>
  <si>
    <t>GOMEZ MERCADO YOJAN EDUARDO</t>
  </si>
  <si>
    <t>GOM** MER**** YOJ** EDU****</t>
  </si>
  <si>
    <t>1193110454</t>
  </si>
  <si>
    <t>NORIEGA MADERO JUNIOR ORLANDO</t>
  </si>
  <si>
    <t>NOR**** MAD*** JUN*** ORL****</t>
  </si>
  <si>
    <t>1193134552</t>
  </si>
  <si>
    <t>CARO FERNANDEZ DAYANA ANDREA</t>
  </si>
  <si>
    <t>CAR* FER****** DAY*** AND***</t>
  </si>
  <si>
    <t>1193154310</t>
  </si>
  <si>
    <t>RIVAS ORTEGA YESSICA PATRICIA</t>
  </si>
  <si>
    <t>RIV** ORT*** YES**** PAT*****</t>
  </si>
  <si>
    <t>1193155511</t>
  </si>
  <si>
    <t>ARIAS GUTIERREZ LUIS MANUEL</t>
  </si>
  <si>
    <t>ARI** GUT****** LUI* MAN***</t>
  </si>
  <si>
    <t>1193192044</t>
  </si>
  <si>
    <t>MESTRE IZQUIERDO INDIRA SERWIYUN</t>
  </si>
  <si>
    <t>MES*** IZQ****** IND*** SER*****</t>
  </si>
  <si>
    <t>1193219340</t>
  </si>
  <si>
    <t>VEGA CARO JUAN FELIPE</t>
  </si>
  <si>
    <t>VEG* CAR* JUA* FEL***</t>
  </si>
  <si>
    <t>1193270952</t>
  </si>
  <si>
    <t>LOPEZ OROZCO DARIENH ENRIQUE</t>
  </si>
  <si>
    <t>LOP** ORO*** DAR**** ENR****</t>
  </si>
  <si>
    <t>1193370758</t>
  </si>
  <si>
    <t>MORILLO PEREZ CARMEN BEATRIZ</t>
  </si>
  <si>
    <t>MOR**** PER** CAR*** BEA****</t>
  </si>
  <si>
    <t>1193370783</t>
  </si>
  <si>
    <t>HERNANDEZ BARRIOS LUIS ALFREDO</t>
  </si>
  <si>
    <t>HER****** BAR**** LUI* ALF****</t>
  </si>
  <si>
    <t>1193379732</t>
  </si>
  <si>
    <t>ALMEIRA POLO LAURA GINETH</t>
  </si>
  <si>
    <t>ALM**** POL* LAU** GIN***</t>
  </si>
  <si>
    <t>1193462990</t>
  </si>
  <si>
    <t>GONZALES TAPIA OSNEIDER JESUS</t>
  </si>
  <si>
    <t>GON***** TAP** OSN***** JES**</t>
  </si>
  <si>
    <t>1193513917</t>
  </si>
  <si>
    <t>RUEDA MENDOZA ROBERTO FABIO</t>
  </si>
  <si>
    <t>RUE** MEN**** ROB**** FAB**</t>
  </si>
  <si>
    <t>1193515002</t>
  </si>
  <si>
    <t>MONTES CABARCAS LENIN ALFONSO</t>
  </si>
  <si>
    <t>MON*** CAB***** LEN** ALF****</t>
  </si>
  <si>
    <t>1193528319</t>
  </si>
  <si>
    <t>MERCADO BARBOSA CARMEN AMPARO</t>
  </si>
  <si>
    <t>MER**** BAR**** CAR*** AMP***</t>
  </si>
  <si>
    <t>1193528598</t>
  </si>
  <si>
    <t>OROZCO MONTES JUVENAL ENRRIQUE</t>
  </si>
  <si>
    <t>ORO*** MON*** JUV**** ENR*****</t>
  </si>
  <si>
    <t>1193534028</t>
  </si>
  <si>
    <t>IZQUIERDO ALVAREZ SERGIO</t>
  </si>
  <si>
    <t>IZQ****** ALV**** SER***</t>
  </si>
  <si>
    <t>1193536276</t>
  </si>
  <si>
    <t>RODRIGUEZ MERCADO CARLOS ARTURO</t>
  </si>
  <si>
    <t>ROD****** MER**** CAR*** ART***</t>
  </si>
  <si>
    <t>1193549258</t>
  </si>
  <si>
    <t>HERNANDEZ URBINA ANLLII CAROLINA</t>
  </si>
  <si>
    <t>HER****** URB*** ANL*** CAR*****</t>
  </si>
  <si>
    <t>1193556591</t>
  </si>
  <si>
    <t>BOCANEGRA JIMENEZ JESUS DAVID</t>
  </si>
  <si>
    <t>BOC****** JIM**** JES** DAV**</t>
  </si>
  <si>
    <t>1193594512</t>
  </si>
  <si>
    <t>ARAUJO MARQUEZ DIATIKEYGUMU</t>
  </si>
  <si>
    <t>ARA*** MAR**** DIA*********</t>
  </si>
  <si>
    <t>1216963004</t>
  </si>
  <si>
    <t>CABARCAS BAÑOS DANIELA MARCELA</t>
  </si>
  <si>
    <t>CAB***** BAÑ** DAN**** MAR****</t>
  </si>
  <si>
    <t>1216963260</t>
  </si>
  <si>
    <t>RENTERIA SALAS BRIAN THOMAS</t>
  </si>
  <si>
    <t>REN***** SAL** BRI** THO***</t>
  </si>
  <si>
    <t>1216963660</t>
  </si>
  <si>
    <t>MARTINEZ SIERRA ANA MARIA</t>
  </si>
  <si>
    <t>MAR***** SIE*** ANA MAR**</t>
  </si>
  <si>
    <t>1216963673</t>
  </si>
  <si>
    <t>MIELES AREVALO ESLIN JULIETH</t>
  </si>
  <si>
    <t>MIE*** ARE**** ESL** JUL****</t>
  </si>
  <si>
    <t>1216963880</t>
  </si>
  <si>
    <t>BELTRAN MARTINEZ JHON JAIRO</t>
  </si>
  <si>
    <t>BEL**** MAR***** JHO* JAI**</t>
  </si>
  <si>
    <t>1216964085</t>
  </si>
  <si>
    <t>AREVALO VANEGAS LILIANA</t>
  </si>
  <si>
    <t>ARE**** VAN**** LIL****</t>
  </si>
  <si>
    <t>1216965643</t>
  </si>
  <si>
    <t>DIAZ TRESPALACIOS JUANA VALERY</t>
  </si>
  <si>
    <t>DIA* TRE********* JUA** VAL***</t>
  </si>
  <si>
    <t>1216965752</t>
  </si>
  <si>
    <t>PEDROZO GIL YULEIDIS PAOLA</t>
  </si>
  <si>
    <t>PED**** GIL YUL***** PAO**</t>
  </si>
  <si>
    <t>1216968021</t>
  </si>
  <si>
    <t>MARTINEZ JACOME KELLY JOHANA</t>
  </si>
  <si>
    <t>MAR***** JAC*** KEL** JOH***</t>
  </si>
  <si>
    <t>1216969034</t>
  </si>
  <si>
    <t>MORON RADA FAIRUTH ISABEL</t>
  </si>
  <si>
    <t>MOR** RAD* FAI**** ISA***</t>
  </si>
  <si>
    <t>1216969411</t>
  </si>
  <si>
    <t>MONSALVE BAEZA DUBAN HUMBERTO</t>
  </si>
  <si>
    <t>MON***** BAE** DUB** HUM*****</t>
  </si>
  <si>
    <t>1216971648</t>
  </si>
  <si>
    <t>BANDERA VALLE LUZ GREICY</t>
  </si>
  <si>
    <t>BAN**** VAL** LUZ GRE***</t>
  </si>
  <si>
    <t>1216973641</t>
  </si>
  <si>
    <t>BELLO PEÑA KEINER FELIPE</t>
  </si>
  <si>
    <t>BEL** PEÑ* KEI*** FEL***</t>
  </si>
  <si>
    <t>1216974373</t>
  </si>
  <si>
    <t>BORJA MENESES FERNANDO JUNIOR</t>
  </si>
  <si>
    <t>BOR** MEN**** FER***** JUN***</t>
  </si>
  <si>
    <t>1216974394</t>
  </si>
  <si>
    <t>MORALES ALVAREZ NELLY YELENIS</t>
  </si>
  <si>
    <t>MOR**** ALV**** NEL** YEL****</t>
  </si>
  <si>
    <t>1216975357</t>
  </si>
  <si>
    <t>TOLOZA BENAVIDES KARINA MARCELA</t>
  </si>
  <si>
    <t>TOL*** BEN****** KAR*** MAR****</t>
  </si>
  <si>
    <t>1216975942</t>
  </si>
  <si>
    <t>PATIÑO ALVARADO EDY OFELIA</t>
  </si>
  <si>
    <t>PAT*** ALV***** EDY OFE***</t>
  </si>
  <si>
    <t>1216976644</t>
  </si>
  <si>
    <t>VILLACOB MADRID DIEGO ANDRES</t>
  </si>
  <si>
    <t>VIL***** MAD*** DIE** AND***</t>
  </si>
  <si>
    <t>1216978182</t>
  </si>
  <si>
    <t>CAMPO CADENA JOSE CARLOS</t>
  </si>
  <si>
    <t>CAM** CAD*** JOS* CAR***</t>
  </si>
  <si>
    <t>1216978319</t>
  </si>
  <si>
    <t>ESPINOSA MONSALVO JHON DENYLSON</t>
  </si>
  <si>
    <t>ESP***** MON***** JHO* DEN*****</t>
  </si>
  <si>
    <t>1221963116</t>
  </si>
  <si>
    <t>MORA CANTILLO LAURA VANESSA</t>
  </si>
  <si>
    <t>MOR* CAN***** LAU** VAN****</t>
  </si>
  <si>
    <t>1221965093</t>
  </si>
  <si>
    <t>LATORRE ARGOTA ANA MARCELA</t>
  </si>
  <si>
    <t>LAT**** ARG*** ANA MAR****</t>
  </si>
  <si>
    <t>1221967817</t>
  </si>
  <si>
    <t>NAVARRO MORA ANA MARCELA</t>
  </si>
  <si>
    <t>NAV**** MOR* ANA MAR****</t>
  </si>
  <si>
    <t>1221967879</t>
  </si>
  <si>
    <t>CAMACHO DUR¿N YOSELIN FRANCISCA</t>
  </si>
  <si>
    <t>CAM**** DUR** YOS**** FRA******</t>
  </si>
  <si>
    <t>1221968623</t>
  </si>
  <si>
    <t>SARMIENTO RUDOLF FRANK DAVID</t>
  </si>
  <si>
    <t>SAR****** RUD*** FRA** DAV**</t>
  </si>
  <si>
    <t>1221969177</t>
  </si>
  <si>
    <t>RESTREPO CHOLES WENDY PAOLA</t>
  </si>
  <si>
    <t>RES***** CHO*** WEN** PAO**</t>
  </si>
  <si>
    <t>1221969621</t>
  </si>
  <si>
    <t>SALAS BARLETA MAGDIEL DE JESUS</t>
  </si>
  <si>
    <t>SAL** BAR**** MAG**** DE JES**</t>
  </si>
  <si>
    <t>1221969738</t>
  </si>
  <si>
    <t>CASTAÑEDA CABRERA MILEYDIS BEATRIZ</t>
  </si>
  <si>
    <t>CAS****** CAB**** MIL***** BEA****</t>
  </si>
  <si>
    <t>1221971422</t>
  </si>
  <si>
    <t>FELIPE HENRIQUEZ GEOVANNA JULIETTE</t>
  </si>
  <si>
    <t>FEL*** HEN****** GEO***** JUL*****</t>
  </si>
  <si>
    <t>1221972505</t>
  </si>
  <si>
    <t>LARA ZAPATA JHON LUIS</t>
  </si>
  <si>
    <t>LAR* ZAP*** JHO* LUI*</t>
  </si>
  <si>
    <t>1221974755</t>
  </si>
  <si>
    <t>CARBONELL VIZCAINO LOREINE</t>
  </si>
  <si>
    <t>CAR****** VIZ***** LOR****</t>
  </si>
  <si>
    <t>1221975379</t>
  </si>
  <si>
    <t>MORRON BOLAÑO DIOMEDES DE JESUS</t>
  </si>
  <si>
    <t>MOR*** BOL*** DIO***** DE JES**</t>
  </si>
  <si>
    <t>1221976096</t>
  </si>
  <si>
    <t>CANTILLO GERALDINO ADRIANA LUCIA</t>
  </si>
  <si>
    <t>CAN***** GER****** ADR**** LUC**</t>
  </si>
  <si>
    <t>1221980285</t>
  </si>
  <si>
    <t>CANTILLO LOMANTO JUAN CARLOS</t>
  </si>
  <si>
    <t>CAN***** LOM**** JUA* CAR***</t>
  </si>
  <si>
    <t>1235539394</t>
  </si>
  <si>
    <t>MEDINA MENDOZA DIOGENES DE JESUS</t>
  </si>
  <si>
    <t>MED*** MEN**** DIO***** DE JES**</t>
  </si>
  <si>
    <t>1235539544</t>
  </si>
  <si>
    <t>ROMERO GUEVARA CARLOS ELIECER</t>
  </si>
  <si>
    <t>ROM*** GUE**** CAR*** ELI****</t>
  </si>
  <si>
    <t>2000028102</t>
  </si>
  <si>
    <t>SANCHEZ CORONEL ELDER JIMMY</t>
  </si>
  <si>
    <t>SAN**** COR**** ELD** JIM**</t>
  </si>
  <si>
    <t>No.</t>
  </si>
  <si>
    <t>MUNICIPIO</t>
  </si>
  <si>
    <t>IED</t>
  </si>
  <si>
    <t>RESIDUO</t>
  </si>
  <si>
    <t>NECESIDADES DOCENTES</t>
  </si>
  <si>
    <t>JORNADA UNICA</t>
  </si>
  <si>
    <t>ADULTOS (3011)</t>
  </si>
  <si>
    <t>TOTAL HE</t>
  </si>
  <si>
    <t>MUNICIPIOS</t>
  </si>
  <si>
    <t>IED_FILTRADA</t>
  </si>
  <si>
    <t>IDX</t>
  </si>
  <si>
    <t>LLAVE</t>
  </si>
  <si>
    <t>ALGARROBO</t>
  </si>
  <si>
    <t>INSTITUCION EDUCATIVA DEPARTAMENTAL ALGARROBO</t>
  </si>
  <si>
    <t>INSTITUCION EDUCATIVA DEPARTAMENTAL LOMA DEL BALSAMO</t>
  </si>
  <si>
    <t>ARACATACA</t>
  </si>
  <si>
    <t>INSTITUCION EDUCATIVA DEPARTAMENTAL RAFAEL NUÑEZ</t>
  </si>
  <si>
    <t>ARIGUANÍ</t>
  </si>
  <si>
    <t>INSTITUCION EDUCATIVA DEPARTAMENTAL ELVIA VIZCAINO DE TODARO</t>
  </si>
  <si>
    <t>CERRO SAN ANTONIO</t>
  </si>
  <si>
    <t>INSTITUCION EDUCATIVA DEPARTAMENTAL ETNOEDUCATIVO Y PLURICULTURAL GUMMAKU</t>
  </si>
  <si>
    <t>CHIVOLO</t>
  </si>
  <si>
    <t>INSTITUCION EDUCATIVA DEPARTAMENTAL FOSSY MARCOS MARIA</t>
  </si>
  <si>
    <t>CONCORDIA</t>
  </si>
  <si>
    <t>INSTITUCION EDUCATIVA DEPARTAMENTAL GABRIEL GARCIA MARQUEZ DE ARACATACA</t>
  </si>
  <si>
    <t>EL BANCO</t>
  </si>
  <si>
    <t>INSTITUCION EDUCATIVA DEPARTAMENTAL JOHN F. KENNEDY</t>
  </si>
  <si>
    <t>EL PIÑON</t>
  </si>
  <si>
    <t>INSTITUCION EDUCATIVA DEPARTAMENTAL RURAL DE BUENOS AIRES</t>
  </si>
  <si>
    <t>EL RETÉN</t>
  </si>
  <si>
    <t>INSTITUCION EDUCATIVA DEPARTAMENTAL LICEO ARIGUANI</t>
  </si>
  <si>
    <t>FUNDACIÓN</t>
  </si>
  <si>
    <t>INSTITUCION EDUCATIVA DEPARTAMENTAL SIMON BOLIVAR</t>
  </si>
  <si>
    <t>GUAMAL</t>
  </si>
  <si>
    <t>INSTITUCION EDUCATIVA DEPARTAMENTAL TECNICA AGROPECUARIA BENJAMIN HERRERA</t>
  </si>
  <si>
    <t>NUEVA GRANADA</t>
  </si>
  <si>
    <t>INSTITUCION EDUCATIVA DEPARTAMENTAL TECNICA AGROPECUARIA CARMEN DE ARIGUANI</t>
  </si>
  <si>
    <t>PEDRAZA</t>
  </si>
  <si>
    <t>CENTRO EDUCATIVO DEPARTAMENTAL SAN ANTONIO</t>
  </si>
  <si>
    <t>PIJIÑO DEL CARMEN</t>
  </si>
  <si>
    <t>INSTITUCION EDUCATIVA DEPARTAMENTAL DE BASICA Y MEDIA SAN ANTONIO</t>
  </si>
  <si>
    <t>PIVIJAY</t>
  </si>
  <si>
    <t>INSTITUCION EDUCATIVA DEPARTAMENTAL SANTA ROSA DE LIMA</t>
  </si>
  <si>
    <t>PLATO</t>
  </si>
  <si>
    <t>INSTITUCION EDUCATIVA DEPARTAMENTAL TECNICA FRANCISCO JOSE DE CALDAS</t>
  </si>
  <si>
    <t>PUEBLOVIEJO</t>
  </si>
  <si>
    <t>INSTITUCION EDUCATIVA TECNICA DEPARTAMENTAL LICEO SANTANDER</t>
  </si>
  <si>
    <t>REMOLINO</t>
  </si>
  <si>
    <t>INSTITUCION EDUCATIVA TECNICA DEPARTAMENTAL SAN JUDAS TADEO</t>
  </si>
  <si>
    <t>SABANAS DE SAN ANGEL</t>
  </si>
  <si>
    <t>INSTITUCION EDUCATIVA DEPARTAMENTAL DE BASICA Y MEDIA DE CONCORDIA</t>
  </si>
  <si>
    <t>SALAMINA</t>
  </si>
  <si>
    <t>INSTITUCION EDUCATIVA DEPARTAMENTAL DE BASICA Y MEDIA SANTA CRUZ DE BALSAMO</t>
  </si>
  <si>
    <t>SAN SEBASTIÁN DE BUENAVISTA</t>
  </si>
  <si>
    <t>INSTITUCION EDUCATIVA DEPARTAMENTAL JOSEFA MARIA ROMERO DE LA CRUZ</t>
  </si>
  <si>
    <t>SAN ZENÓN</t>
  </si>
  <si>
    <t>INSTITUCION EDUCATIVA DEPARTAMENTAL LUZ MARINA CABALLERO</t>
  </si>
  <si>
    <t>SANTA ANA</t>
  </si>
  <si>
    <t>INSTITUCION EDUCATIVA DEPARTAMENTAL ANAXIMENES TORRES OSPINO</t>
  </si>
  <si>
    <t>SANTA BÁRBARA DE PINTO</t>
  </si>
  <si>
    <t>INSTITUCION EDUCATIVA DEPARTAMENTAL ARCESIO CALIZ AMADOR</t>
  </si>
  <si>
    <t>SITIONUEVO</t>
  </si>
  <si>
    <t>INSTITUCION EDUCATIVA DEPARTAMENTAL ELECTO CALIZ MARTINEZ</t>
  </si>
  <si>
    <t>TENERIFE</t>
  </si>
  <si>
    <t>INSTITUCION EDUCATIVA DEPARTAMENTAL GILBERTO ACUÑA RANGEL</t>
  </si>
  <si>
    <t>ZAPAYÁN</t>
  </si>
  <si>
    <t>INSTITUCION EDUCATIVA DEPARTAMENTAL JOSE BENITO BARROS PALOMINO</t>
  </si>
  <si>
    <t>ZONA BANANERA</t>
  </si>
  <si>
    <t>INSTITUCION EDUCATIVA DEPARTAMENTAL JOSE DE LA PAZ VANEGAS ORTIZ</t>
  </si>
  <si>
    <t>INSTITUCION EDUCATIVA TECNICA DEPARTAMENTAL LORENCITA VILLEGAS DE SANTOS</t>
  </si>
  <si>
    <t>INSTITUCION EDUCATIVA DEPARTAMENTAL OSCAR PISCIOTTI NUMA</t>
  </si>
  <si>
    <t>INSTITUCION EDUCATIVA DEPARTAMENTAL PABLO NIEBLES DE GUAYABAL</t>
  </si>
  <si>
    <t>INSTITUCION EDUCATIVA DEPARTAMENTAL ROBERTO ROBLES DE ALGARROBAL</t>
  </si>
  <si>
    <t>INSTITUCION EDUCATIVA DEPARTAMENTAL RURAL ENRIQUE QUINTERO JAIMES</t>
  </si>
  <si>
    <t>INSTITUCION EDUCATIVA DEPARTAMENTAL RURAL RITA CUELLO DE VANEGAS</t>
  </si>
  <si>
    <t>INSTITUCION EDUCATIVA DEPARTAMENTAL RURAL SILVIA COTES DE BISWELL</t>
  </si>
  <si>
    <t>INSTITUCION EDUCATIVA DEPARTAMENTAL SANTA TERESA DE JESUS</t>
  </si>
  <si>
    <t>INSTITUCION ETNOEDUCATIVA DEPARTAMENTAL MITSILOU CAMPBELL</t>
  </si>
  <si>
    <t>INSTITUCION EDUCATIVA DEPARTAMENTAL AGRICOLA DEL PIÑON</t>
  </si>
  <si>
    <t>INSTITUCION EDUCATIVA DEPARTAMENTAL DE CARRETO</t>
  </si>
  <si>
    <t>INSTITUCION EDUCATIVA DEPARTAMENTAL RURAL CANTAGALLAR</t>
  </si>
  <si>
    <t>INSTITUCION EDUCATIVA DEPARTAMENTAL SABANAS</t>
  </si>
  <si>
    <t>INSTITUCION EDUCATIVA DEPARTAMENTAL EUCLIDES LIZARAZO</t>
  </si>
  <si>
    <t>INSTITUCION EDUCATIVA DEPARTAMENTAL ROQUE DE LOS RIOS VALLE</t>
  </si>
  <si>
    <t>INSTITUCION EDUCATIVA DEPARTAMENTAL SAN JUAN BAUTISTA</t>
  </si>
  <si>
    <t>INSTITUCION EDUCATIVA DEPARTAMENTAL 23 DE FEBRERO</t>
  </si>
  <si>
    <t>INSTITUCION EDUCATIVA DEPARTAMENTAL TECNICA AGROAMBIENTAL JUAN FRANCISCO OSPINA</t>
  </si>
  <si>
    <t>INSTITUCION EDUCATIVA DEPARTAMENTAL COLOMBIA</t>
  </si>
  <si>
    <t>INSTITUCION EDUCATIVA DEPARTAMENTAL FRANCISCO DE PAULA SANTANDER</t>
  </si>
  <si>
    <t>INSTITUCION EDUCATIVA DEPARTAMENTAL FUNDACION</t>
  </si>
  <si>
    <t>INSTITUCION EDUCATIVA DEPARTAMENTAL JHON F. KENNEDY</t>
  </si>
  <si>
    <t>INSTITUCION EDUCATIVA DEPARTAMENTAL SIERRA NEVADA DE SANTA MARTA</t>
  </si>
  <si>
    <t>INSTITUCION EDUCATIVA DEPARTAMENTAL TERCERA MIXTA</t>
  </si>
  <si>
    <t>INSTITUCION EDUCATIVA INDIGENA Y PLURICULTURAL KANKAWARWA</t>
  </si>
  <si>
    <t>INSTITUCION EDUCATIVA DEPARTAMENTAL BIENVENIDO RODRIGUEZ</t>
  </si>
  <si>
    <t>INSTITUCION EDUCATIVA DEPARTAMENTAL DE RICAURTE</t>
  </si>
  <si>
    <t>INSTITUCION EDUCATIVA DEPARTAMENTAL NESTOR RANGEL ALFARO</t>
  </si>
  <si>
    <t>INSTITUCION EDUCATIVA DEPARTAMENTAL NICOLAS MEJIA MENDEZ</t>
  </si>
  <si>
    <t>INSTITUCION EDUCATIVA DEPARTAMENTAL NUESTRA SEÑORA DEL CARMEN</t>
  </si>
  <si>
    <t>INSTITUCION EDUCATIVA DEPARTAMENTAL RURAL LA RINCONADA</t>
  </si>
  <si>
    <t>INSTITUCION EDUCATIVA DEPARTAMENTAL RURAL MARIA AUXILIADORA</t>
  </si>
  <si>
    <t>INSTITUCION EDUCATIVA DEPARTAMENTAL RURAL SAGRADO CORAZON DE JESUS</t>
  </si>
  <si>
    <t>INSTITUCION EDUCATIVA DEPARTAMENTAL RURAL SAN PEDRO APOSTOL LAS FLORES</t>
  </si>
  <si>
    <t>INSTITUCION EDUCATIVA DEPARTAMENTAL AGROPECUARIA URBANO MOLINA CASTRO</t>
  </si>
  <si>
    <t>INSTITUCION EDUCATIVA DEPARTAMENTAL PESTALOZZI</t>
  </si>
  <si>
    <t>INSTITUCION EDUCATIVA DEPARTAMENTAL TECNICA NUEVA GRANADA</t>
  </si>
  <si>
    <t>INSTITUCION EDUCATIVA DEPARTAMENTAL DE BOMBA</t>
  </si>
  <si>
    <t>INSTITUCION EDUCATIVA DEPARTAMENTAL PEDRO DE HEREDIA</t>
  </si>
  <si>
    <t>INSTITUCION EDUCATIVA DEPARTAMENTAL SAN PABLO</t>
  </si>
  <si>
    <t>INSTITUCION ETNOEDUCATIVA DEPARTAMENTAL TECNICA AGROECOLOGICA JOSE DADUL</t>
  </si>
  <si>
    <t>INSTITUCION EDUCATIVA DEPARTAMENTAL PIJIÑO DEL CARMEN</t>
  </si>
  <si>
    <t>INSTITUCION EDUCATIVA DEPARTAMENTAL TÉCNICA AGROPECUARIA EL BRILLANTE</t>
  </si>
  <si>
    <t>INSTITUCION EDUCATIVA DEPARTAMENTAL RURAL SANTA MARIA</t>
  </si>
  <si>
    <t>INSTITUCION EDUCATIVA TECNICA DEPARTAMENTAL AGROAMBIENTAL SAN JOSE</t>
  </si>
  <si>
    <t>INSTITUCION EDUCATIVA TECNICO DEPARTAMENTAL DE CABRERA</t>
  </si>
  <si>
    <t>INSTITUCION EDUCATIVA DEPARTAMENTAL AGROPECUARIA JOSE MARIA HERRERA</t>
  </si>
  <si>
    <t>INSTITUCION EDUCATIVA DEPARTAMENTAL AGROPECUARIA NUESTRA SEÑORA DE LAS MERCEDES</t>
  </si>
  <si>
    <t>INSTITUCION EDUCATIVA DEPARTAMENTAL AGROPECUARIA OTILIA MENA ALVAREZ</t>
  </si>
  <si>
    <t>INSTITUCION EDUCATIVA DEPARTAMENTAL LICEO PIVIJAY</t>
  </si>
  <si>
    <t>INSTITUCION EDUCATIVA DEPARTAMENTAL MARIA INMACULADA</t>
  </si>
  <si>
    <t>INSTITUCION EDUCATIVA DEPARTAMENTAL RURAL DE MEDIA LUNA</t>
  </si>
  <si>
    <t>INSTITUCION EDUCATIVA DEPARTAMENTAL RURAL SAN MARTIN DE LOBA</t>
  </si>
  <si>
    <t>INSTITUCION EDUCATIVA DEPARTAMENTAL SAGRADO CORAZON DE JESUS</t>
  </si>
  <si>
    <t>INSTITUCION EDUCATIVA DEPARTAMENTAL LUIS CARLOS GALAN SARMIENTO</t>
  </si>
  <si>
    <t>INSTITUCION EDUCATIVA TECNICA DEPARTAMENTAL VICTOR CAMARGO ALVAREZ</t>
  </si>
  <si>
    <t>INSTITUCION EDUCATIVA TECNICA DEPARTAMENTAL JUANA ARIAS DE BENAVIDES</t>
  </si>
  <si>
    <t>INSTITUCION EDUCATIVA TECNICA DEPARTAMENTAL MARIA ALFARO DE OSPINO</t>
  </si>
  <si>
    <t>INSTITUCION EDUCATIVA TECNICO DEPARTAMENTAL GABRIEL ESCOBAR BALLESTAS</t>
  </si>
  <si>
    <t>INSTITUCION ETNOEDUCATIVA DEPARTAMENTAL AGROPECUARIA ROSA CORTINA HERNANDEZ</t>
  </si>
  <si>
    <t>INSTITUCION EDUCATIVA DEPARTAMENTAL RURAL DE NIÑAS ISLA DEL ROSARIO</t>
  </si>
  <si>
    <t>INSTITUCION EDUCATIVA DEPARTAMENTAL RURAL DE PALMIRA</t>
  </si>
  <si>
    <t>INSTITUCION EDUCATIVA DEPARTAMENTAL RURAL TASAJERA</t>
  </si>
  <si>
    <t>INSTITUCION EDUCATIVA DEPARTAMENTAL SAN JOSE DE PUEBLO VIEJO</t>
  </si>
  <si>
    <t>INSTITUCION ETNOEDUCATIVA DEPARTAMENTAL RURAL SAN JUAN DE PALOS PRIETOS</t>
  </si>
  <si>
    <t>INSTITUCION EDUCATIVA DEPARTAMENTAL BALDOMERO SANIN CANO</t>
  </si>
  <si>
    <t>INSTITUCION EDUCATIVA DEPARTAMENTAL JUAN MANUEL RUDAS</t>
  </si>
  <si>
    <t>INSTITUCION EDUCATIVA DEPARTAMENTAL ALBERTO CABALLERO DE MONTE RUBIO</t>
  </si>
  <si>
    <t>INSTITUCION EDUCATIVA DEPARTAMENTAL FLORES DE MARIA</t>
  </si>
  <si>
    <t>INSTITUCION EDUCATIVA DEPARTAMENTAL LA CANDELARIA</t>
  </si>
  <si>
    <t>INSTITUCION EDUCATIVA DEPARTAMENTAL MANUEL SALVADOR MEZA CAMARGO</t>
  </si>
  <si>
    <t>INSTITUCION ETNOEDUCATIVA DEPARTAMENTAL ETTE ENNAKA</t>
  </si>
  <si>
    <t>INSTITUCION EDUCATIVA DEPARTAMENTAL DE SALAMINA</t>
  </si>
  <si>
    <t>INSTITUCION EDUCATIVA TÉCNICA DEPARTAMENTAL DE GUAIMARO</t>
  </si>
  <si>
    <t>INSTITUCION EDUCATIVA DEPARTAMENTAL ALFONSO LOPEZ</t>
  </si>
  <si>
    <t>INSTITUCION EDUCATIVA DEPARTAMENTAL ANDRES DIAZ VENERO DE LEIVA</t>
  </si>
  <si>
    <t>INSTITUCION EDUCATIVA DEPARTAMENTAL DE LA PACHA</t>
  </si>
  <si>
    <t>INSTITUCION EDUCATIVA DEPARTAMENTAL DE TRONCOSO</t>
  </si>
  <si>
    <t>INSTITUCION EDUCATIVA DEPARTAMENTAL EXTERNADO MIXTO</t>
  </si>
  <si>
    <t>INSTITUCION EDUCATIVA DEPARTAMENTAL LAS MERCEDES</t>
  </si>
  <si>
    <t>INSTITUCION EDUCATIVA DEPARTAMENTAL RURAL LUIS MILLAN VARGAS</t>
  </si>
  <si>
    <t>INSTITUCION EDUCATIVA DEPARTAMENTAL RURAL SAN VALENTIN</t>
  </si>
  <si>
    <t>INSTITUCION EDUCATIVA DEPARTAMENTAL EL HORNO</t>
  </si>
  <si>
    <t>INSTITUCION EDUCATIVA DEPARTAMENTAL GERARDO VALENCIA CANO</t>
  </si>
  <si>
    <t>INSTITUCION EDUCATIVA DEPARTAMENTAL JOSE DE LA LUZ MARTINEZ</t>
  </si>
  <si>
    <t>INSTITUCION EDUCATIVA DEPARTAMENTAL RURAL DE JANEIRO</t>
  </si>
  <si>
    <t>INSTITUCION EDUCATIVA DEPARTAMENTAL TOMAS HERRERA CANTILLO</t>
  </si>
  <si>
    <t>INSTITUCION EDUCATIVA DEPARTAMENTAL ANTONIO BRUJES CARMONA</t>
  </si>
  <si>
    <t>INSTITUCION EDUCATIVA DEPARTAMENTAL CELINDA MEJIA LOPEZ</t>
  </si>
  <si>
    <t>INSTITUCION EDUCATIVA DEPARTAMENTAL MARIA AUXILIADORA</t>
  </si>
  <si>
    <t>INSTITUCION EDUCATIVA DEPARTAMENTAL SAN JOSE DE SAN FERNANDO</t>
  </si>
  <si>
    <t>INSTITUCION EDUCATIVA TECNICA DEPARTAMENTAL DE GERMANIA</t>
  </si>
  <si>
    <t>INSTITUCION EDUCATIVA TECNICA DEPARTAMENTAL RAFAEL JIMENEZ ALTAHONA</t>
  </si>
  <si>
    <t>INSTITUCION EDUCATIVA DEPARTAMENTAL CIENAGUETA</t>
  </si>
  <si>
    <t>INSTITUCION EDUCATIVA DEPARTAMENTAL RURAL NUESTRA SEÑORA DEL ROSARIO</t>
  </si>
  <si>
    <t>INSTITUCION EDUCATIVA TECNICA DEPARTAMENTAL DE PINTO GILMA ROYERO SOLANO</t>
  </si>
  <si>
    <t>INSTITUCION EDUCATIVA DEPARTAMENTAL RURAL DE PALERMO</t>
  </si>
  <si>
    <t>INSTITUCION EDUCATIVA TÉCNICA DEPARTAMENTAL SAN JOSE</t>
  </si>
  <si>
    <t>INSTITUCION EDUCATIVA DEPARTAMENTAL ANUAR RIVERA JATTAR</t>
  </si>
  <si>
    <t>INSTITUCION EDUCATIVA DEPARTAMENTAL EL CONSUELO</t>
  </si>
  <si>
    <t>INSTITUCION EDUCATIVA DEPARTAMENTAL REAL DEL OBISPO</t>
  </si>
  <si>
    <t>INSTITUCION EDUCATIVA DEPARTAMENTAL SANTA INES</t>
  </si>
  <si>
    <t>INSTITUCION EDUCATIVA TECNICA DEPARTAMENTAL SIMON BOLIVAR</t>
  </si>
  <si>
    <t>INSTITUCION EDUCATIVA DEPARTAMENTAL CAÑO DE AGUAS</t>
  </si>
  <si>
    <t>INSTITUCION EDUCATIVA DEPARTAMENTAL DAGOBERTO OROZCO BORJA</t>
  </si>
  <si>
    <t>INSTITUCION EDUCATIVA DEPARTAMENTAL LICEO ZAPAYAN</t>
  </si>
  <si>
    <t>INSTITUCION EDUCATIVA DEPARTAMENTAL ARMANDO ESTRADA FLOREZ</t>
  </si>
  <si>
    <t>INSTITUCION EDUCATIVA DEPARTAMENTAL CANDELARIA</t>
  </si>
  <si>
    <t>INSTITUCION EDUCATIVA DEPARTAMENTAL CERRO BLANCO</t>
  </si>
  <si>
    <t>INSTITUCION ETNOEDUCATIVA DEPARTAMENTAL CIUDAD PERDIDA</t>
  </si>
  <si>
    <t>INSTITUCION EDUCATIVA DEPARTAMENTAL ETNOEDUCATIVA SANTA ROSALIA</t>
  </si>
  <si>
    <t>INSTITUCION EDUCATIVA DEPARTAMENTAL RODRIGO VIVES DE ANDREIS</t>
  </si>
  <si>
    <t>INSTITUCION EDUCATIVA DEPARTAMENTAL SAN JOSE DE KENNEDY</t>
  </si>
  <si>
    <t>INSTITUCION EDUCATIVA DEPARTAMENTAL THELMA ROSA AREVALO</t>
  </si>
  <si>
    <t>INSTITUCION EDUCATIVA ETNOEDUCATIVA DEPARTAMENTAL MACONDO</t>
  </si>
  <si>
    <t>INSTITUCION EDUCATIVA ETNOEDUCATIVA DEPARTAMENTAL TUCURINCA</t>
  </si>
  <si>
    <t>INSTITUCION ETNOEDUCATIVA DEPARTAMENTAL DE SOPLADOR</t>
  </si>
  <si>
    <t>INSTITUCION ETNOEDUCATIVA DEPARTAMENTAL HUMBERTO VELAZQUEZ GARCIA</t>
  </si>
  <si>
    <t>INSTITUCION ETNOEDUCATIVA DEPARTAMENTAL JOSE BENITO VIVES DE ANDREIS</t>
  </si>
  <si>
    <t>INSTITUCION ETNOEDUCATIVA DEPARTAMENTAL RURAL GUILLERMO ALVAREZ</t>
  </si>
  <si>
    <t>REPORTE DE HORAS EXTRAS MENSUALES — Formato 01</t>
  </si>
  <si>
    <t>Secretaría de Educación Departamental del Magdalena</t>
  </si>
  <si>
    <t>MUNICIPIO:</t>
  </si>
  <si>
    <t>MES Y AÑO:</t>
  </si>
  <si>
    <t>INSTITUCIÓN:</t>
  </si>
  <si>
    <t>CARGA AUTORIZADA POR RESOLUCIÓN — junio 2026 (no editable)</t>
  </si>
  <si>
    <t>CARGA MENSUAL = (CARGA ÷ 5) × N° DÍAS</t>
  </si>
  <si>
    <t>JORNADA ÚNICA</t>
  </si>
  <si>
    <t>N° DÍAS
(editable)</t>
  </si>
  <si>
    <t>NEC. DOC.</t>
  </si>
  <si>
    <t>JORN. ÚNICA</t>
  </si>
  <si>
    <t>ADULTOS</t>
  </si>
  <si>
    <t>TOTAL</t>
  </si>
  <si>
    <t>RELACIÓN DE DOCENTES Y HORAS EXTRAS MENSUALES (registre las horas por docente — hay 120 filas; si necesita más, inserte filas copiando una fila ya diligenciada)</t>
  </si>
  <si>
    <t>Nº</t>
  </si>
  <si>
    <t>CÉDULA</t>
  </si>
  <si>
    <t>GRADO
ESCALAFÓN</t>
  </si>
  <si>
    <t>HORAS EXTRAS MENSUALES LABORADAS</t>
  </si>
  <si>
    <t>CONCEPTOS (automático)</t>
  </si>
  <si>
    <t>SUSTITUCIÓN</t>
  </si>
  <si>
    <t>JORNADA
ÚNICA</t>
  </si>
  <si>
    <t>HEXTREG</t>
  </si>
  <si>
    <t>HEXTJU</t>
  </si>
  <si>
    <t>HEXTADUL</t>
  </si>
  <si>
    <t>TOTAL HORAS</t>
  </si>
  <si>
    <t>Vo.Bo. RECTOR(A) — autoriza el pago de las horas extras reportadas</t>
  </si>
  <si>
    <t>CÉDULA RECTOR(A):</t>
  </si>
  <si>
    <t>NOMBRE:</t>
  </si>
  <si>
    <t>GRADO:</t>
  </si>
  <si>
    <t>• LOS DÍAS LABORALES SON DE LUNES A VIERNES.</t>
  </si>
  <si>
    <t>• PARA EFECTOS DE LIQUIDACIÓN DE NÓMINA EL MES ES DE 30 DÍAS CALENDARIO.</t>
  </si>
  <si>
    <t>• LA REVISIÓN Y AUTORIZACIÓN DEL FORMATO ES RESPONSABILIDAD DEL RECTOR DE LA INSTITUCIÓN EDUCATIVA.</t>
  </si>
  <si>
    <t>k</t>
  </si>
  <si>
    <t>fila</t>
  </si>
  <si>
    <t>c</t>
  </si>
  <si>
    <t>CONCEPTO</t>
  </si>
  <si>
    <t>VALOR</t>
  </si>
  <si>
    <t>VALIDO</t>
  </si>
  <si>
    <t>ACUM</t>
  </si>
  <si>
    <t>CONSOLIDADO DE HORAS EXTRAS POR CONCEPTO</t>
  </si>
  <si>
    <t>Generado automáticamente desde REPORTE. Cada cédula se desagrega concepto por concepto (HEXTREG, HEXTJU, HEXTADUL), solo con valor mayor a cero.</t>
  </si>
  <si>
    <t>VALOR
(HORAS)</t>
  </si>
  <si>
    <t>TOTAL HORAS EXTRAS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</si>
</sst>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1"/>
    </font>
    <font>
      <b/>
      <sz val="10"/>
      <color rgb="FFFFFFFF"/>
      <name val="Arial"/>
      <charset val="1"/>
    </font>
    <font>
      <b/>
      <sz val="14"/>
      <color rgb="FF1F3864"/>
      <name val="Arial"/>
      <charset val="1"/>
    </font>
    <font>
      <b/>
      <sz val="10"/>
      <color rgb="FF595959"/>
      <name val="Arial"/>
      <charset val="1"/>
    </font>
    <font>
      <b/>
      <sz val="10"/>
      <color rgb="FF000000"/>
      <name val="Arial"/>
      <charset val="1"/>
    </font>
    <font>
      <b/>
      <sz val="9"/>
      <color rgb="FFFFFFFF"/>
      <name val="Arial"/>
      <charset val="1"/>
    </font>
    <font>
      <sz val="10"/>
      <color rgb="FF000000"/>
      <name val="Arial"/>
      <charset val="1"/>
    </font>
    <font>
      <b/>
      <sz val="8"/>
      <color rgb="FFFFFFFF"/>
      <name val="Arial"/>
      <charset val="1"/>
    </font>
    <font>
      <b/>
      <sz val="10"/>
      <color rgb="FF1F3864"/>
      <name val="Arial"/>
      <charset val="1"/>
    </font>
    <font>
      <i/>
      <sz val="8"/>
      <color rgb="FF000000"/>
      <name val="Arial"/>
      <charset val="1"/>
    </font>
    <font>
      <b/>
      <sz val="13"/>
      <color rgb="FFFFFFFF"/>
      <name val="Arial"/>
      <charset val="1"/>
    </font>
    <font>
      <i/>
      <sz val="9"/>
      <color rgb="FF000000"/>
      <name val="Arial"/>
      <charset val="1"/>
    </font>
  </fonts>
  <fills count="12">
    <fill>
      <patternFill patternType="none"/>
    </fill>
    <fill>
      <patternFill patternType="gray125"/>
    </fill>
    <fill>
      <patternFill patternType="solid">
        <fgColor rgb="FF1F3864"/>
        <bgColor rgb="FF333333"/>
      </patternFill>
    </fill>
    <fill>
      <patternFill patternType="solid">
        <fgColor rgb="FFF2F2F2"/>
        <bgColor rgb="FFEDEDED"/>
      </patternFill>
    </fill>
    <fill>
      <patternFill patternType="solid">
        <fgColor rgb="FFFFF6D8"/>
        <bgColor rgb="FFFFF2CC"/>
      </patternFill>
    </fill>
    <fill>
      <patternFill patternType="solid">
        <fgColor rgb="FF2E5496"/>
        <bgColor rgb="FF1F3864"/>
      </patternFill>
    </fill>
    <fill>
      <patternFill patternType="solid">
        <fgColor rgb="FFC55A11"/>
        <bgColor rgb="FF993300"/>
      </patternFill>
    </fill>
    <fill>
      <patternFill patternType="solid">
        <fgColor rgb="FFFFFFFF"/>
        <bgColor rgb="FFF2F2F2"/>
      </patternFill>
    </fill>
    <fill>
      <patternFill patternType="solid">
        <fgColor rgb="FFEDEDED"/>
        <bgColor rgb="FFF2F2F2"/>
      </patternFill>
    </fill>
    <fill>
      <patternFill patternType="solid">
        <fgColor rgb="FFEAF0FA"/>
        <bgColor rgb="FFEDEDED"/>
      </patternFill>
    </fill>
    <fill>
      <patternFill patternType="solid">
        <fgColor rgb="FFD9E1F2"/>
        <bgColor rgb="FFEDEDED"/>
      </patternFill>
    </fill>
    <fill>
      <patternFill patternType="solid">
        <fgColor rgb="FFFFF2CC"/>
        <bgColor rgb="FFFFF6D8"/>
      </patternFill>
    </fill>
  </fills>
  <borders count="4">
    <border>
      <left/>
      <right/>
      <top/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/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10" fillId="2" borderId="0" xfId="0" applyFont="1" applyFill="1" applyBorder="1" applyAlignment="1">
      <alignment horizontal="center"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0" fontId="6" fillId="10" borderId="2" xfId="0" applyFont="1" applyFill="1" applyBorder="1" applyAlignment="1" applyProtection="1">
      <alignment horizontal="center" vertical="center"/>
      <protection locked="0"/>
    </xf>
    <xf numFmtId="0" fontId="6" fillId="10" borderId="2" xfId="0" applyFont="1" applyFill="1" applyBorder="1" applyAlignment="1" applyProtection="1">
      <alignment horizontal="left" vertical="center"/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1" fillId="2" borderId="2" xfId="0" applyFont="1" applyFill="1" applyBorder="1" applyAlignment="1" applyProtection="1">
      <alignment horizontal="right" vertical="center"/>
      <protection locked="0"/>
    </xf>
    <xf numFmtId="0" fontId="1" fillId="2" borderId="2" xfId="0" applyFont="1" applyFill="1" applyBorder="1" applyAlignment="1" applyProtection="1">
      <alignment horizontal="center" vertical="center"/>
      <protection locked="0"/>
    </xf>
    <xf numFmtId="0" fontId="1" fillId="5" borderId="2" xfId="0" applyFont="1" applyFill="1" applyBorder="1" applyAlignment="1" applyProtection="1">
      <alignment horizontal="center" vertical="center"/>
      <protection locked="0"/>
    </xf>
    <xf numFmtId="0" fontId="1" fillId="5" borderId="3" xfId="0" applyFont="1" applyFill="1" applyBorder="1" applyAlignment="1" applyProtection="1">
      <alignment horizontal="center" vertical="center" wrapText="1"/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4" fillId="4" borderId="2" xfId="0" applyFont="1" applyFill="1" applyBorder="1" applyAlignment="1" applyProtection="1">
      <alignment horizontal="left" vertical="center"/>
      <protection locked="0"/>
    </xf>
    <xf numFmtId="0" fontId="4" fillId="3" borderId="2" xfId="0" applyFont="1" applyFill="1" applyBorder="1" applyAlignment="1" applyProtection="1">
      <alignment horizontal="right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>
      <alignment horizontal="center" vertical="center"/>
    </xf>
    <xf numFmtId="49" fontId="0" fillId="0" borderId="0" xfId="0" applyNumberFormat="1" applyFont="1"/>
    <xf numFmtId="0" fontId="0" fillId="0" borderId="0" xfId="0" applyFont="1"/>
    <xf numFmtId="0" fontId="1" fillId="2" borderId="1" xfId="0" applyFont="1" applyFill="1" applyBorder="1" applyAlignment="1">
      <alignment horizontal="left" vertical="center"/>
    </xf>
    <xf numFmtId="0" fontId="0" fillId="0" borderId="0" xfId="0" applyProtection="1">
      <protection locked="0"/>
    </xf>
    <xf numFmtId="0" fontId="6" fillId="2" borderId="1" xfId="0" applyFont="1" applyFill="1" applyBorder="1" applyAlignment="1" applyProtection="1">
      <alignment horizontal="left" vertical="center"/>
      <protection locked="0"/>
    </xf>
    <xf numFmtId="0" fontId="5" fillId="5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1" fontId="6" fillId="7" borderId="1" xfId="0" applyNumberFormat="1" applyFont="1" applyFill="1" applyBorder="1" applyAlignment="1">
      <alignment horizontal="center" vertical="center"/>
    </xf>
    <xf numFmtId="1" fontId="4" fillId="7" borderId="1" xfId="0" applyNumberFormat="1" applyFont="1" applyFill="1" applyBorder="1" applyAlignment="1">
      <alignment horizontal="center" vertical="center"/>
    </xf>
    <xf numFmtId="1" fontId="4" fillId="4" borderId="1" xfId="0" applyNumberFormat="1" applyFont="1" applyFill="1" applyBorder="1" applyAlignment="1" applyProtection="1">
      <alignment horizontal="center" vertical="center"/>
      <protection locked="0"/>
    </xf>
    <xf numFmtId="1" fontId="6" fillId="8" borderId="1" xfId="0" applyNumberFormat="1" applyFont="1" applyFill="1" applyBorder="1" applyAlignment="1" applyProtection="1">
      <alignment horizontal="center" vertical="center"/>
      <protection locked="0"/>
    </xf>
    <xf numFmtId="1" fontId="4" fillId="8" borderId="1" xfId="0" applyNumberFormat="1" applyFont="1" applyFill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left" vertical="center"/>
      <protection locked="0"/>
    </xf>
    <xf numFmtId="0" fontId="1" fillId="5" borderId="1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6" fillId="7" borderId="1" xfId="0" applyFont="1" applyFill="1" applyBorder="1" applyAlignment="1" applyProtection="1">
      <alignment horizontal="center" vertical="center"/>
      <protection locked="0"/>
    </xf>
    <xf numFmtId="49" fontId="6" fillId="4" borderId="1" xfId="0" applyNumberFormat="1" applyFont="1" applyFill="1" applyBorder="1" applyAlignment="1" applyProtection="1">
      <alignment horizontal="center" vertical="center"/>
      <protection locked="0"/>
    </xf>
    <xf numFmtId="0" fontId="6" fillId="7" borderId="1" xfId="0" applyFont="1" applyFill="1" applyBorder="1" applyAlignment="1" applyProtection="1">
      <alignment horizontal="left" vertical="center"/>
      <protection locked="0"/>
    </xf>
    <xf numFmtId="1" fontId="6" fillId="4" borderId="1" xfId="0" applyNumberFormat="1" applyFont="1" applyFill="1" applyBorder="1" applyAlignment="1" applyProtection="1">
      <alignment horizontal="center" vertical="center"/>
      <protection locked="0"/>
    </xf>
    <xf numFmtId="0" fontId="6" fillId="8" borderId="1" xfId="0" applyFont="1" applyFill="1" applyBorder="1" applyAlignment="1" applyProtection="1">
      <alignment horizontal="center" vertical="center"/>
      <protection locked="0"/>
    </xf>
    <xf numFmtId="0" fontId="6" fillId="9" borderId="1" xfId="0" applyFont="1" applyFill="1" applyBorder="1" applyAlignment="1" applyProtection="1">
      <alignment horizontal="center" vertical="center"/>
      <protection locked="0"/>
    </xf>
    <xf numFmtId="0" fontId="6" fillId="9" borderId="1" xfId="0" applyFont="1" applyFill="1" applyBorder="1" applyAlignment="1" applyProtection="1">
      <alignment horizontal="left" vertical="center"/>
      <protection locked="0"/>
    </xf>
    <xf numFmtId="1" fontId="4" fillId="10" borderId="1" xfId="0" applyNumberFormat="1" applyFont="1" applyFill="1" applyBorder="1" applyAlignment="1" applyProtection="1">
      <alignment horizontal="center" vertical="center"/>
      <protection locked="0"/>
    </xf>
    <xf numFmtId="0" fontId="4" fillId="3" borderId="1" xfId="0" applyFont="1" applyFill="1" applyBorder="1" applyAlignment="1" applyProtection="1">
      <alignment horizontal="right" vertical="center"/>
      <protection locked="0"/>
    </xf>
    <xf numFmtId="0" fontId="1" fillId="5" borderId="1" xfId="0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vertical="center"/>
    </xf>
    <xf numFmtId="49" fontId="6" fillId="7" borderId="1" xfId="0" applyNumberFormat="1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left" vertical="center"/>
    </xf>
    <xf numFmtId="0" fontId="4" fillId="7" borderId="1" xfId="0" applyFont="1" applyFill="1" applyBorder="1" applyAlignment="1">
      <alignment horizontal="center" vertical="center"/>
    </xf>
    <xf numFmtId="0" fontId="6" fillId="9" borderId="1" xfId="0" applyFont="1" applyFill="1" applyBorder="1" applyAlignment="1">
      <alignment horizontal="center" vertical="center"/>
    </xf>
    <xf numFmtId="49" fontId="6" fillId="9" borderId="1" xfId="0" applyNumberFormat="1" applyFont="1" applyFill="1" applyBorder="1" applyAlignment="1">
      <alignment horizontal="center" vertical="center"/>
    </xf>
    <xf numFmtId="0" fontId="6" fillId="9" borderId="1" xfId="0" applyFont="1" applyFill="1" applyBorder="1" applyAlignment="1">
      <alignment horizontal="left" vertical="center"/>
    </xf>
    <xf numFmtId="0" fontId="4" fillId="9" borderId="1" xfId="0" applyFont="1" applyFill="1" applyBorder="1" applyAlignment="1">
      <alignment horizontal="center" vertical="center"/>
    </xf>
    <xf numFmtId="1" fontId="6" fillId="9" borderId="1" xfId="0" applyNumberFormat="1" applyFont="1" applyFill="1" applyBorder="1" applyAlignment="1">
      <alignment horizontal="center" vertical="center"/>
    </xf>
    <xf numFmtId="1" fontId="4" fillId="10" borderId="1" xfId="0" applyNumberFormat="1" applyFont="1" applyFill="1" applyBorder="1" applyAlignment="1">
      <alignment horizontal="center" vertical="center"/>
    </xf>
    <xf numFmtId="0" fontId="11" fillId="11" borderId="0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right" vertical="center"/>
    </xf>
    <xf numFmtId="17" fontId="4" fillId="4" borderId="2" xfId="0" applyNumberFormat="1" applyFont="1" applyFill="1" applyBorder="1" applyAlignment="1" applyProtection="1">
      <alignment horizontal="left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6D8"/>
      <rgbColor rgb="FFEAF0FA"/>
      <rgbColor rgb="FF660066"/>
      <rgbColor rgb="FFFF8080"/>
      <rgbColor rgb="FF0066CC"/>
      <rgbColor rgb="FFD9E1F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2F2F2"/>
      <rgbColor rgb="FFEDEDED"/>
      <rgbColor rgb="FFFFF2CC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C55A11"/>
      <rgbColor rgb="FF595959"/>
      <rgbColor rgb="FF969696"/>
      <rgbColor rgb="FF1F3864"/>
      <rgbColor rgb="FF339966"/>
      <rgbColor rgb="FF003300"/>
      <rgbColor rgb="FF333300"/>
      <rgbColor rgb="FF993300"/>
      <rgbColor rgb="FF993366"/>
      <rgbColor rgb="FF2E5496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704850</xdr:colOff>
      <xdr:row>5</xdr:row>
      <xdr:rowOff>151920</xdr:rowOff>
    </xdr:to>
    <xdr:pic>
      <xdr:nvPicPr>
        <xdr:cNvPr id="2" name="Image 1" descr="Picture"/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0"/>
          <a:ext cx="11991975" cy="139017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1</xdr:colOff>
      <xdr:row>148</xdr:row>
      <xdr:rowOff>0</xdr:rowOff>
    </xdr:from>
    <xdr:to>
      <xdr:col>12</xdr:col>
      <xdr:colOff>428626</xdr:colOff>
      <xdr:row>155</xdr:row>
      <xdr:rowOff>9000</xdr:rowOff>
    </xdr:to>
    <xdr:pic>
      <xdr:nvPicPr>
        <xdr:cNvPr id="3" name="Image 2" descr="Picture"/>
        <xdr:cNvPicPr/>
      </xdr:nvPicPr>
      <xdr:blipFill>
        <a:blip xmlns:r="http://schemas.openxmlformats.org/officeDocument/2006/relationships" r:embed="rId2"/>
        <a:stretch/>
      </xdr:blipFill>
      <xdr:spPr>
        <a:xfrm>
          <a:off x="1" y="29718000"/>
          <a:ext cx="12515850" cy="134250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567"/>
  <sheetViews>
    <sheetView zoomScaleNormal="100" workbookViewId="0">
      <pane ySplit="1" topLeftCell="A2" activePane="bottomLeft" state="frozen"/>
      <selection pane="bottomLeft"/>
    </sheetView>
  </sheetViews>
  <sheetFormatPr baseColWidth="10" defaultColWidth="8.7109375" defaultRowHeight="15" x14ac:dyDescent="0.25"/>
  <cols>
    <col min="1" max="1" width="16" customWidth="1"/>
    <col min="2" max="2" width="38" customWidth="1"/>
    <col min="3" max="3" width="30" customWidth="1"/>
    <col min="4" max="4" width="16" customWidth="1"/>
    <col min="5" max="5" width="18" customWidth="1"/>
    <col min="6" max="6" width="40" customWidth="1"/>
    <col min="8" max="8" width="16" customWidth="1"/>
    <col min="9" max="9" width="34" customWidth="1"/>
    <col min="10" max="10" width="14" customWidth="1"/>
  </cols>
  <sheetData>
    <row r="1" spans="1:10" x14ac:dyDescent="0.25">
      <c r="A1" s="15" t="s">
        <v>0</v>
      </c>
      <c r="B1" s="15" t="s">
        <v>1</v>
      </c>
      <c r="C1" s="15" t="s">
        <v>2</v>
      </c>
      <c r="D1" s="15" t="s">
        <v>3</v>
      </c>
      <c r="E1" s="15" t="s">
        <v>4</v>
      </c>
      <c r="F1" s="15" t="s">
        <v>5</v>
      </c>
      <c r="H1" s="15" t="s">
        <v>6</v>
      </c>
      <c r="I1" s="15" t="s">
        <v>7</v>
      </c>
      <c r="J1" s="15" t="s">
        <v>8</v>
      </c>
    </row>
    <row r="2" spans="1:10" x14ac:dyDescent="0.25">
      <c r="A2" s="16" t="s">
        <v>9</v>
      </c>
      <c r="B2" s="17" t="s">
        <v>10</v>
      </c>
      <c r="C2" s="17" t="s">
        <v>11</v>
      </c>
      <c r="D2" s="17" t="s">
        <v>12</v>
      </c>
      <c r="E2" s="17" t="s">
        <v>13</v>
      </c>
      <c r="F2" s="16" t="s">
        <v>14</v>
      </c>
      <c r="H2" s="16" t="s">
        <v>15</v>
      </c>
      <c r="I2" s="17" t="s">
        <v>16</v>
      </c>
      <c r="J2" s="17" t="s">
        <v>12</v>
      </c>
    </row>
    <row r="3" spans="1:10" x14ac:dyDescent="0.25">
      <c r="A3" s="16" t="s">
        <v>17</v>
      </c>
      <c r="B3" s="17" t="s">
        <v>18</v>
      </c>
      <c r="C3" s="17" t="s">
        <v>11</v>
      </c>
      <c r="D3" s="17" t="s">
        <v>19</v>
      </c>
      <c r="E3" s="17" t="s">
        <v>20</v>
      </c>
      <c r="F3" s="16" t="s">
        <v>21</v>
      </c>
      <c r="H3" s="16" t="s">
        <v>22</v>
      </c>
      <c r="I3" s="17" t="s">
        <v>23</v>
      </c>
      <c r="J3" s="17" t="s">
        <v>12</v>
      </c>
    </row>
    <row r="4" spans="1:10" x14ac:dyDescent="0.25">
      <c r="A4" s="16" t="s">
        <v>24</v>
      </c>
      <c r="B4" s="17" t="s">
        <v>25</v>
      </c>
      <c r="C4" s="17" t="s">
        <v>11</v>
      </c>
      <c r="D4" s="17" t="s">
        <v>26</v>
      </c>
      <c r="E4" s="17" t="s">
        <v>20</v>
      </c>
      <c r="F4" s="16" t="s">
        <v>27</v>
      </c>
      <c r="H4" s="16" t="s">
        <v>28</v>
      </c>
      <c r="I4" s="17" t="s">
        <v>29</v>
      </c>
      <c r="J4" s="17" t="s">
        <v>12</v>
      </c>
    </row>
    <row r="5" spans="1:10" x14ac:dyDescent="0.25">
      <c r="A5" s="16" t="s">
        <v>30</v>
      </c>
      <c r="B5" s="17" t="s">
        <v>31</v>
      </c>
      <c r="C5" s="17" t="s">
        <v>11</v>
      </c>
      <c r="D5" s="17" t="s">
        <v>32</v>
      </c>
      <c r="E5" s="17" t="s">
        <v>20</v>
      </c>
      <c r="F5" s="16" t="s">
        <v>33</v>
      </c>
      <c r="H5" s="16" t="s">
        <v>34</v>
      </c>
      <c r="I5" s="17" t="s">
        <v>35</v>
      </c>
      <c r="J5" s="17" t="s">
        <v>36</v>
      </c>
    </row>
    <row r="6" spans="1:10" x14ac:dyDescent="0.25">
      <c r="A6" s="16" t="s">
        <v>37</v>
      </c>
      <c r="B6" s="17" t="s">
        <v>38</v>
      </c>
      <c r="C6" s="17" t="s">
        <v>11</v>
      </c>
      <c r="D6" s="17" t="s">
        <v>12</v>
      </c>
      <c r="E6" s="17" t="s">
        <v>13</v>
      </c>
      <c r="F6" s="16" t="s">
        <v>39</v>
      </c>
      <c r="H6" s="16" t="s">
        <v>40</v>
      </c>
      <c r="I6" s="17" t="s">
        <v>41</v>
      </c>
      <c r="J6" s="17" t="s">
        <v>12</v>
      </c>
    </row>
    <row r="7" spans="1:10" x14ac:dyDescent="0.25">
      <c r="A7" s="16" t="s">
        <v>42</v>
      </c>
      <c r="B7" s="17" t="s">
        <v>43</v>
      </c>
      <c r="C7" s="17" t="s">
        <v>11</v>
      </c>
      <c r="D7" s="17" t="s">
        <v>32</v>
      </c>
      <c r="E7" s="17" t="s">
        <v>20</v>
      </c>
      <c r="F7" s="16" t="s">
        <v>44</v>
      </c>
      <c r="H7" s="16" t="s">
        <v>45</v>
      </c>
      <c r="I7" s="17" t="s">
        <v>46</v>
      </c>
      <c r="J7" s="17" t="s">
        <v>12</v>
      </c>
    </row>
    <row r="8" spans="1:10" x14ac:dyDescent="0.25">
      <c r="A8" s="16" t="s">
        <v>47</v>
      </c>
      <c r="B8" s="17" t="s">
        <v>48</v>
      </c>
      <c r="C8" s="17" t="s">
        <v>11</v>
      </c>
      <c r="D8" s="17" t="s">
        <v>12</v>
      </c>
      <c r="E8" s="17" t="s">
        <v>13</v>
      </c>
      <c r="F8" s="16" t="s">
        <v>49</v>
      </c>
      <c r="H8" s="16" t="s">
        <v>50</v>
      </c>
      <c r="I8" s="17" t="s">
        <v>51</v>
      </c>
      <c r="J8" s="17" t="s">
        <v>12</v>
      </c>
    </row>
    <row r="9" spans="1:10" x14ac:dyDescent="0.25">
      <c r="A9" s="16" t="s">
        <v>52</v>
      </c>
      <c r="B9" s="17" t="s">
        <v>53</v>
      </c>
      <c r="C9" s="17" t="s">
        <v>11</v>
      </c>
      <c r="D9" s="17" t="s">
        <v>12</v>
      </c>
      <c r="E9" s="17" t="s">
        <v>13</v>
      </c>
      <c r="F9" s="16" t="s">
        <v>54</v>
      </c>
      <c r="H9" s="16" t="s">
        <v>55</v>
      </c>
      <c r="I9" s="17" t="s">
        <v>56</v>
      </c>
      <c r="J9" s="17" t="s">
        <v>12</v>
      </c>
    </row>
    <row r="10" spans="1:10" x14ac:dyDescent="0.25">
      <c r="A10" s="16" t="s">
        <v>57</v>
      </c>
      <c r="B10" s="17" t="s">
        <v>58</v>
      </c>
      <c r="C10" s="17" t="s">
        <v>11</v>
      </c>
      <c r="D10" s="17" t="s">
        <v>59</v>
      </c>
      <c r="E10" s="17" t="s">
        <v>13</v>
      </c>
      <c r="F10" s="16" t="s">
        <v>60</v>
      </c>
      <c r="H10" s="16" t="s">
        <v>61</v>
      </c>
      <c r="I10" s="17" t="s">
        <v>62</v>
      </c>
      <c r="J10" s="17" t="s">
        <v>26</v>
      </c>
    </row>
    <row r="11" spans="1:10" x14ac:dyDescent="0.25">
      <c r="A11" s="16" t="s">
        <v>63</v>
      </c>
      <c r="B11" s="17" t="s">
        <v>64</v>
      </c>
      <c r="C11" s="17" t="s">
        <v>11</v>
      </c>
      <c r="D11" s="17" t="s">
        <v>12</v>
      </c>
      <c r="E11" s="17" t="s">
        <v>13</v>
      </c>
      <c r="F11" s="16" t="s">
        <v>65</v>
      </c>
      <c r="H11" s="16" t="s">
        <v>66</v>
      </c>
      <c r="I11" s="17" t="s">
        <v>67</v>
      </c>
      <c r="J11" s="17" t="s">
        <v>68</v>
      </c>
    </row>
    <row r="12" spans="1:10" x14ac:dyDescent="0.25">
      <c r="A12" s="16" t="s">
        <v>69</v>
      </c>
      <c r="B12" s="17" t="s">
        <v>70</v>
      </c>
      <c r="C12" s="17" t="s">
        <v>11</v>
      </c>
      <c r="D12" s="17" t="s">
        <v>12</v>
      </c>
      <c r="E12" s="17" t="s">
        <v>13</v>
      </c>
      <c r="F12" s="16" t="s">
        <v>71</v>
      </c>
      <c r="H12" s="16" t="s">
        <v>72</v>
      </c>
      <c r="I12" s="17" t="s">
        <v>73</v>
      </c>
      <c r="J12" s="17" t="s">
        <v>74</v>
      </c>
    </row>
    <row r="13" spans="1:10" x14ac:dyDescent="0.25">
      <c r="A13" s="16" t="s">
        <v>75</v>
      </c>
      <c r="B13" s="17" t="s">
        <v>76</v>
      </c>
      <c r="C13" s="17" t="s">
        <v>11</v>
      </c>
      <c r="D13" s="17" t="s">
        <v>12</v>
      </c>
      <c r="E13" s="17" t="s">
        <v>13</v>
      </c>
      <c r="F13" s="16" t="s">
        <v>77</v>
      </c>
      <c r="H13" s="16" t="s">
        <v>78</v>
      </c>
      <c r="I13" s="17" t="s">
        <v>79</v>
      </c>
      <c r="J13" s="17" t="s">
        <v>80</v>
      </c>
    </row>
    <row r="14" spans="1:10" x14ac:dyDescent="0.25">
      <c r="A14" s="16" t="s">
        <v>81</v>
      </c>
      <c r="B14" s="17" t="s">
        <v>82</v>
      </c>
      <c r="C14" s="17" t="s">
        <v>11</v>
      </c>
      <c r="D14" s="17" t="s">
        <v>83</v>
      </c>
      <c r="E14" s="17" t="s">
        <v>20</v>
      </c>
      <c r="F14" s="16" t="s">
        <v>84</v>
      </c>
      <c r="H14" s="16" t="s">
        <v>85</v>
      </c>
      <c r="I14" s="17" t="s">
        <v>86</v>
      </c>
      <c r="J14" s="17" t="s">
        <v>74</v>
      </c>
    </row>
    <row r="15" spans="1:10" x14ac:dyDescent="0.25">
      <c r="A15" s="16" t="s">
        <v>87</v>
      </c>
      <c r="B15" s="17" t="s">
        <v>88</v>
      </c>
      <c r="C15" s="17" t="s">
        <v>11</v>
      </c>
      <c r="D15" s="17" t="s">
        <v>89</v>
      </c>
      <c r="E15" s="17" t="s">
        <v>20</v>
      </c>
      <c r="F15" s="16" t="s">
        <v>90</v>
      </c>
      <c r="H15" s="16" t="s">
        <v>91</v>
      </c>
      <c r="I15" s="17" t="s">
        <v>92</v>
      </c>
      <c r="J15" s="17" t="s">
        <v>12</v>
      </c>
    </row>
    <row r="16" spans="1:10" x14ac:dyDescent="0.25">
      <c r="A16" s="16" t="s">
        <v>93</v>
      </c>
      <c r="B16" s="17" t="s">
        <v>94</v>
      </c>
      <c r="C16" s="17" t="s">
        <v>11</v>
      </c>
      <c r="D16" s="17" t="s">
        <v>32</v>
      </c>
      <c r="E16" s="17" t="s">
        <v>20</v>
      </c>
      <c r="F16" s="16" t="s">
        <v>95</v>
      </c>
      <c r="H16" s="16" t="s">
        <v>96</v>
      </c>
      <c r="I16" s="17" t="s">
        <v>97</v>
      </c>
      <c r="J16" s="17" t="s">
        <v>68</v>
      </c>
    </row>
    <row r="17" spans="1:10" x14ac:dyDescent="0.25">
      <c r="A17" s="16" t="s">
        <v>98</v>
      </c>
      <c r="B17" s="17" t="s">
        <v>99</v>
      </c>
      <c r="C17" s="17" t="s">
        <v>11</v>
      </c>
      <c r="D17" s="17" t="s">
        <v>12</v>
      </c>
      <c r="E17" s="17" t="s">
        <v>13</v>
      </c>
      <c r="F17" s="16" t="s">
        <v>100</v>
      </c>
      <c r="H17" s="16" t="s">
        <v>101</v>
      </c>
      <c r="I17" s="17" t="s">
        <v>102</v>
      </c>
      <c r="J17" s="17" t="s">
        <v>26</v>
      </c>
    </row>
    <row r="18" spans="1:10" x14ac:dyDescent="0.25">
      <c r="A18" s="16" t="s">
        <v>103</v>
      </c>
      <c r="B18" s="17" t="s">
        <v>104</v>
      </c>
      <c r="C18" s="17" t="s">
        <v>11</v>
      </c>
      <c r="D18" s="17" t="s">
        <v>12</v>
      </c>
      <c r="E18" s="17" t="s">
        <v>13</v>
      </c>
      <c r="F18" s="16" t="s">
        <v>105</v>
      </c>
      <c r="H18" s="16" t="s">
        <v>106</v>
      </c>
      <c r="I18" s="17" t="s">
        <v>107</v>
      </c>
      <c r="J18" s="17" t="s">
        <v>12</v>
      </c>
    </row>
    <row r="19" spans="1:10" x14ac:dyDescent="0.25">
      <c r="A19" s="16" t="s">
        <v>108</v>
      </c>
      <c r="B19" s="17" t="s">
        <v>109</v>
      </c>
      <c r="C19" s="17" t="s">
        <v>11</v>
      </c>
      <c r="D19" s="17" t="s">
        <v>12</v>
      </c>
      <c r="E19" s="17" t="s">
        <v>13</v>
      </c>
      <c r="F19" s="16" t="s">
        <v>110</v>
      </c>
      <c r="H19" s="16" t="s">
        <v>111</v>
      </c>
      <c r="I19" s="17" t="s">
        <v>112</v>
      </c>
      <c r="J19" s="17" t="s">
        <v>12</v>
      </c>
    </row>
    <row r="20" spans="1:10" x14ac:dyDescent="0.25">
      <c r="A20" s="16" t="s">
        <v>113</v>
      </c>
      <c r="B20" s="17" t="s">
        <v>114</v>
      </c>
      <c r="C20" s="17" t="s">
        <v>11</v>
      </c>
      <c r="D20" s="17" t="s">
        <v>32</v>
      </c>
      <c r="E20" s="17" t="s">
        <v>20</v>
      </c>
      <c r="F20" s="16" t="s">
        <v>115</v>
      </c>
      <c r="H20" s="16" t="s">
        <v>116</v>
      </c>
      <c r="I20" s="17" t="s">
        <v>117</v>
      </c>
      <c r="J20" s="17" t="s">
        <v>12</v>
      </c>
    </row>
    <row r="21" spans="1:10" x14ac:dyDescent="0.25">
      <c r="A21" s="16" t="s">
        <v>118</v>
      </c>
      <c r="B21" s="17" t="s">
        <v>119</v>
      </c>
      <c r="C21" s="17" t="s">
        <v>11</v>
      </c>
      <c r="D21" s="17" t="s">
        <v>12</v>
      </c>
      <c r="E21" s="17" t="s">
        <v>13</v>
      </c>
      <c r="F21" s="16" t="s">
        <v>120</v>
      </c>
      <c r="H21" s="16" t="s">
        <v>121</v>
      </c>
      <c r="I21" s="17" t="s">
        <v>122</v>
      </c>
      <c r="J21" s="17" t="s">
        <v>12</v>
      </c>
    </row>
    <row r="22" spans="1:10" x14ac:dyDescent="0.25">
      <c r="A22" s="16" t="s">
        <v>123</v>
      </c>
      <c r="B22" s="17" t="s">
        <v>124</v>
      </c>
      <c r="C22" s="17" t="s">
        <v>11</v>
      </c>
      <c r="D22" s="17" t="s">
        <v>19</v>
      </c>
      <c r="E22" s="17" t="s">
        <v>20</v>
      </c>
      <c r="F22" s="16" t="s">
        <v>125</v>
      </c>
      <c r="H22" s="16" t="s">
        <v>126</v>
      </c>
      <c r="I22" s="17" t="s">
        <v>127</v>
      </c>
      <c r="J22" s="17" t="s">
        <v>12</v>
      </c>
    </row>
    <row r="23" spans="1:10" x14ac:dyDescent="0.25">
      <c r="A23" s="16" t="s">
        <v>128</v>
      </c>
      <c r="B23" s="17" t="s">
        <v>129</v>
      </c>
      <c r="C23" s="17" t="s">
        <v>11</v>
      </c>
      <c r="D23" s="17" t="s">
        <v>12</v>
      </c>
      <c r="E23" s="17" t="s">
        <v>13</v>
      </c>
      <c r="F23" s="16" t="s">
        <v>130</v>
      </c>
      <c r="H23" s="16" t="s">
        <v>131</v>
      </c>
      <c r="I23" s="17" t="s">
        <v>132</v>
      </c>
      <c r="J23" s="17" t="s">
        <v>12</v>
      </c>
    </row>
    <row r="24" spans="1:10" x14ac:dyDescent="0.25">
      <c r="A24" s="16" t="s">
        <v>133</v>
      </c>
      <c r="B24" s="17" t="s">
        <v>134</v>
      </c>
      <c r="C24" s="17" t="s">
        <v>11</v>
      </c>
      <c r="D24" s="17" t="s">
        <v>12</v>
      </c>
      <c r="E24" s="17" t="s">
        <v>13</v>
      </c>
      <c r="F24" s="16" t="s">
        <v>135</v>
      </c>
      <c r="H24" s="16" t="s">
        <v>136</v>
      </c>
      <c r="I24" s="17" t="s">
        <v>137</v>
      </c>
      <c r="J24" s="17" t="s">
        <v>12</v>
      </c>
    </row>
    <row r="25" spans="1:10" x14ac:dyDescent="0.25">
      <c r="A25" s="16" t="s">
        <v>138</v>
      </c>
      <c r="B25" s="17" t="s">
        <v>139</v>
      </c>
      <c r="C25" s="17" t="s">
        <v>11</v>
      </c>
      <c r="D25" s="17" t="s">
        <v>12</v>
      </c>
      <c r="E25" s="17" t="s">
        <v>13</v>
      </c>
      <c r="F25" s="16" t="s">
        <v>140</v>
      </c>
      <c r="H25" s="16" t="s">
        <v>141</v>
      </c>
      <c r="I25" s="17" t="s">
        <v>142</v>
      </c>
      <c r="J25" s="17" t="s">
        <v>12</v>
      </c>
    </row>
    <row r="26" spans="1:10" x14ac:dyDescent="0.25">
      <c r="A26" s="16" t="s">
        <v>143</v>
      </c>
      <c r="B26" s="17" t="s">
        <v>144</v>
      </c>
      <c r="C26" s="17" t="s">
        <v>11</v>
      </c>
      <c r="D26" s="17" t="s">
        <v>12</v>
      </c>
      <c r="E26" s="17" t="s">
        <v>13</v>
      </c>
      <c r="F26" s="16" t="s">
        <v>145</v>
      </c>
      <c r="H26" s="16" t="s">
        <v>146</v>
      </c>
      <c r="I26" s="17" t="s">
        <v>147</v>
      </c>
      <c r="J26" s="17" t="s">
        <v>148</v>
      </c>
    </row>
    <row r="27" spans="1:10" x14ac:dyDescent="0.25">
      <c r="A27" s="16" t="s">
        <v>149</v>
      </c>
      <c r="B27" s="17" t="s">
        <v>150</v>
      </c>
      <c r="C27" s="17" t="s">
        <v>11</v>
      </c>
      <c r="D27" s="17" t="s">
        <v>12</v>
      </c>
      <c r="E27" s="17" t="s">
        <v>13</v>
      </c>
      <c r="F27" s="16" t="s">
        <v>151</v>
      </c>
      <c r="H27" s="16" t="s">
        <v>152</v>
      </c>
      <c r="I27" s="17" t="s">
        <v>153</v>
      </c>
      <c r="J27" s="17" t="s">
        <v>12</v>
      </c>
    </row>
    <row r="28" spans="1:10" x14ac:dyDescent="0.25">
      <c r="A28" s="16" t="s">
        <v>154</v>
      </c>
      <c r="B28" s="17" t="s">
        <v>155</v>
      </c>
      <c r="C28" s="17" t="s">
        <v>11</v>
      </c>
      <c r="D28" s="17" t="s">
        <v>12</v>
      </c>
      <c r="E28" s="17" t="s">
        <v>13</v>
      </c>
      <c r="F28" s="16" t="s">
        <v>156</v>
      </c>
      <c r="H28" s="16" t="s">
        <v>157</v>
      </c>
      <c r="I28" s="17" t="s">
        <v>158</v>
      </c>
      <c r="J28" s="17" t="s">
        <v>12</v>
      </c>
    </row>
    <row r="29" spans="1:10" x14ac:dyDescent="0.25">
      <c r="A29" s="16" t="s">
        <v>159</v>
      </c>
      <c r="B29" s="17" t="s">
        <v>160</v>
      </c>
      <c r="C29" s="17" t="s">
        <v>11</v>
      </c>
      <c r="D29" s="17" t="s">
        <v>32</v>
      </c>
      <c r="E29" s="17" t="s">
        <v>20</v>
      </c>
      <c r="F29" s="16" t="s">
        <v>161</v>
      </c>
      <c r="H29" s="16" t="s">
        <v>162</v>
      </c>
      <c r="I29" s="17" t="s">
        <v>163</v>
      </c>
      <c r="J29" s="17" t="s">
        <v>12</v>
      </c>
    </row>
    <row r="30" spans="1:10" x14ac:dyDescent="0.25">
      <c r="A30" s="16" t="s">
        <v>164</v>
      </c>
      <c r="B30" s="17" t="s">
        <v>165</v>
      </c>
      <c r="C30" s="17" t="s">
        <v>11</v>
      </c>
      <c r="D30" s="17" t="s">
        <v>12</v>
      </c>
      <c r="E30" s="17" t="s">
        <v>13</v>
      </c>
      <c r="F30" s="16" t="s">
        <v>166</v>
      </c>
      <c r="H30" s="16" t="s">
        <v>167</v>
      </c>
      <c r="I30" s="17" t="s">
        <v>168</v>
      </c>
      <c r="J30" s="17" t="s">
        <v>74</v>
      </c>
    </row>
    <row r="31" spans="1:10" x14ac:dyDescent="0.25">
      <c r="A31" s="16" t="s">
        <v>169</v>
      </c>
      <c r="B31" s="17" t="s">
        <v>170</v>
      </c>
      <c r="C31" s="17" t="s">
        <v>11</v>
      </c>
      <c r="D31" s="17" t="s">
        <v>171</v>
      </c>
      <c r="E31" s="17" t="s">
        <v>13</v>
      </c>
      <c r="F31" s="16" t="s">
        <v>172</v>
      </c>
      <c r="H31" s="16" t="s">
        <v>173</v>
      </c>
      <c r="I31" s="17" t="s">
        <v>174</v>
      </c>
      <c r="J31" s="17" t="s">
        <v>12</v>
      </c>
    </row>
    <row r="32" spans="1:10" x14ac:dyDescent="0.25">
      <c r="A32" s="16" t="s">
        <v>175</v>
      </c>
      <c r="B32" s="17" t="s">
        <v>176</v>
      </c>
      <c r="C32" s="17" t="s">
        <v>11</v>
      </c>
      <c r="D32" s="17" t="s">
        <v>32</v>
      </c>
      <c r="E32" s="17" t="s">
        <v>20</v>
      </c>
      <c r="F32" s="16" t="s">
        <v>177</v>
      </c>
      <c r="H32" s="16" t="s">
        <v>178</v>
      </c>
      <c r="I32" s="17" t="s">
        <v>179</v>
      </c>
      <c r="J32" s="17" t="s">
        <v>12</v>
      </c>
    </row>
    <row r="33" spans="1:10" x14ac:dyDescent="0.25">
      <c r="A33" s="16" t="s">
        <v>180</v>
      </c>
      <c r="B33" s="17" t="s">
        <v>181</v>
      </c>
      <c r="C33" s="17" t="s">
        <v>11</v>
      </c>
      <c r="D33" s="17" t="s">
        <v>182</v>
      </c>
      <c r="E33" s="17" t="s">
        <v>20</v>
      </c>
      <c r="F33" s="16" t="s">
        <v>183</v>
      </c>
      <c r="H33" s="16" t="s">
        <v>184</v>
      </c>
      <c r="I33" s="17" t="s">
        <v>185</v>
      </c>
      <c r="J33" s="17" t="s">
        <v>186</v>
      </c>
    </row>
    <row r="34" spans="1:10" x14ac:dyDescent="0.25">
      <c r="A34" s="16" t="s">
        <v>187</v>
      </c>
      <c r="B34" s="17" t="s">
        <v>188</v>
      </c>
      <c r="C34" s="17" t="s">
        <v>11</v>
      </c>
      <c r="D34" s="17" t="s">
        <v>32</v>
      </c>
      <c r="E34" s="17" t="s">
        <v>20</v>
      </c>
      <c r="F34" s="16" t="s">
        <v>189</v>
      </c>
      <c r="H34" s="16" t="s">
        <v>190</v>
      </c>
      <c r="I34" s="17" t="s">
        <v>191</v>
      </c>
      <c r="J34" s="17" t="s">
        <v>12</v>
      </c>
    </row>
    <row r="35" spans="1:10" x14ac:dyDescent="0.25">
      <c r="A35" s="16" t="s">
        <v>192</v>
      </c>
      <c r="B35" s="17" t="s">
        <v>193</v>
      </c>
      <c r="C35" s="17" t="s">
        <v>11</v>
      </c>
      <c r="D35" s="17" t="s">
        <v>32</v>
      </c>
      <c r="E35" s="17" t="s">
        <v>20</v>
      </c>
      <c r="F35" s="16" t="s">
        <v>194</v>
      </c>
      <c r="H35" s="16" t="s">
        <v>195</v>
      </c>
      <c r="I35" s="17" t="s">
        <v>196</v>
      </c>
      <c r="J35" s="17" t="s">
        <v>12</v>
      </c>
    </row>
    <row r="36" spans="1:10" x14ac:dyDescent="0.25">
      <c r="A36" s="16" t="s">
        <v>197</v>
      </c>
      <c r="B36" s="17" t="s">
        <v>198</v>
      </c>
      <c r="C36" s="17" t="s">
        <v>11</v>
      </c>
      <c r="D36" s="17" t="s">
        <v>32</v>
      </c>
      <c r="E36" s="17" t="s">
        <v>20</v>
      </c>
      <c r="F36" s="16" t="s">
        <v>199</v>
      </c>
      <c r="H36" s="16" t="s">
        <v>200</v>
      </c>
      <c r="I36" s="17" t="s">
        <v>201</v>
      </c>
      <c r="J36" s="17" t="s">
        <v>12</v>
      </c>
    </row>
    <row r="37" spans="1:10" x14ac:dyDescent="0.25">
      <c r="A37" s="16" t="s">
        <v>202</v>
      </c>
      <c r="B37" s="17" t="s">
        <v>203</v>
      </c>
      <c r="C37" s="17" t="s">
        <v>11</v>
      </c>
      <c r="D37" s="17" t="s">
        <v>186</v>
      </c>
      <c r="E37" s="17" t="s">
        <v>20</v>
      </c>
      <c r="F37" s="16" t="s">
        <v>204</v>
      </c>
      <c r="H37" s="16" t="s">
        <v>205</v>
      </c>
      <c r="I37" s="17" t="s">
        <v>206</v>
      </c>
      <c r="J37" s="17" t="s">
        <v>12</v>
      </c>
    </row>
    <row r="38" spans="1:10" x14ac:dyDescent="0.25">
      <c r="A38" s="16" t="s">
        <v>207</v>
      </c>
      <c r="B38" s="17" t="s">
        <v>208</v>
      </c>
      <c r="C38" s="17" t="s">
        <v>11</v>
      </c>
      <c r="D38" s="17" t="s">
        <v>12</v>
      </c>
      <c r="E38" s="17" t="s">
        <v>13</v>
      </c>
      <c r="F38" s="16" t="s">
        <v>209</v>
      </c>
      <c r="H38" s="16" t="s">
        <v>210</v>
      </c>
      <c r="I38" s="17" t="s">
        <v>211</v>
      </c>
      <c r="J38" s="17" t="s">
        <v>74</v>
      </c>
    </row>
    <row r="39" spans="1:10" x14ac:dyDescent="0.25">
      <c r="A39" s="16" t="s">
        <v>212</v>
      </c>
      <c r="B39" s="17" t="s">
        <v>213</v>
      </c>
      <c r="C39" s="17" t="s">
        <v>214</v>
      </c>
      <c r="D39" s="17" t="s">
        <v>148</v>
      </c>
      <c r="E39" s="17" t="s">
        <v>20</v>
      </c>
      <c r="F39" s="16" t="s">
        <v>215</v>
      </c>
      <c r="H39" s="16" t="s">
        <v>216</v>
      </c>
      <c r="I39" s="17" t="s">
        <v>217</v>
      </c>
      <c r="J39" s="17" t="s">
        <v>68</v>
      </c>
    </row>
    <row r="40" spans="1:10" x14ac:dyDescent="0.25">
      <c r="A40" s="16" t="s">
        <v>218</v>
      </c>
      <c r="B40" s="17" t="s">
        <v>219</v>
      </c>
      <c r="C40" s="17" t="s">
        <v>11</v>
      </c>
      <c r="D40" s="17" t="s">
        <v>80</v>
      </c>
      <c r="E40" s="17" t="s">
        <v>20</v>
      </c>
      <c r="F40" s="16" t="s">
        <v>220</v>
      </c>
      <c r="H40" s="16" t="s">
        <v>221</v>
      </c>
      <c r="I40" s="17" t="s">
        <v>222</v>
      </c>
      <c r="J40" s="17" t="s">
        <v>12</v>
      </c>
    </row>
    <row r="41" spans="1:10" x14ac:dyDescent="0.25">
      <c r="A41" s="16" t="s">
        <v>223</v>
      </c>
      <c r="B41" s="17" t="s">
        <v>224</v>
      </c>
      <c r="C41" s="17" t="s">
        <v>11</v>
      </c>
      <c r="D41" s="17" t="s">
        <v>19</v>
      </c>
      <c r="E41" s="17" t="s">
        <v>20</v>
      </c>
      <c r="F41" s="16" t="s">
        <v>225</v>
      </c>
      <c r="H41" s="16" t="s">
        <v>226</v>
      </c>
      <c r="I41" s="17" t="s">
        <v>227</v>
      </c>
      <c r="J41" s="17" t="s">
        <v>12</v>
      </c>
    </row>
    <row r="42" spans="1:10" x14ac:dyDescent="0.25">
      <c r="A42" s="16" t="s">
        <v>228</v>
      </c>
      <c r="B42" s="17" t="s">
        <v>229</v>
      </c>
      <c r="C42" s="17" t="s">
        <v>11</v>
      </c>
      <c r="D42" s="17" t="s">
        <v>59</v>
      </c>
      <c r="E42" s="17" t="s">
        <v>13</v>
      </c>
      <c r="F42" s="16" t="s">
        <v>230</v>
      </c>
      <c r="H42" s="16" t="s">
        <v>231</v>
      </c>
      <c r="I42" s="17" t="s">
        <v>232</v>
      </c>
      <c r="J42" s="17" t="s">
        <v>233</v>
      </c>
    </row>
    <row r="43" spans="1:10" x14ac:dyDescent="0.25">
      <c r="A43" s="16" t="s">
        <v>234</v>
      </c>
      <c r="B43" s="17" t="s">
        <v>235</v>
      </c>
      <c r="C43" s="17" t="s">
        <v>11</v>
      </c>
      <c r="D43" s="17" t="s">
        <v>12</v>
      </c>
      <c r="E43" s="17" t="s">
        <v>13</v>
      </c>
      <c r="F43" s="16" t="s">
        <v>236</v>
      </c>
      <c r="H43" s="16" t="s">
        <v>237</v>
      </c>
      <c r="I43" s="17" t="s">
        <v>238</v>
      </c>
      <c r="J43" s="17" t="s">
        <v>74</v>
      </c>
    </row>
    <row r="44" spans="1:10" x14ac:dyDescent="0.25">
      <c r="A44" s="16" t="s">
        <v>239</v>
      </c>
      <c r="B44" s="17" t="s">
        <v>240</v>
      </c>
      <c r="C44" s="17" t="s">
        <v>11</v>
      </c>
      <c r="D44" s="17" t="s">
        <v>12</v>
      </c>
      <c r="E44" s="17" t="s">
        <v>13</v>
      </c>
      <c r="F44" s="16" t="s">
        <v>241</v>
      </c>
      <c r="H44" s="16" t="s">
        <v>242</v>
      </c>
      <c r="I44" s="17" t="s">
        <v>243</v>
      </c>
      <c r="J44" s="17" t="s">
        <v>244</v>
      </c>
    </row>
    <row r="45" spans="1:10" x14ac:dyDescent="0.25">
      <c r="A45" s="16" t="s">
        <v>245</v>
      </c>
      <c r="B45" s="17" t="s">
        <v>246</v>
      </c>
      <c r="C45" s="17" t="s">
        <v>11</v>
      </c>
      <c r="D45" s="17" t="s">
        <v>12</v>
      </c>
      <c r="E45" s="17" t="s">
        <v>13</v>
      </c>
      <c r="F45" s="16" t="s">
        <v>247</v>
      </c>
      <c r="H45" s="16" t="s">
        <v>248</v>
      </c>
      <c r="I45" s="17" t="s">
        <v>249</v>
      </c>
      <c r="J45" s="17" t="s">
        <v>250</v>
      </c>
    </row>
    <row r="46" spans="1:10" x14ac:dyDescent="0.25">
      <c r="A46" s="16" t="s">
        <v>251</v>
      </c>
      <c r="B46" s="17" t="s">
        <v>252</v>
      </c>
      <c r="C46" s="17" t="s">
        <v>11</v>
      </c>
      <c r="D46" s="17" t="s">
        <v>12</v>
      </c>
      <c r="E46" s="17" t="s">
        <v>13</v>
      </c>
      <c r="F46" s="16" t="s">
        <v>253</v>
      </c>
      <c r="H46" s="16" t="s">
        <v>254</v>
      </c>
      <c r="I46" s="17" t="s">
        <v>255</v>
      </c>
      <c r="J46" s="17" t="s">
        <v>182</v>
      </c>
    </row>
    <row r="47" spans="1:10" x14ac:dyDescent="0.25">
      <c r="A47" s="16" t="s">
        <v>256</v>
      </c>
      <c r="B47" s="17" t="s">
        <v>257</v>
      </c>
      <c r="C47" s="17" t="s">
        <v>11</v>
      </c>
      <c r="D47" s="17" t="s">
        <v>12</v>
      </c>
      <c r="E47" s="17" t="s">
        <v>13</v>
      </c>
      <c r="F47" s="16" t="s">
        <v>258</v>
      </c>
      <c r="H47" s="16" t="s">
        <v>259</v>
      </c>
      <c r="I47" s="17" t="s">
        <v>260</v>
      </c>
      <c r="J47" s="17" t="s">
        <v>12</v>
      </c>
    </row>
    <row r="48" spans="1:10" x14ac:dyDescent="0.25">
      <c r="A48" s="16" t="s">
        <v>261</v>
      </c>
      <c r="B48" s="17" t="s">
        <v>262</v>
      </c>
      <c r="C48" s="17" t="s">
        <v>11</v>
      </c>
      <c r="D48" s="17" t="s">
        <v>12</v>
      </c>
      <c r="E48" s="17" t="s">
        <v>13</v>
      </c>
      <c r="F48" s="16" t="s">
        <v>263</v>
      </c>
      <c r="H48" s="16" t="s">
        <v>264</v>
      </c>
      <c r="I48" s="17" t="s">
        <v>265</v>
      </c>
      <c r="J48" s="17" t="s">
        <v>12</v>
      </c>
    </row>
    <row r="49" spans="1:10" x14ac:dyDescent="0.25">
      <c r="A49" s="16" t="s">
        <v>266</v>
      </c>
      <c r="B49" s="17" t="s">
        <v>267</v>
      </c>
      <c r="C49" s="17" t="s">
        <v>11</v>
      </c>
      <c r="D49" s="17" t="s">
        <v>12</v>
      </c>
      <c r="E49" s="17" t="s">
        <v>13</v>
      </c>
      <c r="F49" s="16" t="s">
        <v>268</v>
      </c>
      <c r="H49" s="16" t="s">
        <v>269</v>
      </c>
      <c r="I49" s="17" t="s">
        <v>270</v>
      </c>
      <c r="J49" s="17" t="s">
        <v>12</v>
      </c>
    </row>
    <row r="50" spans="1:10" x14ac:dyDescent="0.25">
      <c r="A50" s="16" t="s">
        <v>271</v>
      </c>
      <c r="B50" s="17" t="s">
        <v>272</v>
      </c>
      <c r="C50" s="17" t="s">
        <v>11</v>
      </c>
      <c r="D50" s="17" t="s">
        <v>32</v>
      </c>
      <c r="E50" s="17" t="s">
        <v>20</v>
      </c>
      <c r="F50" s="16" t="s">
        <v>273</v>
      </c>
      <c r="H50" s="16" t="s">
        <v>274</v>
      </c>
      <c r="I50" s="17" t="s">
        <v>275</v>
      </c>
      <c r="J50" s="17" t="s">
        <v>12</v>
      </c>
    </row>
    <row r="51" spans="1:10" x14ac:dyDescent="0.25">
      <c r="A51" s="16" t="s">
        <v>276</v>
      </c>
      <c r="B51" s="17" t="s">
        <v>277</v>
      </c>
      <c r="C51" s="17" t="s">
        <v>11</v>
      </c>
      <c r="D51" s="17" t="s">
        <v>12</v>
      </c>
      <c r="E51" s="17" t="s">
        <v>13</v>
      </c>
      <c r="F51" s="16" t="s">
        <v>278</v>
      </c>
      <c r="H51" s="16" t="s">
        <v>279</v>
      </c>
      <c r="I51" s="17" t="s">
        <v>280</v>
      </c>
      <c r="J51" s="17" t="s">
        <v>12</v>
      </c>
    </row>
    <row r="52" spans="1:10" x14ac:dyDescent="0.25">
      <c r="A52" s="16" t="s">
        <v>281</v>
      </c>
      <c r="B52" s="17" t="s">
        <v>282</v>
      </c>
      <c r="C52" s="17" t="s">
        <v>11</v>
      </c>
      <c r="D52" s="17" t="s">
        <v>12</v>
      </c>
      <c r="E52" s="17" t="s">
        <v>13</v>
      </c>
      <c r="F52" s="16" t="s">
        <v>283</v>
      </c>
      <c r="H52" s="16" t="s">
        <v>284</v>
      </c>
      <c r="I52" s="17" t="s">
        <v>285</v>
      </c>
      <c r="J52" s="17" t="s">
        <v>74</v>
      </c>
    </row>
    <row r="53" spans="1:10" x14ac:dyDescent="0.25">
      <c r="A53" s="16" t="s">
        <v>286</v>
      </c>
      <c r="B53" s="17" t="s">
        <v>287</v>
      </c>
      <c r="C53" s="17" t="s">
        <v>11</v>
      </c>
      <c r="D53" s="17" t="s">
        <v>12</v>
      </c>
      <c r="E53" s="17" t="s">
        <v>13</v>
      </c>
      <c r="F53" s="16" t="s">
        <v>288</v>
      </c>
      <c r="H53" s="16" t="s">
        <v>289</v>
      </c>
      <c r="I53" s="17" t="s">
        <v>290</v>
      </c>
      <c r="J53" s="17" t="s">
        <v>291</v>
      </c>
    </row>
    <row r="54" spans="1:10" x14ac:dyDescent="0.25">
      <c r="A54" s="16" t="s">
        <v>292</v>
      </c>
      <c r="B54" s="17" t="s">
        <v>293</v>
      </c>
      <c r="C54" s="17" t="s">
        <v>11</v>
      </c>
      <c r="D54" s="17" t="s">
        <v>12</v>
      </c>
      <c r="E54" s="17" t="s">
        <v>13</v>
      </c>
      <c r="F54" s="16" t="s">
        <v>294</v>
      </c>
      <c r="H54" s="16" t="s">
        <v>295</v>
      </c>
      <c r="I54" s="17" t="s">
        <v>296</v>
      </c>
      <c r="J54" s="17" t="s">
        <v>26</v>
      </c>
    </row>
    <row r="55" spans="1:10" x14ac:dyDescent="0.25">
      <c r="A55" s="16" t="s">
        <v>297</v>
      </c>
      <c r="B55" s="17" t="s">
        <v>298</v>
      </c>
      <c r="C55" s="17" t="s">
        <v>11</v>
      </c>
      <c r="D55" s="17" t="s">
        <v>12</v>
      </c>
      <c r="E55" s="17" t="s">
        <v>13</v>
      </c>
      <c r="F55" s="16" t="s">
        <v>299</v>
      </c>
      <c r="H55" s="16" t="s">
        <v>300</v>
      </c>
      <c r="I55" s="17" t="s">
        <v>301</v>
      </c>
      <c r="J55" s="17" t="s">
        <v>26</v>
      </c>
    </row>
    <row r="56" spans="1:10" x14ac:dyDescent="0.25">
      <c r="A56" s="16" t="s">
        <v>302</v>
      </c>
      <c r="B56" s="17" t="s">
        <v>303</v>
      </c>
      <c r="C56" s="17" t="s">
        <v>11</v>
      </c>
      <c r="D56" s="17" t="s">
        <v>32</v>
      </c>
      <c r="E56" s="17" t="s">
        <v>20</v>
      </c>
      <c r="F56" s="16" t="s">
        <v>304</v>
      </c>
      <c r="H56" s="16" t="s">
        <v>305</v>
      </c>
      <c r="I56" s="17" t="s">
        <v>306</v>
      </c>
      <c r="J56" s="17" t="s">
        <v>182</v>
      </c>
    </row>
    <row r="57" spans="1:10" x14ac:dyDescent="0.25">
      <c r="A57" s="16" t="s">
        <v>307</v>
      </c>
      <c r="B57" s="17" t="s">
        <v>308</v>
      </c>
      <c r="C57" s="17" t="s">
        <v>11</v>
      </c>
      <c r="D57" s="17" t="s">
        <v>12</v>
      </c>
      <c r="E57" s="17" t="s">
        <v>13</v>
      </c>
      <c r="F57" s="16" t="s">
        <v>309</v>
      </c>
      <c r="H57" s="16" t="s">
        <v>310</v>
      </c>
      <c r="I57" s="17" t="s">
        <v>311</v>
      </c>
      <c r="J57" s="17" t="s">
        <v>12</v>
      </c>
    </row>
    <row r="58" spans="1:10" x14ac:dyDescent="0.25">
      <c r="A58" s="16" t="s">
        <v>312</v>
      </c>
      <c r="B58" s="17" t="s">
        <v>313</v>
      </c>
      <c r="C58" s="17" t="s">
        <v>11</v>
      </c>
      <c r="D58" s="17" t="s">
        <v>12</v>
      </c>
      <c r="E58" s="17" t="s">
        <v>13</v>
      </c>
      <c r="F58" s="16" t="s">
        <v>314</v>
      </c>
      <c r="H58" s="16" t="s">
        <v>315</v>
      </c>
      <c r="I58" s="17" t="s">
        <v>316</v>
      </c>
      <c r="J58" s="17" t="s">
        <v>12</v>
      </c>
    </row>
    <row r="59" spans="1:10" x14ac:dyDescent="0.25">
      <c r="A59" s="16" t="s">
        <v>317</v>
      </c>
      <c r="B59" s="17" t="s">
        <v>318</v>
      </c>
      <c r="C59" s="17" t="s">
        <v>11</v>
      </c>
      <c r="D59" s="17" t="s">
        <v>12</v>
      </c>
      <c r="E59" s="17" t="s">
        <v>13</v>
      </c>
      <c r="F59" s="16" t="s">
        <v>319</v>
      </c>
      <c r="H59" s="16" t="s">
        <v>320</v>
      </c>
      <c r="I59" s="17" t="s">
        <v>321</v>
      </c>
      <c r="J59" s="17" t="s">
        <v>68</v>
      </c>
    </row>
    <row r="60" spans="1:10" x14ac:dyDescent="0.25">
      <c r="A60" s="16" t="s">
        <v>322</v>
      </c>
      <c r="B60" s="17" t="s">
        <v>323</v>
      </c>
      <c r="C60" s="17" t="s">
        <v>11</v>
      </c>
      <c r="D60" s="17" t="s">
        <v>12</v>
      </c>
      <c r="E60" s="17" t="s">
        <v>13</v>
      </c>
      <c r="F60" s="16" t="s">
        <v>324</v>
      </c>
      <c r="H60" s="16" t="s">
        <v>325</v>
      </c>
      <c r="I60" s="17" t="s">
        <v>326</v>
      </c>
      <c r="J60" s="17" t="s">
        <v>12</v>
      </c>
    </row>
    <row r="61" spans="1:10" x14ac:dyDescent="0.25">
      <c r="A61" s="16" t="s">
        <v>327</v>
      </c>
      <c r="B61" s="17" t="s">
        <v>328</v>
      </c>
      <c r="C61" s="17" t="s">
        <v>11</v>
      </c>
      <c r="D61" s="17" t="s">
        <v>12</v>
      </c>
      <c r="E61" s="17" t="s">
        <v>13</v>
      </c>
      <c r="F61" s="16" t="s">
        <v>329</v>
      </c>
      <c r="H61" s="16" t="s">
        <v>330</v>
      </c>
      <c r="I61" s="17" t="s">
        <v>331</v>
      </c>
      <c r="J61" s="17" t="s">
        <v>12</v>
      </c>
    </row>
    <row r="62" spans="1:10" x14ac:dyDescent="0.25">
      <c r="A62" s="16" t="s">
        <v>332</v>
      </c>
      <c r="B62" s="17" t="s">
        <v>333</v>
      </c>
      <c r="C62" s="17" t="s">
        <v>11</v>
      </c>
      <c r="D62" s="17" t="s">
        <v>12</v>
      </c>
      <c r="E62" s="17" t="s">
        <v>13</v>
      </c>
      <c r="F62" s="16" t="s">
        <v>334</v>
      </c>
      <c r="H62" s="16" t="s">
        <v>335</v>
      </c>
      <c r="I62" s="17" t="s">
        <v>336</v>
      </c>
      <c r="J62" s="17" t="s">
        <v>12</v>
      </c>
    </row>
    <row r="63" spans="1:10" x14ac:dyDescent="0.25">
      <c r="A63" s="16" t="s">
        <v>337</v>
      </c>
      <c r="B63" s="17" t="s">
        <v>338</v>
      </c>
      <c r="C63" s="17" t="s">
        <v>11</v>
      </c>
      <c r="D63" s="17" t="s">
        <v>12</v>
      </c>
      <c r="E63" s="17" t="s">
        <v>13</v>
      </c>
      <c r="F63" s="16" t="s">
        <v>339</v>
      </c>
      <c r="H63" s="16" t="s">
        <v>340</v>
      </c>
      <c r="I63" s="17" t="s">
        <v>341</v>
      </c>
      <c r="J63" s="17" t="s">
        <v>74</v>
      </c>
    </row>
    <row r="64" spans="1:10" x14ac:dyDescent="0.25">
      <c r="A64" s="16" t="s">
        <v>342</v>
      </c>
      <c r="B64" s="17" t="s">
        <v>343</v>
      </c>
      <c r="C64" s="17" t="s">
        <v>11</v>
      </c>
      <c r="D64" s="17" t="s">
        <v>32</v>
      </c>
      <c r="E64" s="17" t="s">
        <v>20</v>
      </c>
      <c r="F64" s="16" t="s">
        <v>344</v>
      </c>
      <c r="H64" s="16" t="s">
        <v>345</v>
      </c>
      <c r="I64" s="17" t="s">
        <v>346</v>
      </c>
      <c r="J64" s="17" t="s">
        <v>74</v>
      </c>
    </row>
    <row r="65" spans="1:10" x14ac:dyDescent="0.25">
      <c r="A65" s="16" t="s">
        <v>347</v>
      </c>
      <c r="B65" s="17" t="s">
        <v>348</v>
      </c>
      <c r="C65" s="17" t="s">
        <v>11</v>
      </c>
      <c r="D65" s="17" t="s">
        <v>12</v>
      </c>
      <c r="E65" s="17" t="s">
        <v>13</v>
      </c>
      <c r="F65" s="16" t="s">
        <v>349</v>
      </c>
      <c r="H65" s="16" t="s">
        <v>350</v>
      </c>
      <c r="I65" s="17" t="s">
        <v>351</v>
      </c>
      <c r="J65" s="17" t="s">
        <v>12</v>
      </c>
    </row>
    <row r="66" spans="1:10" x14ac:dyDescent="0.25">
      <c r="A66" s="16" t="s">
        <v>352</v>
      </c>
      <c r="B66" s="17" t="s">
        <v>353</v>
      </c>
      <c r="C66" s="17" t="s">
        <v>11</v>
      </c>
      <c r="D66" s="17" t="s">
        <v>12</v>
      </c>
      <c r="E66" s="17" t="s">
        <v>13</v>
      </c>
      <c r="F66" s="16" t="s">
        <v>354</v>
      </c>
      <c r="H66" s="16" t="s">
        <v>355</v>
      </c>
      <c r="I66" s="17" t="s">
        <v>356</v>
      </c>
      <c r="J66" s="17" t="s">
        <v>12</v>
      </c>
    </row>
    <row r="67" spans="1:10" x14ac:dyDescent="0.25">
      <c r="A67" s="16" t="s">
        <v>357</v>
      </c>
      <c r="B67" s="17" t="s">
        <v>358</v>
      </c>
      <c r="C67" s="17" t="s">
        <v>359</v>
      </c>
      <c r="D67" s="17" t="s">
        <v>32</v>
      </c>
      <c r="E67" s="17" t="s">
        <v>20</v>
      </c>
      <c r="F67" s="16" t="s">
        <v>360</v>
      </c>
      <c r="H67" s="16" t="s">
        <v>361</v>
      </c>
      <c r="I67" s="17" t="s">
        <v>362</v>
      </c>
      <c r="J67" s="17" t="s">
        <v>182</v>
      </c>
    </row>
    <row r="68" spans="1:10" x14ac:dyDescent="0.25">
      <c r="A68" s="16" t="s">
        <v>363</v>
      </c>
      <c r="B68" s="17" t="s">
        <v>364</v>
      </c>
      <c r="C68" s="17" t="s">
        <v>11</v>
      </c>
      <c r="D68" s="17" t="s">
        <v>12</v>
      </c>
      <c r="E68" s="17" t="s">
        <v>13</v>
      </c>
      <c r="F68" s="16" t="s">
        <v>365</v>
      </c>
      <c r="H68" s="16" t="s">
        <v>366</v>
      </c>
      <c r="I68" s="17" t="s">
        <v>367</v>
      </c>
      <c r="J68" s="17" t="s">
        <v>12</v>
      </c>
    </row>
    <row r="69" spans="1:10" x14ac:dyDescent="0.25">
      <c r="A69" s="16" t="s">
        <v>368</v>
      </c>
      <c r="B69" s="17" t="s">
        <v>369</v>
      </c>
      <c r="C69" s="17" t="s">
        <v>11</v>
      </c>
      <c r="D69" s="17" t="s">
        <v>12</v>
      </c>
      <c r="E69" s="17" t="s">
        <v>13</v>
      </c>
      <c r="F69" s="16" t="s">
        <v>370</v>
      </c>
      <c r="H69" s="16" t="s">
        <v>371</v>
      </c>
      <c r="I69" s="17" t="s">
        <v>372</v>
      </c>
      <c r="J69" s="17" t="s">
        <v>182</v>
      </c>
    </row>
    <row r="70" spans="1:10" x14ac:dyDescent="0.25">
      <c r="A70" s="16" t="s">
        <v>373</v>
      </c>
      <c r="B70" s="17" t="s">
        <v>374</v>
      </c>
      <c r="C70" s="17" t="s">
        <v>11</v>
      </c>
      <c r="D70" s="17" t="s">
        <v>12</v>
      </c>
      <c r="E70" s="17" t="s">
        <v>13</v>
      </c>
      <c r="F70" s="16" t="s">
        <v>375</v>
      </c>
      <c r="H70" s="16" t="s">
        <v>376</v>
      </c>
      <c r="I70" s="17" t="s">
        <v>377</v>
      </c>
      <c r="J70" s="17" t="s">
        <v>12</v>
      </c>
    </row>
    <row r="71" spans="1:10" x14ac:dyDescent="0.25">
      <c r="A71" s="16" t="s">
        <v>378</v>
      </c>
      <c r="B71" s="17" t="s">
        <v>379</v>
      </c>
      <c r="C71" s="17" t="s">
        <v>11</v>
      </c>
      <c r="D71" s="17" t="s">
        <v>12</v>
      </c>
      <c r="E71" s="17" t="s">
        <v>13</v>
      </c>
      <c r="F71" s="16" t="s">
        <v>380</v>
      </c>
      <c r="H71" s="16" t="s">
        <v>381</v>
      </c>
      <c r="I71" s="17" t="s">
        <v>382</v>
      </c>
      <c r="J71" s="17" t="s">
        <v>12</v>
      </c>
    </row>
    <row r="72" spans="1:10" x14ac:dyDescent="0.25">
      <c r="A72" s="16" t="s">
        <v>383</v>
      </c>
      <c r="B72" s="17" t="s">
        <v>384</v>
      </c>
      <c r="C72" s="17" t="s">
        <v>11</v>
      </c>
      <c r="D72" s="17" t="s">
        <v>74</v>
      </c>
      <c r="E72" s="17" t="s">
        <v>20</v>
      </c>
      <c r="F72" s="16" t="s">
        <v>385</v>
      </c>
      <c r="H72" s="16" t="s">
        <v>386</v>
      </c>
      <c r="I72" s="17" t="s">
        <v>387</v>
      </c>
      <c r="J72" s="17" t="s">
        <v>12</v>
      </c>
    </row>
    <row r="73" spans="1:10" x14ac:dyDescent="0.25">
      <c r="A73" s="16" t="s">
        <v>388</v>
      </c>
      <c r="B73" s="17" t="s">
        <v>389</v>
      </c>
      <c r="C73" s="17" t="s">
        <v>11</v>
      </c>
      <c r="D73" s="17" t="s">
        <v>12</v>
      </c>
      <c r="E73" s="17" t="s">
        <v>13</v>
      </c>
      <c r="F73" s="16" t="s">
        <v>390</v>
      </c>
      <c r="H73" s="16" t="s">
        <v>391</v>
      </c>
      <c r="I73" s="17" t="s">
        <v>392</v>
      </c>
      <c r="J73" s="17" t="s">
        <v>59</v>
      </c>
    </row>
    <row r="74" spans="1:10" x14ac:dyDescent="0.25">
      <c r="A74" s="16" t="s">
        <v>393</v>
      </c>
      <c r="B74" s="17" t="s">
        <v>394</v>
      </c>
      <c r="C74" s="17" t="s">
        <v>11</v>
      </c>
      <c r="D74" s="17" t="s">
        <v>12</v>
      </c>
      <c r="E74" s="17" t="s">
        <v>13</v>
      </c>
      <c r="F74" s="16" t="s">
        <v>395</v>
      </c>
      <c r="H74" s="16" t="s">
        <v>396</v>
      </c>
      <c r="I74" s="17" t="s">
        <v>397</v>
      </c>
      <c r="J74" s="17" t="s">
        <v>12</v>
      </c>
    </row>
    <row r="75" spans="1:10" x14ac:dyDescent="0.25">
      <c r="A75" s="16" t="s">
        <v>398</v>
      </c>
      <c r="B75" s="17" t="s">
        <v>399</v>
      </c>
      <c r="C75" s="17" t="s">
        <v>11</v>
      </c>
      <c r="D75" s="17" t="s">
        <v>59</v>
      </c>
      <c r="E75" s="17" t="s">
        <v>13</v>
      </c>
      <c r="F75" s="16" t="s">
        <v>400</v>
      </c>
      <c r="H75" s="16" t="s">
        <v>401</v>
      </c>
      <c r="I75" s="17" t="s">
        <v>402</v>
      </c>
      <c r="J75" s="17" t="s">
        <v>12</v>
      </c>
    </row>
    <row r="76" spans="1:10" x14ac:dyDescent="0.25">
      <c r="A76" s="16" t="s">
        <v>403</v>
      </c>
      <c r="B76" s="17" t="s">
        <v>404</v>
      </c>
      <c r="C76" s="17" t="s">
        <v>11</v>
      </c>
      <c r="D76" s="17" t="s">
        <v>12</v>
      </c>
      <c r="E76" s="17" t="s">
        <v>13</v>
      </c>
      <c r="F76" s="16" t="s">
        <v>405</v>
      </c>
      <c r="H76" s="16" t="s">
        <v>406</v>
      </c>
      <c r="I76" s="17" t="s">
        <v>407</v>
      </c>
      <c r="J76" s="17" t="s">
        <v>12</v>
      </c>
    </row>
    <row r="77" spans="1:10" x14ac:dyDescent="0.25">
      <c r="A77" s="16" t="s">
        <v>408</v>
      </c>
      <c r="B77" s="17" t="s">
        <v>409</v>
      </c>
      <c r="C77" s="17" t="s">
        <v>11</v>
      </c>
      <c r="D77" s="17" t="s">
        <v>32</v>
      </c>
      <c r="E77" s="17" t="s">
        <v>20</v>
      </c>
      <c r="F77" s="16" t="s">
        <v>410</v>
      </c>
      <c r="H77" s="16" t="s">
        <v>411</v>
      </c>
      <c r="I77" s="17" t="s">
        <v>412</v>
      </c>
      <c r="J77" s="17" t="s">
        <v>291</v>
      </c>
    </row>
    <row r="78" spans="1:10" x14ac:dyDescent="0.25">
      <c r="A78" s="16" t="s">
        <v>413</v>
      </c>
      <c r="B78" s="17" t="s">
        <v>414</v>
      </c>
      <c r="C78" s="17" t="s">
        <v>11</v>
      </c>
      <c r="D78" s="17" t="s">
        <v>59</v>
      </c>
      <c r="E78" s="17" t="s">
        <v>13</v>
      </c>
      <c r="F78" s="16" t="s">
        <v>415</v>
      </c>
      <c r="H78" s="16" t="s">
        <v>416</v>
      </c>
      <c r="I78" s="17" t="s">
        <v>417</v>
      </c>
      <c r="J78" s="17" t="s">
        <v>12</v>
      </c>
    </row>
    <row r="79" spans="1:10" x14ac:dyDescent="0.25">
      <c r="A79" s="16" t="s">
        <v>418</v>
      </c>
      <c r="B79" s="17" t="s">
        <v>419</v>
      </c>
      <c r="C79" s="17" t="s">
        <v>11</v>
      </c>
      <c r="D79" s="17" t="s">
        <v>12</v>
      </c>
      <c r="E79" s="17" t="s">
        <v>13</v>
      </c>
      <c r="F79" s="16" t="s">
        <v>420</v>
      </c>
      <c r="H79" s="16" t="s">
        <v>421</v>
      </c>
      <c r="I79" s="17" t="s">
        <v>422</v>
      </c>
      <c r="J79" s="17" t="s">
        <v>26</v>
      </c>
    </row>
    <row r="80" spans="1:10" x14ac:dyDescent="0.25">
      <c r="A80" s="16" t="s">
        <v>423</v>
      </c>
      <c r="B80" s="17" t="s">
        <v>424</v>
      </c>
      <c r="C80" s="17" t="s">
        <v>11</v>
      </c>
      <c r="D80" s="17" t="s">
        <v>12</v>
      </c>
      <c r="E80" s="17" t="s">
        <v>13</v>
      </c>
      <c r="F80" s="16" t="s">
        <v>425</v>
      </c>
      <c r="H80" s="16" t="s">
        <v>426</v>
      </c>
      <c r="I80" s="17" t="s">
        <v>427</v>
      </c>
      <c r="J80" s="17" t="s">
        <v>182</v>
      </c>
    </row>
    <row r="81" spans="1:10" x14ac:dyDescent="0.25">
      <c r="A81" s="16" t="s">
        <v>428</v>
      </c>
      <c r="B81" s="17" t="s">
        <v>429</v>
      </c>
      <c r="C81" s="17" t="s">
        <v>11</v>
      </c>
      <c r="D81" s="17" t="s">
        <v>12</v>
      </c>
      <c r="E81" s="17" t="s">
        <v>13</v>
      </c>
      <c r="F81" s="16" t="s">
        <v>430</v>
      </c>
      <c r="H81" s="16" t="s">
        <v>431</v>
      </c>
      <c r="I81" s="17" t="s">
        <v>432</v>
      </c>
      <c r="J81" s="17" t="s">
        <v>244</v>
      </c>
    </row>
    <row r="82" spans="1:10" x14ac:dyDescent="0.25">
      <c r="A82" s="16" t="s">
        <v>433</v>
      </c>
      <c r="B82" s="17" t="s">
        <v>434</v>
      </c>
      <c r="C82" s="17" t="s">
        <v>11</v>
      </c>
      <c r="D82" s="17" t="s">
        <v>12</v>
      </c>
      <c r="E82" s="17" t="s">
        <v>13</v>
      </c>
      <c r="F82" s="16" t="s">
        <v>435</v>
      </c>
      <c r="H82" s="16" t="s">
        <v>436</v>
      </c>
      <c r="I82" s="17" t="s">
        <v>437</v>
      </c>
      <c r="J82" s="17" t="s">
        <v>12</v>
      </c>
    </row>
    <row r="83" spans="1:10" x14ac:dyDescent="0.25">
      <c r="A83" s="16" t="s">
        <v>438</v>
      </c>
      <c r="B83" s="17" t="s">
        <v>439</v>
      </c>
      <c r="C83" s="17" t="s">
        <v>11</v>
      </c>
      <c r="D83" s="17" t="s">
        <v>12</v>
      </c>
      <c r="E83" s="17" t="s">
        <v>13</v>
      </c>
      <c r="F83" s="16" t="s">
        <v>440</v>
      </c>
      <c r="H83" s="16" t="s">
        <v>441</v>
      </c>
      <c r="I83" s="17" t="s">
        <v>442</v>
      </c>
      <c r="J83" s="17" t="s">
        <v>12</v>
      </c>
    </row>
    <row r="84" spans="1:10" x14ac:dyDescent="0.25">
      <c r="A84" s="16" t="s">
        <v>443</v>
      </c>
      <c r="B84" s="17" t="s">
        <v>444</v>
      </c>
      <c r="C84" s="17" t="s">
        <v>11</v>
      </c>
      <c r="D84" s="17" t="s">
        <v>12</v>
      </c>
      <c r="E84" s="17" t="s">
        <v>13</v>
      </c>
      <c r="F84" s="16" t="s">
        <v>445</v>
      </c>
      <c r="H84" s="16" t="s">
        <v>446</v>
      </c>
      <c r="I84" s="17" t="s">
        <v>447</v>
      </c>
      <c r="J84" s="17" t="s">
        <v>12</v>
      </c>
    </row>
    <row r="85" spans="1:10" x14ac:dyDescent="0.25">
      <c r="A85" s="16" t="s">
        <v>448</v>
      </c>
      <c r="B85" s="17" t="s">
        <v>449</v>
      </c>
      <c r="C85" s="17" t="s">
        <v>11</v>
      </c>
      <c r="D85" s="17" t="s">
        <v>12</v>
      </c>
      <c r="E85" s="17" t="s">
        <v>13</v>
      </c>
      <c r="F85" s="16" t="s">
        <v>450</v>
      </c>
      <c r="H85" s="16" t="s">
        <v>451</v>
      </c>
      <c r="I85" s="17" t="s">
        <v>452</v>
      </c>
      <c r="J85" s="17" t="s">
        <v>68</v>
      </c>
    </row>
    <row r="86" spans="1:10" x14ac:dyDescent="0.25">
      <c r="A86" s="16" t="s">
        <v>453</v>
      </c>
      <c r="B86" s="17" t="s">
        <v>454</v>
      </c>
      <c r="C86" s="17" t="s">
        <v>11</v>
      </c>
      <c r="D86" s="17" t="s">
        <v>12</v>
      </c>
      <c r="E86" s="17" t="s">
        <v>13</v>
      </c>
      <c r="F86" s="16" t="s">
        <v>455</v>
      </c>
      <c r="H86" s="16" t="s">
        <v>456</v>
      </c>
      <c r="I86" s="17" t="s">
        <v>457</v>
      </c>
      <c r="J86" s="17" t="s">
        <v>12</v>
      </c>
    </row>
    <row r="87" spans="1:10" x14ac:dyDescent="0.25">
      <c r="A87" s="16" t="s">
        <v>458</v>
      </c>
      <c r="B87" s="17" t="s">
        <v>459</v>
      </c>
      <c r="C87" s="17" t="s">
        <v>11</v>
      </c>
      <c r="D87" s="17" t="s">
        <v>12</v>
      </c>
      <c r="E87" s="17" t="s">
        <v>13</v>
      </c>
      <c r="F87" s="16" t="s">
        <v>460</v>
      </c>
      <c r="H87" s="16" t="s">
        <v>461</v>
      </c>
      <c r="I87" s="17" t="s">
        <v>462</v>
      </c>
      <c r="J87" s="17" t="s">
        <v>12</v>
      </c>
    </row>
    <row r="88" spans="1:10" x14ac:dyDescent="0.25">
      <c r="A88" s="16" t="s">
        <v>463</v>
      </c>
      <c r="B88" s="17" t="s">
        <v>464</v>
      </c>
      <c r="C88" s="17" t="s">
        <v>11</v>
      </c>
      <c r="D88" s="17" t="s">
        <v>12</v>
      </c>
      <c r="E88" s="17" t="s">
        <v>13</v>
      </c>
      <c r="F88" s="16" t="s">
        <v>465</v>
      </c>
      <c r="H88" s="16" t="s">
        <v>466</v>
      </c>
      <c r="I88" s="17" t="s">
        <v>467</v>
      </c>
      <c r="J88" s="17" t="s">
        <v>12</v>
      </c>
    </row>
    <row r="89" spans="1:10" x14ac:dyDescent="0.25">
      <c r="A89" s="16" t="s">
        <v>468</v>
      </c>
      <c r="B89" s="17" t="s">
        <v>469</v>
      </c>
      <c r="C89" s="17" t="s">
        <v>11</v>
      </c>
      <c r="D89" s="17" t="s">
        <v>12</v>
      </c>
      <c r="E89" s="17" t="s">
        <v>13</v>
      </c>
      <c r="F89" s="16" t="s">
        <v>470</v>
      </c>
      <c r="H89" s="16" t="s">
        <v>471</v>
      </c>
      <c r="I89" s="17" t="s">
        <v>472</v>
      </c>
      <c r="J89" s="17" t="s">
        <v>12</v>
      </c>
    </row>
    <row r="90" spans="1:10" x14ac:dyDescent="0.25">
      <c r="A90" s="16" t="s">
        <v>473</v>
      </c>
      <c r="B90" s="17" t="s">
        <v>474</v>
      </c>
      <c r="C90" s="17" t="s">
        <v>11</v>
      </c>
      <c r="D90" s="17" t="s">
        <v>12</v>
      </c>
      <c r="E90" s="17" t="s">
        <v>13</v>
      </c>
      <c r="F90" s="16" t="s">
        <v>475</v>
      </c>
      <c r="H90" s="16" t="s">
        <v>476</v>
      </c>
      <c r="I90" s="17" t="s">
        <v>477</v>
      </c>
      <c r="J90" s="17" t="s">
        <v>182</v>
      </c>
    </row>
    <row r="91" spans="1:10" x14ac:dyDescent="0.25">
      <c r="A91" s="16" t="s">
        <v>478</v>
      </c>
      <c r="B91" s="17" t="s">
        <v>479</v>
      </c>
      <c r="C91" s="17" t="s">
        <v>11</v>
      </c>
      <c r="D91" s="17" t="s">
        <v>171</v>
      </c>
      <c r="E91" s="17" t="s">
        <v>13</v>
      </c>
      <c r="F91" s="16" t="s">
        <v>480</v>
      </c>
      <c r="H91" s="16" t="s">
        <v>481</v>
      </c>
      <c r="I91" s="17" t="s">
        <v>482</v>
      </c>
      <c r="J91" s="17" t="s">
        <v>182</v>
      </c>
    </row>
    <row r="92" spans="1:10" x14ac:dyDescent="0.25">
      <c r="A92" s="16" t="s">
        <v>483</v>
      </c>
      <c r="B92" s="17" t="s">
        <v>484</v>
      </c>
      <c r="C92" s="17" t="s">
        <v>11</v>
      </c>
      <c r="D92" s="17" t="s">
        <v>32</v>
      </c>
      <c r="E92" s="17" t="s">
        <v>20</v>
      </c>
      <c r="F92" s="16" t="s">
        <v>485</v>
      </c>
      <c r="H92" s="16" t="s">
        <v>486</v>
      </c>
      <c r="I92" s="17" t="s">
        <v>487</v>
      </c>
      <c r="J92" s="17" t="s">
        <v>36</v>
      </c>
    </row>
    <row r="93" spans="1:10" x14ac:dyDescent="0.25">
      <c r="A93" s="16" t="s">
        <v>488</v>
      </c>
      <c r="B93" s="17" t="s">
        <v>489</v>
      </c>
      <c r="C93" s="17" t="s">
        <v>11</v>
      </c>
      <c r="D93" s="17" t="s">
        <v>12</v>
      </c>
      <c r="E93" s="17" t="s">
        <v>13</v>
      </c>
      <c r="F93" s="16" t="s">
        <v>490</v>
      </c>
      <c r="H93" s="16" t="s">
        <v>491</v>
      </c>
      <c r="I93" s="17" t="s">
        <v>492</v>
      </c>
      <c r="J93" s="17" t="s">
        <v>12</v>
      </c>
    </row>
    <row r="94" spans="1:10" x14ac:dyDescent="0.25">
      <c r="A94" s="16" t="s">
        <v>493</v>
      </c>
      <c r="B94" s="17" t="s">
        <v>494</v>
      </c>
      <c r="C94" s="17" t="s">
        <v>11</v>
      </c>
      <c r="D94" s="17" t="s">
        <v>32</v>
      </c>
      <c r="E94" s="17" t="s">
        <v>20</v>
      </c>
      <c r="F94" s="16" t="s">
        <v>495</v>
      </c>
      <c r="H94" s="16" t="s">
        <v>496</v>
      </c>
      <c r="I94" s="17" t="s">
        <v>497</v>
      </c>
      <c r="J94" s="17" t="s">
        <v>12</v>
      </c>
    </row>
    <row r="95" spans="1:10" x14ac:dyDescent="0.25">
      <c r="A95" s="16" t="s">
        <v>498</v>
      </c>
      <c r="B95" s="17" t="s">
        <v>499</v>
      </c>
      <c r="C95" s="17" t="s">
        <v>11</v>
      </c>
      <c r="D95" s="17" t="s">
        <v>12</v>
      </c>
      <c r="E95" s="17" t="s">
        <v>13</v>
      </c>
      <c r="F95" s="16" t="s">
        <v>500</v>
      </c>
      <c r="H95" s="16" t="s">
        <v>501</v>
      </c>
      <c r="I95" s="17" t="s">
        <v>502</v>
      </c>
      <c r="J95" s="17" t="s">
        <v>12</v>
      </c>
    </row>
    <row r="96" spans="1:10" x14ac:dyDescent="0.25">
      <c r="A96" s="16" t="s">
        <v>503</v>
      </c>
      <c r="B96" s="17" t="s">
        <v>504</v>
      </c>
      <c r="C96" s="17" t="s">
        <v>11</v>
      </c>
      <c r="D96" s="17" t="s">
        <v>505</v>
      </c>
      <c r="E96" s="17" t="s">
        <v>13</v>
      </c>
      <c r="F96" s="16" t="s">
        <v>506</v>
      </c>
      <c r="H96" s="16" t="s">
        <v>507</v>
      </c>
      <c r="I96" s="17" t="s">
        <v>508</v>
      </c>
      <c r="J96" s="17" t="s">
        <v>12</v>
      </c>
    </row>
    <row r="97" spans="1:10" x14ac:dyDescent="0.25">
      <c r="A97" s="16" t="s">
        <v>509</v>
      </c>
      <c r="B97" s="17" t="s">
        <v>510</v>
      </c>
      <c r="C97" s="17" t="s">
        <v>11</v>
      </c>
      <c r="D97" s="17" t="s">
        <v>12</v>
      </c>
      <c r="E97" s="17" t="s">
        <v>13</v>
      </c>
      <c r="F97" s="16" t="s">
        <v>511</v>
      </c>
      <c r="H97" s="16" t="s">
        <v>512</v>
      </c>
      <c r="I97" s="17" t="s">
        <v>513</v>
      </c>
      <c r="J97" s="17" t="s">
        <v>74</v>
      </c>
    </row>
    <row r="98" spans="1:10" x14ac:dyDescent="0.25">
      <c r="A98" s="16" t="s">
        <v>514</v>
      </c>
      <c r="B98" s="17" t="s">
        <v>515</v>
      </c>
      <c r="C98" s="17" t="s">
        <v>11</v>
      </c>
      <c r="D98" s="17" t="s">
        <v>12</v>
      </c>
      <c r="E98" s="17" t="s">
        <v>13</v>
      </c>
      <c r="F98" s="16" t="s">
        <v>516</v>
      </c>
      <c r="H98" s="16" t="s">
        <v>517</v>
      </c>
      <c r="I98" s="17" t="s">
        <v>518</v>
      </c>
      <c r="J98" s="17" t="s">
        <v>182</v>
      </c>
    </row>
    <row r="99" spans="1:10" x14ac:dyDescent="0.25">
      <c r="A99" s="16" t="s">
        <v>519</v>
      </c>
      <c r="B99" s="17" t="s">
        <v>520</v>
      </c>
      <c r="C99" s="17" t="s">
        <v>11</v>
      </c>
      <c r="D99" s="17" t="s">
        <v>12</v>
      </c>
      <c r="E99" s="17" t="s">
        <v>13</v>
      </c>
      <c r="F99" s="16" t="s">
        <v>521</v>
      </c>
      <c r="H99" s="16" t="s">
        <v>522</v>
      </c>
      <c r="I99" s="17" t="s">
        <v>523</v>
      </c>
      <c r="J99" s="17" t="s">
        <v>12</v>
      </c>
    </row>
    <row r="100" spans="1:10" x14ac:dyDescent="0.25">
      <c r="A100" s="16" t="s">
        <v>524</v>
      </c>
      <c r="B100" s="17" t="s">
        <v>525</v>
      </c>
      <c r="C100" s="17" t="s">
        <v>11</v>
      </c>
      <c r="D100" s="17" t="s">
        <v>12</v>
      </c>
      <c r="E100" s="17" t="s">
        <v>13</v>
      </c>
      <c r="F100" s="16" t="s">
        <v>526</v>
      </c>
      <c r="H100" s="16" t="s">
        <v>527</v>
      </c>
      <c r="I100" s="17" t="s">
        <v>528</v>
      </c>
      <c r="J100" s="17" t="s">
        <v>182</v>
      </c>
    </row>
    <row r="101" spans="1:10" x14ac:dyDescent="0.25">
      <c r="A101" s="16" t="s">
        <v>529</v>
      </c>
      <c r="B101" s="17" t="s">
        <v>530</v>
      </c>
      <c r="C101" s="17" t="s">
        <v>11</v>
      </c>
      <c r="D101" s="17" t="s">
        <v>12</v>
      </c>
      <c r="E101" s="17" t="s">
        <v>13</v>
      </c>
      <c r="F101" s="16" t="s">
        <v>531</v>
      </c>
      <c r="H101" s="16" t="s">
        <v>532</v>
      </c>
      <c r="I101" s="17" t="s">
        <v>533</v>
      </c>
      <c r="J101" s="17" t="s">
        <v>36</v>
      </c>
    </row>
    <row r="102" spans="1:10" x14ac:dyDescent="0.25">
      <c r="A102" s="16" t="s">
        <v>534</v>
      </c>
      <c r="B102" s="17" t="s">
        <v>535</v>
      </c>
      <c r="C102" s="17" t="s">
        <v>11</v>
      </c>
      <c r="D102" s="17" t="s">
        <v>12</v>
      </c>
      <c r="E102" s="17" t="s">
        <v>13</v>
      </c>
      <c r="F102" s="16" t="s">
        <v>536</v>
      </c>
      <c r="H102" s="16" t="s">
        <v>537</v>
      </c>
      <c r="I102" s="17" t="s">
        <v>538</v>
      </c>
      <c r="J102" s="17" t="s">
        <v>182</v>
      </c>
    </row>
    <row r="103" spans="1:10" x14ac:dyDescent="0.25">
      <c r="A103" s="16" t="s">
        <v>539</v>
      </c>
      <c r="B103" s="17" t="s">
        <v>540</v>
      </c>
      <c r="C103" s="17" t="s">
        <v>11</v>
      </c>
      <c r="D103" s="17" t="s">
        <v>19</v>
      </c>
      <c r="E103" s="17" t="s">
        <v>20</v>
      </c>
      <c r="F103" s="16" t="s">
        <v>541</v>
      </c>
      <c r="H103" s="16" t="s">
        <v>542</v>
      </c>
      <c r="I103" s="17" t="s">
        <v>543</v>
      </c>
      <c r="J103" s="17" t="s">
        <v>544</v>
      </c>
    </row>
    <row r="104" spans="1:10" x14ac:dyDescent="0.25">
      <c r="A104" s="16" t="s">
        <v>545</v>
      </c>
      <c r="B104" s="17" t="s">
        <v>546</v>
      </c>
      <c r="C104" s="17" t="s">
        <v>11</v>
      </c>
      <c r="D104" s="17" t="s">
        <v>89</v>
      </c>
      <c r="E104" s="17" t="s">
        <v>20</v>
      </c>
      <c r="F104" s="16" t="s">
        <v>547</v>
      </c>
      <c r="H104" s="16" t="s">
        <v>548</v>
      </c>
      <c r="I104" s="17" t="s">
        <v>549</v>
      </c>
      <c r="J104" s="17" t="s">
        <v>74</v>
      </c>
    </row>
    <row r="105" spans="1:10" x14ac:dyDescent="0.25">
      <c r="A105" s="16" t="s">
        <v>550</v>
      </c>
      <c r="B105" s="17" t="s">
        <v>551</v>
      </c>
      <c r="C105" s="17" t="s">
        <v>11</v>
      </c>
      <c r="D105" s="17" t="s">
        <v>148</v>
      </c>
      <c r="E105" s="17" t="s">
        <v>20</v>
      </c>
      <c r="F105" s="16" t="s">
        <v>552</v>
      </c>
      <c r="H105" s="16" t="s">
        <v>553</v>
      </c>
      <c r="I105" s="17" t="s">
        <v>554</v>
      </c>
      <c r="J105" s="17" t="s">
        <v>74</v>
      </c>
    </row>
    <row r="106" spans="1:10" x14ac:dyDescent="0.25">
      <c r="A106" s="16" t="s">
        <v>555</v>
      </c>
      <c r="B106" s="17" t="s">
        <v>556</v>
      </c>
      <c r="C106" s="17" t="s">
        <v>11</v>
      </c>
      <c r="D106" s="17" t="s">
        <v>12</v>
      </c>
      <c r="E106" s="17" t="s">
        <v>13</v>
      </c>
      <c r="F106" s="16" t="s">
        <v>557</v>
      </c>
      <c r="H106" s="16" t="s">
        <v>558</v>
      </c>
      <c r="I106" s="17" t="s">
        <v>559</v>
      </c>
      <c r="J106" s="17" t="s">
        <v>26</v>
      </c>
    </row>
    <row r="107" spans="1:10" x14ac:dyDescent="0.25">
      <c r="A107" s="16" t="s">
        <v>560</v>
      </c>
      <c r="B107" s="17" t="s">
        <v>561</v>
      </c>
      <c r="C107" s="17" t="s">
        <v>11</v>
      </c>
      <c r="D107" s="17" t="s">
        <v>12</v>
      </c>
      <c r="E107" s="17" t="s">
        <v>13</v>
      </c>
      <c r="F107" s="16" t="s">
        <v>562</v>
      </c>
      <c r="H107" s="16" t="s">
        <v>563</v>
      </c>
      <c r="I107" s="17" t="s">
        <v>564</v>
      </c>
      <c r="J107" s="17" t="s">
        <v>12</v>
      </c>
    </row>
    <row r="108" spans="1:10" x14ac:dyDescent="0.25">
      <c r="A108" s="16" t="s">
        <v>565</v>
      </c>
      <c r="B108" s="17" t="s">
        <v>566</v>
      </c>
      <c r="C108" s="17" t="s">
        <v>11</v>
      </c>
      <c r="D108" s="17" t="s">
        <v>12</v>
      </c>
      <c r="E108" s="17" t="s">
        <v>13</v>
      </c>
      <c r="F108" s="16" t="s">
        <v>567</v>
      </c>
      <c r="H108" s="16" t="s">
        <v>568</v>
      </c>
      <c r="I108" s="17" t="s">
        <v>569</v>
      </c>
      <c r="J108" s="17" t="s">
        <v>570</v>
      </c>
    </row>
    <row r="109" spans="1:10" x14ac:dyDescent="0.25">
      <c r="A109" s="16" t="s">
        <v>571</v>
      </c>
      <c r="B109" s="17" t="s">
        <v>572</v>
      </c>
      <c r="C109" s="17" t="s">
        <v>11</v>
      </c>
      <c r="D109" s="17" t="s">
        <v>19</v>
      </c>
      <c r="E109" s="17" t="s">
        <v>20</v>
      </c>
      <c r="F109" s="16" t="s">
        <v>573</v>
      </c>
      <c r="H109" s="16" t="s">
        <v>574</v>
      </c>
      <c r="I109" s="17" t="s">
        <v>575</v>
      </c>
      <c r="J109" s="17" t="s">
        <v>576</v>
      </c>
    </row>
    <row r="110" spans="1:10" x14ac:dyDescent="0.25">
      <c r="A110" s="16" t="s">
        <v>577</v>
      </c>
      <c r="B110" s="17" t="s">
        <v>578</v>
      </c>
      <c r="C110" s="17" t="s">
        <v>11</v>
      </c>
      <c r="D110" s="17" t="s">
        <v>12</v>
      </c>
      <c r="E110" s="17" t="s">
        <v>13</v>
      </c>
      <c r="F110" s="16" t="s">
        <v>579</v>
      </c>
      <c r="H110" s="16" t="s">
        <v>580</v>
      </c>
      <c r="I110" s="17" t="s">
        <v>581</v>
      </c>
      <c r="J110" s="17" t="s">
        <v>74</v>
      </c>
    </row>
    <row r="111" spans="1:10" x14ac:dyDescent="0.25">
      <c r="A111" s="16" t="s">
        <v>582</v>
      </c>
      <c r="B111" s="17" t="s">
        <v>583</v>
      </c>
      <c r="C111" s="17" t="s">
        <v>11</v>
      </c>
      <c r="D111" s="17" t="s">
        <v>12</v>
      </c>
      <c r="E111" s="17" t="s">
        <v>13</v>
      </c>
      <c r="F111" s="16" t="s">
        <v>584</v>
      </c>
      <c r="H111" s="16" t="s">
        <v>585</v>
      </c>
      <c r="I111" s="17" t="s">
        <v>586</v>
      </c>
      <c r="J111" s="17" t="s">
        <v>74</v>
      </c>
    </row>
    <row r="112" spans="1:10" x14ac:dyDescent="0.25">
      <c r="A112" s="16" t="s">
        <v>587</v>
      </c>
      <c r="B112" s="17" t="s">
        <v>588</v>
      </c>
      <c r="C112" s="17" t="s">
        <v>11</v>
      </c>
      <c r="D112" s="17" t="s">
        <v>32</v>
      </c>
      <c r="E112" s="17" t="s">
        <v>20</v>
      </c>
      <c r="F112" s="16" t="s">
        <v>589</v>
      </c>
      <c r="H112" s="16" t="s">
        <v>590</v>
      </c>
      <c r="I112" s="17" t="s">
        <v>591</v>
      </c>
      <c r="J112" s="17" t="s">
        <v>80</v>
      </c>
    </row>
    <row r="113" spans="1:10" x14ac:dyDescent="0.25">
      <c r="A113" s="16" t="s">
        <v>592</v>
      </c>
      <c r="B113" s="17" t="s">
        <v>593</v>
      </c>
      <c r="C113" s="17" t="s">
        <v>11</v>
      </c>
      <c r="D113" s="17" t="s">
        <v>250</v>
      </c>
      <c r="E113" s="17" t="s">
        <v>20</v>
      </c>
      <c r="F113" s="16" t="s">
        <v>594</v>
      </c>
      <c r="H113" s="16" t="s">
        <v>595</v>
      </c>
      <c r="I113" s="17" t="s">
        <v>596</v>
      </c>
      <c r="J113" s="17" t="s">
        <v>12</v>
      </c>
    </row>
    <row r="114" spans="1:10" x14ac:dyDescent="0.25">
      <c r="A114" s="16" t="s">
        <v>597</v>
      </c>
      <c r="B114" s="17" t="s">
        <v>598</v>
      </c>
      <c r="C114" s="17" t="s">
        <v>11</v>
      </c>
      <c r="D114" s="17" t="s">
        <v>12</v>
      </c>
      <c r="E114" s="17" t="s">
        <v>13</v>
      </c>
      <c r="F114" s="16" t="s">
        <v>599</v>
      </c>
      <c r="H114" s="16" t="s">
        <v>600</v>
      </c>
      <c r="I114" s="17" t="s">
        <v>601</v>
      </c>
      <c r="J114" s="17" t="s">
        <v>182</v>
      </c>
    </row>
    <row r="115" spans="1:10" x14ac:dyDescent="0.25">
      <c r="A115" s="16" t="s">
        <v>602</v>
      </c>
      <c r="B115" s="17" t="s">
        <v>603</v>
      </c>
      <c r="C115" s="17" t="s">
        <v>11</v>
      </c>
      <c r="D115" s="17" t="s">
        <v>12</v>
      </c>
      <c r="E115" s="17" t="s">
        <v>13</v>
      </c>
      <c r="F115" s="16" t="s">
        <v>604</v>
      </c>
      <c r="H115" s="16" t="s">
        <v>605</v>
      </c>
      <c r="I115" s="17" t="s">
        <v>606</v>
      </c>
      <c r="J115" s="17" t="s">
        <v>68</v>
      </c>
    </row>
    <row r="116" spans="1:10" x14ac:dyDescent="0.25">
      <c r="A116" s="16" t="s">
        <v>607</v>
      </c>
      <c r="B116" s="17" t="s">
        <v>608</v>
      </c>
      <c r="C116" s="17" t="s">
        <v>11</v>
      </c>
      <c r="D116" s="17" t="s">
        <v>32</v>
      </c>
      <c r="E116" s="17" t="s">
        <v>20</v>
      </c>
      <c r="F116" s="16" t="s">
        <v>609</v>
      </c>
      <c r="H116" s="16" t="s">
        <v>610</v>
      </c>
      <c r="I116" s="17" t="s">
        <v>611</v>
      </c>
      <c r="J116" s="17" t="s">
        <v>182</v>
      </c>
    </row>
    <row r="117" spans="1:10" x14ac:dyDescent="0.25">
      <c r="A117" s="16" t="s">
        <v>612</v>
      </c>
      <c r="B117" s="17" t="s">
        <v>613</v>
      </c>
      <c r="C117" s="17" t="s">
        <v>11</v>
      </c>
      <c r="D117" s="17" t="s">
        <v>74</v>
      </c>
      <c r="E117" s="17" t="s">
        <v>20</v>
      </c>
      <c r="F117" s="16" t="s">
        <v>614</v>
      </c>
      <c r="H117" s="16" t="s">
        <v>615</v>
      </c>
      <c r="I117" s="17" t="s">
        <v>616</v>
      </c>
      <c r="J117" s="17" t="s">
        <v>74</v>
      </c>
    </row>
    <row r="118" spans="1:10" x14ac:dyDescent="0.25">
      <c r="A118" s="16" t="s">
        <v>617</v>
      </c>
      <c r="B118" s="17" t="s">
        <v>618</v>
      </c>
      <c r="C118" s="17" t="s">
        <v>11</v>
      </c>
      <c r="D118" s="17" t="s">
        <v>12</v>
      </c>
      <c r="E118" s="17" t="s">
        <v>13</v>
      </c>
      <c r="F118" s="16" t="s">
        <v>619</v>
      </c>
      <c r="H118" s="16" t="s">
        <v>620</v>
      </c>
      <c r="I118" s="17" t="s">
        <v>621</v>
      </c>
      <c r="J118" s="17" t="s">
        <v>12</v>
      </c>
    </row>
    <row r="119" spans="1:10" x14ac:dyDescent="0.25">
      <c r="A119" s="16" t="s">
        <v>622</v>
      </c>
      <c r="B119" s="17" t="s">
        <v>623</v>
      </c>
      <c r="C119" s="17" t="s">
        <v>11</v>
      </c>
      <c r="D119" s="17" t="s">
        <v>32</v>
      </c>
      <c r="E119" s="17" t="s">
        <v>20</v>
      </c>
      <c r="F119" s="16" t="s">
        <v>624</v>
      </c>
      <c r="H119" s="16" t="s">
        <v>625</v>
      </c>
      <c r="I119" s="17" t="s">
        <v>626</v>
      </c>
      <c r="J119" s="17" t="s">
        <v>12</v>
      </c>
    </row>
    <row r="120" spans="1:10" x14ac:dyDescent="0.25">
      <c r="A120" s="16" t="s">
        <v>627</v>
      </c>
      <c r="B120" s="17" t="s">
        <v>628</v>
      </c>
      <c r="C120" s="17" t="s">
        <v>11</v>
      </c>
      <c r="D120" s="17" t="s">
        <v>59</v>
      </c>
      <c r="E120" s="17" t="s">
        <v>13</v>
      </c>
      <c r="F120" s="16" t="s">
        <v>629</v>
      </c>
      <c r="H120" s="16" t="s">
        <v>630</v>
      </c>
      <c r="I120" s="17" t="s">
        <v>631</v>
      </c>
      <c r="J120" s="17" t="s">
        <v>74</v>
      </c>
    </row>
    <row r="121" spans="1:10" x14ac:dyDescent="0.25">
      <c r="A121" s="16" t="s">
        <v>632</v>
      </c>
      <c r="B121" s="17" t="s">
        <v>633</v>
      </c>
      <c r="C121" s="17" t="s">
        <v>11</v>
      </c>
      <c r="D121" s="17" t="s">
        <v>32</v>
      </c>
      <c r="E121" s="17" t="s">
        <v>20</v>
      </c>
      <c r="F121" s="16" t="s">
        <v>634</v>
      </c>
      <c r="H121" s="16" t="s">
        <v>635</v>
      </c>
      <c r="I121" s="17" t="s">
        <v>636</v>
      </c>
      <c r="J121" s="17" t="s">
        <v>12</v>
      </c>
    </row>
    <row r="122" spans="1:10" x14ac:dyDescent="0.25">
      <c r="A122" s="16" t="s">
        <v>637</v>
      </c>
      <c r="B122" s="17" t="s">
        <v>638</v>
      </c>
      <c r="C122" s="17" t="s">
        <v>11</v>
      </c>
      <c r="D122" s="17" t="s">
        <v>182</v>
      </c>
      <c r="E122" s="17" t="s">
        <v>20</v>
      </c>
      <c r="F122" s="16" t="s">
        <v>639</v>
      </c>
      <c r="H122" s="16" t="s">
        <v>640</v>
      </c>
      <c r="I122" s="17" t="s">
        <v>641</v>
      </c>
      <c r="J122" s="17" t="s">
        <v>182</v>
      </c>
    </row>
    <row r="123" spans="1:10" x14ac:dyDescent="0.25">
      <c r="A123" s="16" t="s">
        <v>642</v>
      </c>
      <c r="B123" s="17" t="s">
        <v>643</v>
      </c>
      <c r="C123" s="17" t="s">
        <v>11</v>
      </c>
      <c r="D123" s="17" t="s">
        <v>32</v>
      </c>
      <c r="E123" s="17" t="s">
        <v>20</v>
      </c>
      <c r="F123" s="16" t="s">
        <v>644</v>
      </c>
      <c r="H123" s="16" t="s">
        <v>645</v>
      </c>
      <c r="I123" s="17" t="s">
        <v>646</v>
      </c>
      <c r="J123" s="17" t="s">
        <v>68</v>
      </c>
    </row>
    <row r="124" spans="1:10" x14ac:dyDescent="0.25">
      <c r="A124" s="16" t="s">
        <v>647</v>
      </c>
      <c r="B124" s="17" t="s">
        <v>648</v>
      </c>
      <c r="C124" s="17" t="s">
        <v>11</v>
      </c>
      <c r="D124" s="17" t="s">
        <v>649</v>
      </c>
      <c r="E124" s="17" t="s">
        <v>20</v>
      </c>
      <c r="F124" s="16" t="s">
        <v>650</v>
      </c>
      <c r="H124" s="16" t="s">
        <v>651</v>
      </c>
      <c r="I124" s="17" t="s">
        <v>652</v>
      </c>
      <c r="J124" s="17" t="s">
        <v>12</v>
      </c>
    </row>
    <row r="125" spans="1:10" x14ac:dyDescent="0.25">
      <c r="A125" s="16" t="s">
        <v>653</v>
      </c>
      <c r="B125" s="17" t="s">
        <v>654</v>
      </c>
      <c r="C125" s="17" t="s">
        <v>11</v>
      </c>
      <c r="D125" s="17" t="s">
        <v>68</v>
      </c>
      <c r="E125" s="17" t="s">
        <v>20</v>
      </c>
      <c r="F125" s="16" t="s">
        <v>655</v>
      </c>
      <c r="H125" s="16" t="s">
        <v>656</v>
      </c>
      <c r="I125" s="17" t="s">
        <v>657</v>
      </c>
      <c r="J125" s="17" t="s">
        <v>12</v>
      </c>
    </row>
    <row r="126" spans="1:10" x14ac:dyDescent="0.25">
      <c r="A126" s="16" t="s">
        <v>658</v>
      </c>
      <c r="B126" s="17" t="s">
        <v>659</v>
      </c>
      <c r="C126" s="17" t="s">
        <v>11</v>
      </c>
      <c r="D126" s="17" t="s">
        <v>182</v>
      </c>
      <c r="E126" s="17" t="s">
        <v>20</v>
      </c>
      <c r="F126" s="16" t="s">
        <v>660</v>
      </c>
      <c r="H126" s="16" t="s">
        <v>661</v>
      </c>
      <c r="I126" s="17" t="s">
        <v>662</v>
      </c>
      <c r="J126" s="17" t="s">
        <v>12</v>
      </c>
    </row>
    <row r="127" spans="1:10" x14ac:dyDescent="0.25">
      <c r="A127" s="16" t="s">
        <v>663</v>
      </c>
      <c r="B127" s="17" t="s">
        <v>664</v>
      </c>
      <c r="C127" s="17" t="s">
        <v>11</v>
      </c>
      <c r="D127" s="17" t="s">
        <v>74</v>
      </c>
      <c r="E127" s="17" t="s">
        <v>20</v>
      </c>
      <c r="F127" s="16" t="s">
        <v>665</v>
      </c>
      <c r="H127" s="16" t="s">
        <v>666</v>
      </c>
      <c r="I127" s="17" t="s">
        <v>667</v>
      </c>
      <c r="J127" s="17" t="s">
        <v>12</v>
      </c>
    </row>
    <row r="128" spans="1:10" x14ac:dyDescent="0.25">
      <c r="A128" s="16" t="s">
        <v>668</v>
      </c>
      <c r="B128" s="17" t="s">
        <v>669</v>
      </c>
      <c r="C128" s="17" t="s">
        <v>11</v>
      </c>
      <c r="D128" s="17" t="s">
        <v>670</v>
      </c>
      <c r="E128" s="17" t="s">
        <v>20</v>
      </c>
      <c r="F128" s="16" t="s">
        <v>671</v>
      </c>
      <c r="H128" s="16" t="s">
        <v>672</v>
      </c>
      <c r="I128" s="17" t="s">
        <v>673</v>
      </c>
      <c r="J128" s="17" t="s">
        <v>68</v>
      </c>
    </row>
    <row r="129" spans="1:10" x14ac:dyDescent="0.25">
      <c r="A129" s="16" t="s">
        <v>674</v>
      </c>
      <c r="B129" s="17" t="s">
        <v>675</v>
      </c>
      <c r="C129" s="17" t="s">
        <v>11</v>
      </c>
      <c r="D129" s="17" t="s">
        <v>148</v>
      </c>
      <c r="E129" s="17" t="s">
        <v>20</v>
      </c>
      <c r="F129" s="16" t="s">
        <v>676</v>
      </c>
      <c r="H129" s="16" t="s">
        <v>677</v>
      </c>
      <c r="I129" s="17" t="s">
        <v>678</v>
      </c>
      <c r="J129" s="17" t="s">
        <v>74</v>
      </c>
    </row>
    <row r="130" spans="1:10" x14ac:dyDescent="0.25">
      <c r="A130" s="16" t="s">
        <v>679</v>
      </c>
      <c r="B130" s="17" t="s">
        <v>680</v>
      </c>
      <c r="C130" s="17" t="s">
        <v>11</v>
      </c>
      <c r="D130" s="17" t="s">
        <v>74</v>
      </c>
      <c r="E130" s="17" t="s">
        <v>20</v>
      </c>
      <c r="F130" s="16" t="s">
        <v>681</v>
      </c>
      <c r="H130" s="16" t="s">
        <v>682</v>
      </c>
      <c r="I130" s="17" t="s">
        <v>683</v>
      </c>
      <c r="J130" s="17" t="s">
        <v>12</v>
      </c>
    </row>
    <row r="131" spans="1:10" x14ac:dyDescent="0.25">
      <c r="A131" s="16" t="s">
        <v>684</v>
      </c>
      <c r="B131" s="17" t="s">
        <v>685</v>
      </c>
      <c r="C131" s="17" t="s">
        <v>11</v>
      </c>
      <c r="D131" s="17" t="s">
        <v>74</v>
      </c>
      <c r="E131" s="17" t="s">
        <v>20</v>
      </c>
      <c r="F131" s="16" t="s">
        <v>686</v>
      </c>
      <c r="H131" s="16" t="s">
        <v>687</v>
      </c>
      <c r="I131" s="17" t="s">
        <v>688</v>
      </c>
      <c r="J131" s="17" t="s">
        <v>570</v>
      </c>
    </row>
    <row r="132" spans="1:10" x14ac:dyDescent="0.25">
      <c r="A132" s="16" t="s">
        <v>689</v>
      </c>
      <c r="B132" s="17" t="s">
        <v>690</v>
      </c>
      <c r="C132" s="17" t="s">
        <v>11</v>
      </c>
      <c r="D132" s="17" t="s">
        <v>12</v>
      </c>
      <c r="E132" s="17" t="s">
        <v>13</v>
      </c>
      <c r="F132" s="16" t="s">
        <v>691</v>
      </c>
      <c r="H132" s="16" t="s">
        <v>692</v>
      </c>
      <c r="I132" s="17" t="s">
        <v>693</v>
      </c>
      <c r="J132" s="17" t="s">
        <v>12</v>
      </c>
    </row>
    <row r="133" spans="1:10" x14ac:dyDescent="0.25">
      <c r="A133" s="16" t="s">
        <v>694</v>
      </c>
      <c r="B133" s="17" t="s">
        <v>695</v>
      </c>
      <c r="C133" s="17" t="s">
        <v>11</v>
      </c>
      <c r="D133" s="17" t="s">
        <v>12</v>
      </c>
      <c r="E133" s="17" t="s">
        <v>13</v>
      </c>
      <c r="F133" s="16" t="s">
        <v>696</v>
      </c>
      <c r="H133" s="16" t="s">
        <v>697</v>
      </c>
      <c r="I133" s="17" t="s">
        <v>698</v>
      </c>
      <c r="J133" s="17" t="s">
        <v>12</v>
      </c>
    </row>
    <row r="134" spans="1:10" x14ac:dyDescent="0.25">
      <c r="A134" s="16" t="s">
        <v>699</v>
      </c>
      <c r="B134" s="17" t="s">
        <v>700</v>
      </c>
      <c r="C134" s="17" t="s">
        <v>11</v>
      </c>
      <c r="D134" s="17" t="s">
        <v>12</v>
      </c>
      <c r="E134" s="17" t="s">
        <v>13</v>
      </c>
      <c r="F134" s="16" t="s">
        <v>701</v>
      </c>
      <c r="H134" s="16" t="s">
        <v>702</v>
      </c>
      <c r="I134" s="17" t="s">
        <v>703</v>
      </c>
      <c r="J134" s="17" t="s">
        <v>12</v>
      </c>
    </row>
    <row r="135" spans="1:10" x14ac:dyDescent="0.25">
      <c r="A135" s="16" t="s">
        <v>704</v>
      </c>
      <c r="B135" s="17" t="s">
        <v>705</v>
      </c>
      <c r="C135" s="17" t="s">
        <v>11</v>
      </c>
      <c r="D135" s="17" t="s">
        <v>12</v>
      </c>
      <c r="E135" s="17" t="s">
        <v>13</v>
      </c>
      <c r="F135" s="16" t="s">
        <v>706</v>
      </c>
      <c r="H135" s="16" t="s">
        <v>707</v>
      </c>
      <c r="I135" s="17" t="s">
        <v>708</v>
      </c>
      <c r="J135" s="17" t="s">
        <v>182</v>
      </c>
    </row>
    <row r="136" spans="1:10" x14ac:dyDescent="0.25">
      <c r="A136" s="16" t="s">
        <v>709</v>
      </c>
      <c r="B136" s="17" t="s">
        <v>710</v>
      </c>
      <c r="C136" s="17" t="s">
        <v>11</v>
      </c>
      <c r="D136" s="17" t="s">
        <v>12</v>
      </c>
      <c r="E136" s="17" t="s">
        <v>13</v>
      </c>
      <c r="F136" s="16" t="s">
        <v>711</v>
      </c>
      <c r="H136" s="16" t="s">
        <v>712</v>
      </c>
      <c r="I136" s="17" t="s">
        <v>713</v>
      </c>
      <c r="J136" s="17" t="s">
        <v>12</v>
      </c>
    </row>
    <row r="137" spans="1:10" x14ac:dyDescent="0.25">
      <c r="A137" s="16" t="s">
        <v>714</v>
      </c>
      <c r="B137" s="17" t="s">
        <v>715</v>
      </c>
      <c r="C137" s="17" t="s">
        <v>11</v>
      </c>
      <c r="D137" s="17" t="s">
        <v>182</v>
      </c>
      <c r="E137" s="17" t="s">
        <v>20</v>
      </c>
      <c r="F137" s="16" t="s">
        <v>716</v>
      </c>
      <c r="H137" s="16" t="s">
        <v>717</v>
      </c>
      <c r="I137" s="17" t="s">
        <v>718</v>
      </c>
      <c r="J137" s="17" t="s">
        <v>12</v>
      </c>
    </row>
    <row r="138" spans="1:10" x14ac:dyDescent="0.25">
      <c r="A138" s="16" t="s">
        <v>719</v>
      </c>
      <c r="B138" s="17" t="s">
        <v>720</v>
      </c>
      <c r="C138" s="17" t="s">
        <v>11</v>
      </c>
      <c r="D138" s="17" t="s">
        <v>12</v>
      </c>
      <c r="E138" s="17" t="s">
        <v>13</v>
      </c>
      <c r="F138" s="16" t="s">
        <v>721</v>
      </c>
      <c r="H138" s="16" t="s">
        <v>722</v>
      </c>
      <c r="I138" s="17" t="s">
        <v>723</v>
      </c>
      <c r="J138" s="17" t="s">
        <v>544</v>
      </c>
    </row>
    <row r="139" spans="1:10" x14ac:dyDescent="0.25">
      <c r="A139" s="16" t="s">
        <v>724</v>
      </c>
      <c r="B139" s="17" t="s">
        <v>725</v>
      </c>
      <c r="C139" s="17" t="s">
        <v>11</v>
      </c>
      <c r="D139" s="17" t="s">
        <v>12</v>
      </c>
      <c r="E139" s="17" t="s">
        <v>13</v>
      </c>
      <c r="F139" s="16" t="s">
        <v>726</v>
      </c>
      <c r="H139" s="16" t="s">
        <v>727</v>
      </c>
      <c r="I139" s="17" t="s">
        <v>728</v>
      </c>
      <c r="J139" s="17" t="s">
        <v>12</v>
      </c>
    </row>
    <row r="140" spans="1:10" x14ac:dyDescent="0.25">
      <c r="A140" s="16" t="s">
        <v>729</v>
      </c>
      <c r="B140" s="17" t="s">
        <v>730</v>
      </c>
      <c r="C140" s="17" t="s">
        <v>11</v>
      </c>
      <c r="D140" s="17" t="s">
        <v>12</v>
      </c>
      <c r="E140" s="17" t="s">
        <v>13</v>
      </c>
      <c r="F140" s="16" t="s">
        <v>731</v>
      </c>
      <c r="H140" s="16" t="s">
        <v>732</v>
      </c>
      <c r="I140" s="17" t="s">
        <v>733</v>
      </c>
      <c r="J140" s="17" t="s">
        <v>68</v>
      </c>
    </row>
    <row r="141" spans="1:10" x14ac:dyDescent="0.25">
      <c r="A141" s="16" t="s">
        <v>734</v>
      </c>
      <c r="B141" s="17" t="s">
        <v>735</v>
      </c>
      <c r="C141" s="17" t="s">
        <v>11</v>
      </c>
      <c r="D141" s="17" t="s">
        <v>12</v>
      </c>
      <c r="E141" s="17" t="s">
        <v>13</v>
      </c>
      <c r="F141" s="16" t="s">
        <v>736</v>
      </c>
      <c r="H141" s="16" t="s">
        <v>737</v>
      </c>
      <c r="I141" s="17" t="s">
        <v>738</v>
      </c>
      <c r="J141" s="17" t="s">
        <v>182</v>
      </c>
    </row>
    <row r="142" spans="1:10" x14ac:dyDescent="0.25">
      <c r="A142" s="16" t="s">
        <v>739</v>
      </c>
      <c r="B142" s="17" t="s">
        <v>740</v>
      </c>
      <c r="C142" s="17" t="s">
        <v>11</v>
      </c>
      <c r="D142" s="17" t="s">
        <v>741</v>
      </c>
      <c r="E142" s="17" t="s">
        <v>13</v>
      </c>
      <c r="F142" s="16" t="s">
        <v>742</v>
      </c>
      <c r="H142" s="16" t="s">
        <v>743</v>
      </c>
      <c r="I142" s="17" t="s">
        <v>744</v>
      </c>
      <c r="J142" s="17" t="s">
        <v>68</v>
      </c>
    </row>
    <row r="143" spans="1:10" x14ac:dyDescent="0.25">
      <c r="A143" s="16" t="s">
        <v>745</v>
      </c>
      <c r="B143" s="17" t="s">
        <v>746</v>
      </c>
      <c r="C143" s="17" t="s">
        <v>11</v>
      </c>
      <c r="D143" s="17" t="s">
        <v>12</v>
      </c>
      <c r="E143" s="17" t="s">
        <v>13</v>
      </c>
      <c r="F143" s="16" t="s">
        <v>747</v>
      </c>
      <c r="H143" s="16" t="s">
        <v>748</v>
      </c>
      <c r="I143" s="17" t="s">
        <v>749</v>
      </c>
      <c r="J143" s="17" t="s">
        <v>74</v>
      </c>
    </row>
    <row r="144" spans="1:10" x14ac:dyDescent="0.25">
      <c r="A144" s="16" t="s">
        <v>750</v>
      </c>
      <c r="B144" s="17" t="s">
        <v>751</v>
      </c>
      <c r="C144" s="17" t="s">
        <v>11</v>
      </c>
      <c r="D144" s="17" t="s">
        <v>12</v>
      </c>
      <c r="E144" s="17" t="s">
        <v>13</v>
      </c>
      <c r="F144" s="16" t="s">
        <v>752</v>
      </c>
      <c r="H144" s="16" t="s">
        <v>753</v>
      </c>
      <c r="I144" s="17" t="s">
        <v>754</v>
      </c>
      <c r="J144" s="17" t="s">
        <v>26</v>
      </c>
    </row>
    <row r="145" spans="1:10" x14ac:dyDescent="0.25">
      <c r="A145" s="16" t="s">
        <v>755</v>
      </c>
      <c r="B145" s="17" t="s">
        <v>756</v>
      </c>
      <c r="C145" s="17" t="s">
        <v>11</v>
      </c>
      <c r="D145" s="17" t="s">
        <v>12</v>
      </c>
      <c r="E145" s="17" t="s">
        <v>13</v>
      </c>
      <c r="F145" s="16" t="s">
        <v>757</v>
      </c>
      <c r="H145" s="16" t="s">
        <v>758</v>
      </c>
      <c r="I145" s="17" t="s">
        <v>759</v>
      </c>
      <c r="J145" s="17" t="s">
        <v>186</v>
      </c>
    </row>
    <row r="146" spans="1:10" x14ac:dyDescent="0.25">
      <c r="A146" s="16" t="s">
        <v>760</v>
      </c>
      <c r="B146" s="17" t="s">
        <v>761</v>
      </c>
      <c r="C146" s="17" t="s">
        <v>11</v>
      </c>
      <c r="D146" s="17" t="s">
        <v>12</v>
      </c>
      <c r="E146" s="17" t="s">
        <v>13</v>
      </c>
      <c r="F146" s="16" t="s">
        <v>762</v>
      </c>
      <c r="H146" s="16" t="s">
        <v>763</v>
      </c>
      <c r="I146" s="17" t="s">
        <v>764</v>
      </c>
      <c r="J146" s="17" t="s">
        <v>291</v>
      </c>
    </row>
    <row r="147" spans="1:10" x14ac:dyDescent="0.25">
      <c r="A147" s="16" t="s">
        <v>765</v>
      </c>
      <c r="B147" s="17" t="s">
        <v>766</v>
      </c>
      <c r="C147" s="17" t="s">
        <v>11</v>
      </c>
      <c r="D147" s="17" t="s">
        <v>12</v>
      </c>
      <c r="E147" s="17" t="s">
        <v>13</v>
      </c>
      <c r="F147" s="16" t="s">
        <v>767</v>
      </c>
      <c r="H147" s="16" t="s">
        <v>768</v>
      </c>
      <c r="I147" s="17" t="s">
        <v>769</v>
      </c>
      <c r="J147" s="17" t="s">
        <v>68</v>
      </c>
    </row>
    <row r="148" spans="1:10" x14ac:dyDescent="0.25">
      <c r="A148" s="16" t="s">
        <v>770</v>
      </c>
      <c r="B148" s="17" t="s">
        <v>771</v>
      </c>
      <c r="C148" s="17" t="s">
        <v>11</v>
      </c>
      <c r="D148" s="17" t="s">
        <v>19</v>
      </c>
      <c r="E148" s="17" t="s">
        <v>20</v>
      </c>
      <c r="F148" s="16" t="s">
        <v>772</v>
      </c>
      <c r="H148" s="16" t="s">
        <v>773</v>
      </c>
      <c r="I148" s="17" t="s">
        <v>774</v>
      </c>
      <c r="J148" s="17" t="s">
        <v>74</v>
      </c>
    </row>
    <row r="149" spans="1:10" x14ac:dyDescent="0.25">
      <c r="A149" s="16" t="s">
        <v>775</v>
      </c>
      <c r="B149" s="17" t="s">
        <v>776</v>
      </c>
      <c r="C149" s="17" t="s">
        <v>11</v>
      </c>
      <c r="D149" s="17" t="s">
        <v>148</v>
      </c>
      <c r="E149" s="17" t="s">
        <v>20</v>
      </c>
      <c r="F149" s="16" t="s">
        <v>777</v>
      </c>
      <c r="H149" s="16" t="s">
        <v>778</v>
      </c>
      <c r="I149" s="17" t="s">
        <v>779</v>
      </c>
      <c r="J149" s="17" t="s">
        <v>74</v>
      </c>
    </row>
    <row r="150" spans="1:10" x14ac:dyDescent="0.25">
      <c r="A150" s="16" t="s">
        <v>780</v>
      </c>
      <c r="B150" s="17" t="s">
        <v>781</v>
      </c>
      <c r="C150" s="17" t="s">
        <v>11</v>
      </c>
      <c r="D150" s="17" t="s">
        <v>12</v>
      </c>
      <c r="E150" s="17" t="s">
        <v>13</v>
      </c>
      <c r="F150" s="16" t="s">
        <v>782</v>
      </c>
      <c r="H150" s="16" t="s">
        <v>783</v>
      </c>
      <c r="I150" s="17" t="s">
        <v>784</v>
      </c>
      <c r="J150" s="17" t="s">
        <v>186</v>
      </c>
    </row>
    <row r="151" spans="1:10" x14ac:dyDescent="0.25">
      <c r="A151" s="16" t="s">
        <v>785</v>
      </c>
      <c r="B151" s="17" t="s">
        <v>786</v>
      </c>
      <c r="C151" s="17" t="s">
        <v>11</v>
      </c>
      <c r="D151" s="17" t="s">
        <v>12</v>
      </c>
      <c r="E151" s="17" t="s">
        <v>13</v>
      </c>
      <c r="F151" s="16" t="s">
        <v>787</v>
      </c>
    </row>
    <row r="152" spans="1:10" x14ac:dyDescent="0.25">
      <c r="A152" s="16" t="s">
        <v>788</v>
      </c>
      <c r="B152" s="17" t="s">
        <v>789</v>
      </c>
      <c r="C152" s="17" t="s">
        <v>11</v>
      </c>
      <c r="D152" s="17" t="s">
        <v>59</v>
      </c>
      <c r="E152" s="17" t="s">
        <v>13</v>
      </c>
      <c r="F152" s="16" t="s">
        <v>790</v>
      </c>
    </row>
    <row r="153" spans="1:10" x14ac:dyDescent="0.25">
      <c r="A153" s="16" t="s">
        <v>791</v>
      </c>
      <c r="B153" s="17" t="s">
        <v>792</v>
      </c>
      <c r="C153" s="17" t="s">
        <v>11</v>
      </c>
      <c r="D153" s="17" t="s">
        <v>12</v>
      </c>
      <c r="E153" s="17" t="s">
        <v>13</v>
      </c>
      <c r="F153" s="16" t="s">
        <v>793</v>
      </c>
    </row>
    <row r="154" spans="1:10" x14ac:dyDescent="0.25">
      <c r="A154" s="16" t="s">
        <v>794</v>
      </c>
      <c r="B154" s="17" t="s">
        <v>795</v>
      </c>
      <c r="C154" s="17" t="s">
        <v>11</v>
      </c>
      <c r="D154" s="17" t="s">
        <v>12</v>
      </c>
      <c r="E154" s="17" t="s">
        <v>13</v>
      </c>
      <c r="F154" s="16" t="s">
        <v>796</v>
      </c>
    </row>
    <row r="155" spans="1:10" x14ac:dyDescent="0.25">
      <c r="A155" s="16" t="s">
        <v>797</v>
      </c>
      <c r="B155" s="17" t="s">
        <v>798</v>
      </c>
      <c r="C155" s="17" t="s">
        <v>11</v>
      </c>
      <c r="D155" s="17" t="s">
        <v>83</v>
      </c>
      <c r="E155" s="17" t="s">
        <v>20</v>
      </c>
      <c r="F155" s="16" t="s">
        <v>799</v>
      </c>
    </row>
    <row r="156" spans="1:10" x14ac:dyDescent="0.25">
      <c r="A156" s="16" t="s">
        <v>800</v>
      </c>
      <c r="B156" s="17" t="s">
        <v>801</v>
      </c>
      <c r="C156" s="17" t="s">
        <v>11</v>
      </c>
      <c r="D156" s="17" t="s">
        <v>148</v>
      </c>
      <c r="E156" s="17" t="s">
        <v>20</v>
      </c>
      <c r="F156" s="16" t="s">
        <v>802</v>
      </c>
    </row>
    <row r="157" spans="1:10" x14ac:dyDescent="0.25">
      <c r="A157" s="16" t="s">
        <v>803</v>
      </c>
      <c r="B157" s="17" t="s">
        <v>804</v>
      </c>
      <c r="C157" s="17" t="s">
        <v>11</v>
      </c>
      <c r="D157" s="17" t="s">
        <v>32</v>
      </c>
      <c r="E157" s="17" t="s">
        <v>20</v>
      </c>
      <c r="F157" s="16" t="s">
        <v>805</v>
      </c>
    </row>
    <row r="158" spans="1:10" x14ac:dyDescent="0.25">
      <c r="A158" s="16" t="s">
        <v>806</v>
      </c>
      <c r="B158" s="17" t="s">
        <v>807</v>
      </c>
      <c r="C158" s="17" t="s">
        <v>359</v>
      </c>
      <c r="D158" s="17" t="s">
        <v>148</v>
      </c>
      <c r="E158" s="17" t="s">
        <v>20</v>
      </c>
      <c r="F158" s="16" t="s">
        <v>808</v>
      </c>
    </row>
    <row r="159" spans="1:10" x14ac:dyDescent="0.25">
      <c r="A159" s="16" t="s">
        <v>809</v>
      </c>
      <c r="B159" s="17" t="s">
        <v>810</v>
      </c>
      <c r="C159" s="17" t="s">
        <v>11</v>
      </c>
      <c r="D159" s="17" t="s">
        <v>811</v>
      </c>
      <c r="E159" s="17" t="s">
        <v>20</v>
      </c>
      <c r="F159" s="16" t="s">
        <v>812</v>
      </c>
    </row>
    <row r="160" spans="1:10" x14ac:dyDescent="0.25">
      <c r="A160" s="16" t="s">
        <v>813</v>
      </c>
      <c r="B160" s="17" t="s">
        <v>814</v>
      </c>
      <c r="C160" s="17" t="s">
        <v>11</v>
      </c>
      <c r="D160" s="17" t="s">
        <v>182</v>
      </c>
      <c r="E160" s="17" t="s">
        <v>20</v>
      </c>
      <c r="F160" s="16" t="s">
        <v>815</v>
      </c>
    </row>
    <row r="161" spans="1:6" x14ac:dyDescent="0.25">
      <c r="A161" s="16" t="s">
        <v>816</v>
      </c>
      <c r="B161" s="17" t="s">
        <v>817</v>
      </c>
      <c r="C161" s="17" t="s">
        <v>11</v>
      </c>
      <c r="D161" s="17" t="s">
        <v>649</v>
      </c>
      <c r="E161" s="17" t="s">
        <v>20</v>
      </c>
      <c r="F161" s="16" t="s">
        <v>818</v>
      </c>
    </row>
    <row r="162" spans="1:6" x14ac:dyDescent="0.25">
      <c r="A162" s="16" t="s">
        <v>819</v>
      </c>
      <c r="B162" s="17" t="s">
        <v>820</v>
      </c>
      <c r="C162" s="17" t="s">
        <v>11</v>
      </c>
      <c r="D162" s="17" t="s">
        <v>74</v>
      </c>
      <c r="E162" s="17" t="s">
        <v>20</v>
      </c>
      <c r="F162" s="16" t="s">
        <v>821</v>
      </c>
    </row>
    <row r="163" spans="1:6" x14ac:dyDescent="0.25">
      <c r="A163" s="16" t="s">
        <v>822</v>
      </c>
      <c r="B163" s="17" t="s">
        <v>823</v>
      </c>
      <c r="C163" s="17" t="s">
        <v>11</v>
      </c>
      <c r="D163" s="17" t="s">
        <v>74</v>
      </c>
      <c r="E163" s="17" t="s">
        <v>20</v>
      </c>
      <c r="F163" s="16" t="s">
        <v>824</v>
      </c>
    </row>
    <row r="164" spans="1:6" x14ac:dyDescent="0.25">
      <c r="A164" s="16" t="s">
        <v>825</v>
      </c>
      <c r="B164" s="17" t="s">
        <v>826</v>
      </c>
      <c r="C164" s="17" t="s">
        <v>11</v>
      </c>
      <c r="D164" s="17" t="s">
        <v>182</v>
      </c>
      <c r="E164" s="17" t="s">
        <v>20</v>
      </c>
      <c r="F164" s="16" t="s">
        <v>827</v>
      </c>
    </row>
    <row r="165" spans="1:6" x14ac:dyDescent="0.25">
      <c r="A165" s="16" t="s">
        <v>828</v>
      </c>
      <c r="B165" s="17" t="s">
        <v>829</v>
      </c>
      <c r="C165" s="17" t="s">
        <v>11</v>
      </c>
      <c r="D165" s="17" t="s">
        <v>250</v>
      </c>
      <c r="E165" s="17" t="s">
        <v>20</v>
      </c>
      <c r="F165" s="16" t="s">
        <v>830</v>
      </c>
    </row>
    <row r="166" spans="1:6" x14ac:dyDescent="0.25">
      <c r="A166" s="16" t="s">
        <v>831</v>
      </c>
      <c r="B166" s="17" t="s">
        <v>832</v>
      </c>
      <c r="C166" s="17" t="s">
        <v>11</v>
      </c>
      <c r="D166" s="17" t="s">
        <v>12</v>
      </c>
      <c r="E166" s="17" t="s">
        <v>13</v>
      </c>
      <c r="F166" s="16" t="s">
        <v>833</v>
      </c>
    </row>
    <row r="167" spans="1:6" x14ac:dyDescent="0.25">
      <c r="A167" s="16" t="s">
        <v>834</v>
      </c>
      <c r="B167" s="17" t="s">
        <v>835</v>
      </c>
      <c r="C167" s="17" t="s">
        <v>11</v>
      </c>
      <c r="D167" s="17" t="s">
        <v>32</v>
      </c>
      <c r="E167" s="17" t="s">
        <v>20</v>
      </c>
      <c r="F167" s="16" t="s">
        <v>836</v>
      </c>
    </row>
    <row r="168" spans="1:6" x14ac:dyDescent="0.25">
      <c r="A168" s="16" t="s">
        <v>837</v>
      </c>
      <c r="B168" s="17" t="s">
        <v>838</v>
      </c>
      <c r="C168" s="17" t="s">
        <v>11</v>
      </c>
      <c r="D168" s="17" t="s">
        <v>12</v>
      </c>
      <c r="E168" s="17" t="s">
        <v>13</v>
      </c>
      <c r="F168" s="16" t="s">
        <v>839</v>
      </c>
    </row>
    <row r="169" spans="1:6" x14ac:dyDescent="0.25">
      <c r="A169" s="16" t="s">
        <v>840</v>
      </c>
      <c r="B169" s="17" t="s">
        <v>841</v>
      </c>
      <c r="C169" s="17" t="s">
        <v>11</v>
      </c>
      <c r="D169" s="17" t="s">
        <v>68</v>
      </c>
      <c r="E169" s="17" t="s">
        <v>20</v>
      </c>
      <c r="F169" s="16" t="s">
        <v>842</v>
      </c>
    </row>
    <row r="170" spans="1:6" x14ac:dyDescent="0.25">
      <c r="A170" s="16" t="s">
        <v>843</v>
      </c>
      <c r="B170" s="17" t="s">
        <v>844</v>
      </c>
      <c r="C170" s="17" t="s">
        <v>11</v>
      </c>
      <c r="D170" s="17" t="s">
        <v>544</v>
      </c>
      <c r="E170" s="17" t="s">
        <v>20</v>
      </c>
      <c r="F170" s="16" t="s">
        <v>845</v>
      </c>
    </row>
    <row r="171" spans="1:6" x14ac:dyDescent="0.25">
      <c r="A171" s="16" t="s">
        <v>846</v>
      </c>
      <c r="B171" s="17" t="s">
        <v>847</v>
      </c>
      <c r="C171" s="17" t="s">
        <v>11</v>
      </c>
      <c r="D171" s="17" t="s">
        <v>19</v>
      </c>
      <c r="E171" s="17" t="s">
        <v>20</v>
      </c>
      <c r="F171" s="16" t="s">
        <v>848</v>
      </c>
    </row>
    <row r="172" spans="1:6" x14ac:dyDescent="0.25">
      <c r="A172" s="16" t="s">
        <v>849</v>
      </c>
      <c r="B172" s="17" t="s">
        <v>850</v>
      </c>
      <c r="C172" s="17" t="s">
        <v>11</v>
      </c>
      <c r="D172" s="17" t="s">
        <v>32</v>
      </c>
      <c r="E172" s="17" t="s">
        <v>20</v>
      </c>
      <c r="F172" s="16" t="s">
        <v>851</v>
      </c>
    </row>
    <row r="173" spans="1:6" x14ac:dyDescent="0.25">
      <c r="A173" s="16" t="s">
        <v>852</v>
      </c>
      <c r="B173" s="17" t="s">
        <v>853</v>
      </c>
      <c r="C173" s="17" t="s">
        <v>11</v>
      </c>
      <c r="D173" s="17" t="s">
        <v>12</v>
      </c>
      <c r="E173" s="17" t="s">
        <v>13</v>
      </c>
      <c r="F173" s="16" t="s">
        <v>854</v>
      </c>
    </row>
    <row r="174" spans="1:6" x14ac:dyDescent="0.25">
      <c r="A174" s="16" t="s">
        <v>855</v>
      </c>
      <c r="B174" s="17" t="s">
        <v>856</v>
      </c>
      <c r="C174" s="17" t="s">
        <v>11</v>
      </c>
      <c r="D174" s="17" t="s">
        <v>32</v>
      </c>
      <c r="E174" s="17" t="s">
        <v>20</v>
      </c>
      <c r="F174" s="16" t="s">
        <v>857</v>
      </c>
    </row>
    <row r="175" spans="1:6" x14ac:dyDescent="0.25">
      <c r="A175" s="16" t="s">
        <v>858</v>
      </c>
      <c r="B175" s="17" t="s">
        <v>859</v>
      </c>
      <c r="C175" s="17" t="s">
        <v>11</v>
      </c>
      <c r="D175" s="17" t="s">
        <v>12</v>
      </c>
      <c r="E175" s="17" t="s">
        <v>13</v>
      </c>
      <c r="F175" s="16" t="s">
        <v>860</v>
      </c>
    </row>
    <row r="176" spans="1:6" x14ac:dyDescent="0.25">
      <c r="A176" s="16" t="s">
        <v>861</v>
      </c>
      <c r="B176" s="17" t="s">
        <v>862</v>
      </c>
      <c r="C176" s="17" t="s">
        <v>11</v>
      </c>
      <c r="D176" s="17" t="s">
        <v>32</v>
      </c>
      <c r="E176" s="17" t="s">
        <v>20</v>
      </c>
      <c r="F176" s="16" t="s">
        <v>863</v>
      </c>
    </row>
    <row r="177" spans="1:6" x14ac:dyDescent="0.25">
      <c r="A177" s="16" t="s">
        <v>864</v>
      </c>
      <c r="B177" s="17" t="s">
        <v>865</v>
      </c>
      <c r="C177" s="17" t="s">
        <v>11</v>
      </c>
      <c r="D177" s="17" t="s">
        <v>12</v>
      </c>
      <c r="E177" s="17" t="s">
        <v>13</v>
      </c>
      <c r="F177" s="16" t="s">
        <v>866</v>
      </c>
    </row>
    <row r="178" spans="1:6" x14ac:dyDescent="0.25">
      <c r="A178" s="16" t="s">
        <v>867</v>
      </c>
      <c r="B178" s="17" t="s">
        <v>868</v>
      </c>
      <c r="C178" s="17" t="s">
        <v>11</v>
      </c>
      <c r="D178" s="17" t="s">
        <v>32</v>
      </c>
      <c r="E178" s="17" t="s">
        <v>20</v>
      </c>
      <c r="F178" s="16" t="s">
        <v>869</v>
      </c>
    </row>
    <row r="179" spans="1:6" x14ac:dyDescent="0.25">
      <c r="A179" s="16" t="s">
        <v>870</v>
      </c>
      <c r="B179" s="17" t="s">
        <v>871</v>
      </c>
      <c r="C179" s="17" t="s">
        <v>11</v>
      </c>
      <c r="D179" s="17" t="s">
        <v>12</v>
      </c>
      <c r="E179" s="17" t="s">
        <v>13</v>
      </c>
      <c r="F179" s="16" t="s">
        <v>872</v>
      </c>
    </row>
    <row r="180" spans="1:6" x14ac:dyDescent="0.25">
      <c r="A180" s="16" t="s">
        <v>873</v>
      </c>
      <c r="B180" s="17" t="s">
        <v>874</v>
      </c>
      <c r="C180" s="17" t="s">
        <v>11</v>
      </c>
      <c r="D180" s="17" t="s">
        <v>59</v>
      </c>
      <c r="E180" s="17" t="s">
        <v>13</v>
      </c>
      <c r="F180" s="16" t="s">
        <v>875</v>
      </c>
    </row>
    <row r="181" spans="1:6" x14ac:dyDescent="0.25">
      <c r="A181" s="16" t="s">
        <v>876</v>
      </c>
      <c r="B181" s="17" t="s">
        <v>877</v>
      </c>
      <c r="C181" s="17" t="s">
        <v>11</v>
      </c>
      <c r="D181" s="17" t="s">
        <v>59</v>
      </c>
      <c r="E181" s="17" t="s">
        <v>13</v>
      </c>
      <c r="F181" s="16" t="s">
        <v>878</v>
      </c>
    </row>
    <row r="182" spans="1:6" x14ac:dyDescent="0.25">
      <c r="A182" s="16" t="s">
        <v>879</v>
      </c>
      <c r="B182" s="17" t="s">
        <v>880</v>
      </c>
      <c r="C182" s="17" t="s">
        <v>11</v>
      </c>
      <c r="D182" s="17" t="s">
        <v>12</v>
      </c>
      <c r="E182" s="17" t="s">
        <v>13</v>
      </c>
      <c r="F182" s="16" t="s">
        <v>881</v>
      </c>
    </row>
    <row r="183" spans="1:6" x14ac:dyDescent="0.25">
      <c r="A183" s="16" t="s">
        <v>882</v>
      </c>
      <c r="B183" s="17" t="s">
        <v>883</v>
      </c>
      <c r="C183" s="17" t="s">
        <v>11</v>
      </c>
      <c r="D183" s="17" t="s">
        <v>32</v>
      </c>
      <c r="E183" s="17" t="s">
        <v>20</v>
      </c>
      <c r="F183" s="16" t="s">
        <v>884</v>
      </c>
    </row>
    <row r="184" spans="1:6" x14ac:dyDescent="0.25">
      <c r="A184" s="16" t="s">
        <v>885</v>
      </c>
      <c r="B184" s="17" t="s">
        <v>886</v>
      </c>
      <c r="C184" s="17" t="s">
        <v>11</v>
      </c>
      <c r="D184" s="17" t="s">
        <v>148</v>
      </c>
      <c r="E184" s="17" t="s">
        <v>20</v>
      </c>
      <c r="F184" s="16" t="s">
        <v>887</v>
      </c>
    </row>
    <row r="185" spans="1:6" x14ac:dyDescent="0.25">
      <c r="A185" s="16" t="s">
        <v>888</v>
      </c>
      <c r="B185" s="17" t="s">
        <v>889</v>
      </c>
      <c r="C185" s="17" t="s">
        <v>11</v>
      </c>
      <c r="D185" s="17" t="s">
        <v>12</v>
      </c>
      <c r="E185" s="17" t="s">
        <v>13</v>
      </c>
      <c r="F185" s="16" t="s">
        <v>890</v>
      </c>
    </row>
    <row r="186" spans="1:6" x14ac:dyDescent="0.25">
      <c r="A186" s="16" t="s">
        <v>891</v>
      </c>
      <c r="B186" s="17" t="s">
        <v>892</v>
      </c>
      <c r="C186" s="17" t="s">
        <v>11</v>
      </c>
      <c r="D186" s="17" t="s">
        <v>12</v>
      </c>
      <c r="E186" s="17" t="s">
        <v>13</v>
      </c>
      <c r="F186" s="16" t="s">
        <v>893</v>
      </c>
    </row>
    <row r="187" spans="1:6" x14ac:dyDescent="0.25">
      <c r="A187" s="16" t="s">
        <v>894</v>
      </c>
      <c r="B187" s="17" t="s">
        <v>895</v>
      </c>
      <c r="C187" s="17" t="s">
        <v>11</v>
      </c>
      <c r="D187" s="17" t="s">
        <v>12</v>
      </c>
      <c r="E187" s="17" t="s">
        <v>13</v>
      </c>
      <c r="F187" s="16" t="s">
        <v>896</v>
      </c>
    </row>
    <row r="188" spans="1:6" x14ac:dyDescent="0.25">
      <c r="A188" s="16" t="s">
        <v>897</v>
      </c>
      <c r="B188" s="17" t="s">
        <v>898</v>
      </c>
      <c r="C188" s="17" t="s">
        <v>11</v>
      </c>
      <c r="D188" s="17" t="s">
        <v>26</v>
      </c>
      <c r="E188" s="17" t="s">
        <v>20</v>
      </c>
      <c r="F188" s="16" t="s">
        <v>899</v>
      </c>
    </row>
    <row r="189" spans="1:6" x14ac:dyDescent="0.25">
      <c r="A189" s="16" t="s">
        <v>900</v>
      </c>
      <c r="B189" s="17" t="s">
        <v>901</v>
      </c>
      <c r="C189" s="17" t="s">
        <v>11</v>
      </c>
      <c r="D189" s="17" t="s">
        <v>12</v>
      </c>
      <c r="E189" s="17" t="s">
        <v>13</v>
      </c>
      <c r="F189" s="16" t="s">
        <v>902</v>
      </c>
    </row>
    <row r="190" spans="1:6" x14ac:dyDescent="0.25">
      <c r="A190" s="16" t="s">
        <v>903</v>
      </c>
      <c r="B190" s="17" t="s">
        <v>904</v>
      </c>
      <c r="C190" s="17" t="s">
        <v>11</v>
      </c>
      <c r="D190" s="17" t="s">
        <v>12</v>
      </c>
      <c r="E190" s="17" t="s">
        <v>13</v>
      </c>
      <c r="F190" s="16" t="s">
        <v>905</v>
      </c>
    </row>
    <row r="191" spans="1:6" x14ac:dyDescent="0.25">
      <c r="A191" s="16" t="s">
        <v>906</v>
      </c>
      <c r="B191" s="17" t="s">
        <v>907</v>
      </c>
      <c r="C191" s="17" t="s">
        <v>11</v>
      </c>
      <c r="D191" s="17" t="s">
        <v>12</v>
      </c>
      <c r="E191" s="17" t="s">
        <v>13</v>
      </c>
      <c r="F191" s="16" t="s">
        <v>908</v>
      </c>
    </row>
    <row r="192" spans="1:6" x14ac:dyDescent="0.25">
      <c r="A192" s="16" t="s">
        <v>909</v>
      </c>
      <c r="B192" s="17" t="s">
        <v>910</v>
      </c>
      <c r="C192" s="17" t="s">
        <v>11</v>
      </c>
      <c r="D192" s="17" t="s">
        <v>12</v>
      </c>
      <c r="E192" s="17" t="s">
        <v>13</v>
      </c>
      <c r="F192" s="16" t="s">
        <v>911</v>
      </c>
    </row>
    <row r="193" spans="1:6" x14ac:dyDescent="0.25">
      <c r="A193" s="16" t="s">
        <v>912</v>
      </c>
      <c r="B193" s="17" t="s">
        <v>913</v>
      </c>
      <c r="C193" s="17" t="s">
        <v>11</v>
      </c>
      <c r="D193" s="17" t="s">
        <v>12</v>
      </c>
      <c r="E193" s="17" t="s">
        <v>13</v>
      </c>
      <c r="F193" s="16" t="s">
        <v>914</v>
      </c>
    </row>
    <row r="194" spans="1:6" x14ac:dyDescent="0.25">
      <c r="A194" s="16" t="s">
        <v>915</v>
      </c>
      <c r="B194" s="17" t="s">
        <v>916</v>
      </c>
      <c r="C194" s="17" t="s">
        <v>11</v>
      </c>
      <c r="D194" s="17" t="s">
        <v>12</v>
      </c>
      <c r="E194" s="17" t="s">
        <v>13</v>
      </c>
      <c r="F194" s="16" t="s">
        <v>917</v>
      </c>
    </row>
    <row r="195" spans="1:6" x14ac:dyDescent="0.25">
      <c r="A195" s="16" t="s">
        <v>918</v>
      </c>
      <c r="B195" s="17" t="s">
        <v>919</v>
      </c>
      <c r="C195" s="17" t="s">
        <v>11</v>
      </c>
      <c r="D195" s="17" t="s">
        <v>12</v>
      </c>
      <c r="E195" s="17" t="s">
        <v>13</v>
      </c>
      <c r="F195" s="16" t="s">
        <v>920</v>
      </c>
    </row>
    <row r="196" spans="1:6" x14ac:dyDescent="0.25">
      <c r="A196" s="16" t="s">
        <v>921</v>
      </c>
      <c r="B196" s="17" t="s">
        <v>922</v>
      </c>
      <c r="C196" s="17" t="s">
        <v>11</v>
      </c>
      <c r="D196" s="17" t="s">
        <v>59</v>
      </c>
      <c r="E196" s="17" t="s">
        <v>13</v>
      </c>
      <c r="F196" s="16" t="s">
        <v>923</v>
      </c>
    </row>
    <row r="197" spans="1:6" x14ac:dyDescent="0.25">
      <c r="A197" s="16" t="s">
        <v>924</v>
      </c>
      <c r="B197" s="17" t="s">
        <v>925</v>
      </c>
      <c r="C197" s="17" t="s">
        <v>11</v>
      </c>
      <c r="D197" s="17" t="s">
        <v>12</v>
      </c>
      <c r="E197" s="17" t="s">
        <v>13</v>
      </c>
      <c r="F197" s="16" t="s">
        <v>926</v>
      </c>
    </row>
    <row r="198" spans="1:6" x14ac:dyDescent="0.25">
      <c r="A198" s="16" t="s">
        <v>927</v>
      </c>
      <c r="B198" s="17" t="s">
        <v>928</v>
      </c>
      <c r="C198" s="17" t="s">
        <v>11</v>
      </c>
      <c r="D198" s="17" t="s">
        <v>12</v>
      </c>
      <c r="E198" s="17" t="s">
        <v>13</v>
      </c>
      <c r="F198" s="16" t="s">
        <v>929</v>
      </c>
    </row>
    <row r="199" spans="1:6" x14ac:dyDescent="0.25">
      <c r="A199" s="16" t="s">
        <v>930</v>
      </c>
      <c r="B199" s="17" t="s">
        <v>931</v>
      </c>
      <c r="C199" s="17" t="s">
        <v>11</v>
      </c>
      <c r="D199" s="17" t="s">
        <v>12</v>
      </c>
      <c r="E199" s="17" t="s">
        <v>13</v>
      </c>
      <c r="F199" s="16" t="s">
        <v>932</v>
      </c>
    </row>
    <row r="200" spans="1:6" x14ac:dyDescent="0.25">
      <c r="A200" s="16" t="s">
        <v>933</v>
      </c>
      <c r="B200" s="17" t="s">
        <v>934</v>
      </c>
      <c r="C200" s="17" t="s">
        <v>11</v>
      </c>
      <c r="D200" s="17" t="s">
        <v>32</v>
      </c>
      <c r="E200" s="17" t="s">
        <v>20</v>
      </c>
      <c r="F200" s="16" t="s">
        <v>935</v>
      </c>
    </row>
    <row r="201" spans="1:6" x14ac:dyDescent="0.25">
      <c r="A201" s="16" t="s">
        <v>936</v>
      </c>
      <c r="B201" s="17" t="s">
        <v>937</v>
      </c>
      <c r="C201" s="17" t="s">
        <v>11</v>
      </c>
      <c r="D201" s="17" t="s">
        <v>32</v>
      </c>
      <c r="E201" s="17" t="s">
        <v>20</v>
      </c>
      <c r="F201" s="16" t="s">
        <v>938</v>
      </c>
    </row>
    <row r="202" spans="1:6" x14ac:dyDescent="0.25">
      <c r="A202" s="16" t="s">
        <v>939</v>
      </c>
      <c r="B202" s="17" t="s">
        <v>940</v>
      </c>
      <c r="C202" s="17" t="s">
        <v>11</v>
      </c>
      <c r="D202" s="17" t="s">
        <v>83</v>
      </c>
      <c r="E202" s="17" t="s">
        <v>20</v>
      </c>
      <c r="F202" s="16" t="s">
        <v>941</v>
      </c>
    </row>
    <row r="203" spans="1:6" x14ac:dyDescent="0.25">
      <c r="A203" s="16" t="s">
        <v>942</v>
      </c>
      <c r="B203" s="17" t="s">
        <v>943</v>
      </c>
      <c r="C203" s="17" t="s">
        <v>11</v>
      </c>
      <c r="D203" s="17" t="s">
        <v>12</v>
      </c>
      <c r="E203" s="17" t="s">
        <v>13</v>
      </c>
      <c r="F203" s="16" t="s">
        <v>944</v>
      </c>
    </row>
    <row r="204" spans="1:6" x14ac:dyDescent="0.25">
      <c r="A204" s="16" t="s">
        <v>945</v>
      </c>
      <c r="B204" s="17" t="s">
        <v>946</v>
      </c>
      <c r="C204" s="17" t="s">
        <v>11</v>
      </c>
      <c r="D204" s="17" t="s">
        <v>12</v>
      </c>
      <c r="E204" s="17" t="s">
        <v>13</v>
      </c>
      <c r="F204" s="16" t="s">
        <v>947</v>
      </c>
    </row>
    <row r="205" spans="1:6" x14ac:dyDescent="0.25">
      <c r="A205" s="16" t="s">
        <v>948</v>
      </c>
      <c r="B205" s="17" t="s">
        <v>949</v>
      </c>
      <c r="C205" s="17" t="s">
        <v>11</v>
      </c>
      <c r="D205" s="17" t="s">
        <v>12</v>
      </c>
      <c r="E205" s="17" t="s">
        <v>13</v>
      </c>
      <c r="F205" s="16" t="s">
        <v>950</v>
      </c>
    </row>
    <row r="206" spans="1:6" x14ac:dyDescent="0.25">
      <c r="A206" s="16" t="s">
        <v>951</v>
      </c>
      <c r="B206" s="17" t="s">
        <v>952</v>
      </c>
      <c r="C206" s="17" t="s">
        <v>11</v>
      </c>
      <c r="D206" s="17" t="s">
        <v>32</v>
      </c>
      <c r="E206" s="17" t="s">
        <v>20</v>
      </c>
      <c r="F206" s="16" t="s">
        <v>953</v>
      </c>
    </row>
    <row r="207" spans="1:6" x14ac:dyDescent="0.25">
      <c r="A207" s="16" t="s">
        <v>954</v>
      </c>
      <c r="B207" s="17" t="s">
        <v>955</v>
      </c>
      <c r="C207" s="17" t="s">
        <v>11</v>
      </c>
      <c r="D207" s="17" t="s">
        <v>12</v>
      </c>
      <c r="E207" s="17" t="s">
        <v>13</v>
      </c>
      <c r="F207" s="16" t="s">
        <v>956</v>
      </c>
    </row>
    <row r="208" spans="1:6" x14ac:dyDescent="0.25">
      <c r="A208" s="16" t="s">
        <v>957</v>
      </c>
      <c r="B208" s="17" t="s">
        <v>958</v>
      </c>
      <c r="C208" s="17" t="s">
        <v>11</v>
      </c>
      <c r="D208" s="17" t="s">
        <v>12</v>
      </c>
      <c r="E208" s="17" t="s">
        <v>13</v>
      </c>
      <c r="F208" s="16" t="s">
        <v>959</v>
      </c>
    </row>
    <row r="209" spans="1:6" x14ac:dyDescent="0.25">
      <c r="A209" s="16" t="s">
        <v>960</v>
      </c>
      <c r="B209" s="17" t="s">
        <v>961</v>
      </c>
      <c r="C209" s="17" t="s">
        <v>11</v>
      </c>
      <c r="D209" s="17" t="s">
        <v>12</v>
      </c>
      <c r="E209" s="17" t="s">
        <v>13</v>
      </c>
      <c r="F209" s="16" t="s">
        <v>962</v>
      </c>
    </row>
    <row r="210" spans="1:6" x14ac:dyDescent="0.25">
      <c r="A210" s="16" t="s">
        <v>963</v>
      </c>
      <c r="B210" s="17" t="s">
        <v>964</v>
      </c>
      <c r="C210" s="17" t="s">
        <v>11</v>
      </c>
      <c r="D210" s="17" t="s">
        <v>32</v>
      </c>
      <c r="E210" s="17" t="s">
        <v>20</v>
      </c>
      <c r="F210" s="16" t="s">
        <v>965</v>
      </c>
    </row>
    <row r="211" spans="1:6" x14ac:dyDescent="0.25">
      <c r="A211" s="16" t="s">
        <v>966</v>
      </c>
      <c r="B211" s="17" t="s">
        <v>967</v>
      </c>
      <c r="C211" s="17" t="s">
        <v>11</v>
      </c>
      <c r="D211" s="17" t="s">
        <v>12</v>
      </c>
      <c r="E211" s="17" t="s">
        <v>13</v>
      </c>
      <c r="F211" s="16" t="s">
        <v>968</v>
      </c>
    </row>
    <row r="212" spans="1:6" x14ac:dyDescent="0.25">
      <c r="A212" s="16" t="s">
        <v>969</v>
      </c>
      <c r="B212" s="17" t="s">
        <v>970</v>
      </c>
      <c r="C212" s="17" t="s">
        <v>11</v>
      </c>
      <c r="D212" s="17" t="s">
        <v>80</v>
      </c>
      <c r="E212" s="17" t="s">
        <v>20</v>
      </c>
      <c r="F212" s="16" t="s">
        <v>971</v>
      </c>
    </row>
    <row r="213" spans="1:6" x14ac:dyDescent="0.25">
      <c r="A213" s="16" t="s">
        <v>972</v>
      </c>
      <c r="B213" s="17" t="s">
        <v>973</v>
      </c>
      <c r="C213" s="17" t="s">
        <v>11</v>
      </c>
      <c r="D213" s="17" t="s">
        <v>12</v>
      </c>
      <c r="E213" s="17" t="s">
        <v>13</v>
      </c>
      <c r="F213" s="16" t="s">
        <v>974</v>
      </c>
    </row>
    <row r="214" spans="1:6" x14ac:dyDescent="0.25">
      <c r="A214" s="16" t="s">
        <v>975</v>
      </c>
      <c r="B214" s="17" t="s">
        <v>976</v>
      </c>
      <c r="C214" s="17" t="s">
        <v>11</v>
      </c>
      <c r="D214" s="17" t="s">
        <v>12</v>
      </c>
      <c r="E214" s="17" t="s">
        <v>13</v>
      </c>
      <c r="F214" s="16" t="s">
        <v>977</v>
      </c>
    </row>
    <row r="215" spans="1:6" x14ac:dyDescent="0.25">
      <c r="A215" s="16" t="s">
        <v>978</v>
      </c>
      <c r="B215" s="17" t="s">
        <v>979</v>
      </c>
      <c r="C215" s="17" t="s">
        <v>11</v>
      </c>
      <c r="D215" s="17" t="s">
        <v>12</v>
      </c>
      <c r="E215" s="17" t="s">
        <v>13</v>
      </c>
      <c r="F215" s="16" t="s">
        <v>980</v>
      </c>
    </row>
    <row r="216" spans="1:6" x14ac:dyDescent="0.25">
      <c r="A216" s="16" t="s">
        <v>981</v>
      </c>
      <c r="B216" s="17" t="s">
        <v>982</v>
      </c>
      <c r="C216" s="17" t="s">
        <v>11</v>
      </c>
      <c r="D216" s="17" t="s">
        <v>12</v>
      </c>
      <c r="E216" s="17" t="s">
        <v>13</v>
      </c>
      <c r="F216" s="16" t="s">
        <v>983</v>
      </c>
    </row>
    <row r="217" spans="1:6" x14ac:dyDescent="0.25">
      <c r="A217" s="16" t="s">
        <v>984</v>
      </c>
      <c r="B217" s="17" t="s">
        <v>985</v>
      </c>
      <c r="C217" s="17" t="s">
        <v>11</v>
      </c>
      <c r="D217" s="17" t="s">
        <v>32</v>
      </c>
      <c r="E217" s="17" t="s">
        <v>20</v>
      </c>
      <c r="F217" s="16" t="s">
        <v>986</v>
      </c>
    </row>
    <row r="218" spans="1:6" x14ac:dyDescent="0.25">
      <c r="A218" s="16" t="s">
        <v>987</v>
      </c>
      <c r="B218" s="17" t="s">
        <v>988</v>
      </c>
      <c r="C218" s="17" t="s">
        <v>11</v>
      </c>
      <c r="D218" s="17" t="s">
        <v>182</v>
      </c>
      <c r="E218" s="17" t="s">
        <v>20</v>
      </c>
      <c r="F218" s="16" t="s">
        <v>989</v>
      </c>
    </row>
    <row r="219" spans="1:6" x14ac:dyDescent="0.25">
      <c r="A219" s="16" t="s">
        <v>990</v>
      </c>
      <c r="B219" s="17" t="s">
        <v>991</v>
      </c>
      <c r="C219" s="17" t="s">
        <v>11</v>
      </c>
      <c r="D219" s="17" t="s">
        <v>12</v>
      </c>
      <c r="E219" s="17" t="s">
        <v>13</v>
      </c>
      <c r="F219" s="16" t="s">
        <v>992</v>
      </c>
    </row>
    <row r="220" spans="1:6" x14ac:dyDescent="0.25">
      <c r="A220" s="16" t="s">
        <v>993</v>
      </c>
      <c r="B220" s="17" t="s">
        <v>994</v>
      </c>
      <c r="C220" s="17" t="s">
        <v>11</v>
      </c>
      <c r="D220" s="17" t="s">
        <v>12</v>
      </c>
      <c r="E220" s="17" t="s">
        <v>13</v>
      </c>
      <c r="F220" s="16" t="s">
        <v>995</v>
      </c>
    </row>
    <row r="221" spans="1:6" x14ac:dyDescent="0.25">
      <c r="A221" s="16" t="s">
        <v>996</v>
      </c>
      <c r="B221" s="17" t="s">
        <v>997</v>
      </c>
      <c r="C221" s="17" t="s">
        <v>11</v>
      </c>
      <c r="D221" s="17" t="s">
        <v>12</v>
      </c>
      <c r="E221" s="17" t="s">
        <v>13</v>
      </c>
      <c r="F221" s="16" t="s">
        <v>998</v>
      </c>
    </row>
    <row r="222" spans="1:6" x14ac:dyDescent="0.25">
      <c r="A222" s="16" t="s">
        <v>999</v>
      </c>
      <c r="B222" s="17" t="s">
        <v>1000</v>
      </c>
      <c r="C222" s="17" t="s">
        <v>11</v>
      </c>
      <c r="D222" s="17" t="s">
        <v>12</v>
      </c>
      <c r="E222" s="17" t="s">
        <v>13</v>
      </c>
      <c r="F222" s="16" t="s">
        <v>1001</v>
      </c>
    </row>
    <row r="223" spans="1:6" x14ac:dyDescent="0.25">
      <c r="A223" s="16" t="s">
        <v>1002</v>
      </c>
      <c r="B223" s="17" t="s">
        <v>1003</v>
      </c>
      <c r="C223" s="17" t="s">
        <v>11</v>
      </c>
      <c r="D223" s="17" t="s">
        <v>12</v>
      </c>
      <c r="E223" s="17" t="s">
        <v>13</v>
      </c>
      <c r="F223" s="16" t="s">
        <v>1004</v>
      </c>
    </row>
    <row r="224" spans="1:6" x14ac:dyDescent="0.25">
      <c r="A224" s="16" t="s">
        <v>1005</v>
      </c>
      <c r="B224" s="17" t="s">
        <v>1006</v>
      </c>
      <c r="C224" s="17" t="s">
        <v>11</v>
      </c>
      <c r="D224" s="17" t="s">
        <v>12</v>
      </c>
      <c r="E224" s="17" t="s">
        <v>13</v>
      </c>
      <c r="F224" s="16" t="s">
        <v>1007</v>
      </c>
    </row>
    <row r="225" spans="1:6" x14ac:dyDescent="0.25">
      <c r="A225" s="16" t="s">
        <v>1008</v>
      </c>
      <c r="B225" s="17" t="s">
        <v>1009</v>
      </c>
      <c r="C225" s="17" t="s">
        <v>11</v>
      </c>
      <c r="D225" s="17" t="s">
        <v>12</v>
      </c>
      <c r="E225" s="17" t="s">
        <v>13</v>
      </c>
      <c r="F225" s="16" t="s">
        <v>1010</v>
      </c>
    </row>
    <row r="226" spans="1:6" x14ac:dyDescent="0.25">
      <c r="A226" s="16" t="s">
        <v>1011</v>
      </c>
      <c r="B226" s="17" t="s">
        <v>1012</v>
      </c>
      <c r="C226" s="17" t="s">
        <v>11</v>
      </c>
      <c r="D226" s="17" t="s">
        <v>576</v>
      </c>
      <c r="E226" s="17" t="s">
        <v>20</v>
      </c>
      <c r="F226" s="16" t="s">
        <v>1013</v>
      </c>
    </row>
    <row r="227" spans="1:6" x14ac:dyDescent="0.25">
      <c r="A227" s="16" t="s">
        <v>1014</v>
      </c>
      <c r="B227" s="17" t="s">
        <v>1015</v>
      </c>
      <c r="C227" s="17" t="s">
        <v>11</v>
      </c>
      <c r="D227" s="17" t="s">
        <v>12</v>
      </c>
      <c r="E227" s="17" t="s">
        <v>13</v>
      </c>
      <c r="F227" s="16" t="s">
        <v>1016</v>
      </c>
    </row>
    <row r="228" spans="1:6" x14ac:dyDescent="0.25">
      <c r="A228" s="16" t="s">
        <v>1017</v>
      </c>
      <c r="B228" s="17" t="s">
        <v>1018</v>
      </c>
      <c r="C228" s="17" t="s">
        <v>11</v>
      </c>
      <c r="D228" s="17" t="s">
        <v>32</v>
      </c>
      <c r="E228" s="17" t="s">
        <v>20</v>
      </c>
      <c r="F228" s="16" t="s">
        <v>1019</v>
      </c>
    </row>
    <row r="229" spans="1:6" x14ac:dyDescent="0.25">
      <c r="A229" s="16" t="s">
        <v>1020</v>
      </c>
      <c r="B229" s="17" t="s">
        <v>1021</v>
      </c>
      <c r="C229" s="17" t="s">
        <v>11</v>
      </c>
      <c r="D229" s="17" t="s">
        <v>12</v>
      </c>
      <c r="E229" s="17" t="s">
        <v>13</v>
      </c>
      <c r="F229" s="16" t="s">
        <v>1022</v>
      </c>
    </row>
    <row r="230" spans="1:6" x14ac:dyDescent="0.25">
      <c r="A230" s="16" t="s">
        <v>1023</v>
      </c>
      <c r="B230" s="17" t="s">
        <v>1024</v>
      </c>
      <c r="C230" s="17" t="s">
        <v>11</v>
      </c>
      <c r="D230" s="17" t="s">
        <v>12</v>
      </c>
      <c r="E230" s="17" t="s">
        <v>13</v>
      </c>
      <c r="F230" s="16" t="s">
        <v>1025</v>
      </c>
    </row>
    <row r="231" spans="1:6" x14ac:dyDescent="0.25">
      <c r="A231" s="16" t="s">
        <v>1026</v>
      </c>
      <c r="B231" s="17" t="s">
        <v>1027</v>
      </c>
      <c r="C231" s="17" t="s">
        <v>11</v>
      </c>
      <c r="D231" s="17" t="s">
        <v>670</v>
      </c>
      <c r="E231" s="17" t="s">
        <v>20</v>
      </c>
      <c r="F231" s="16" t="s">
        <v>1028</v>
      </c>
    </row>
    <row r="232" spans="1:6" x14ac:dyDescent="0.25">
      <c r="A232" s="16" t="s">
        <v>1029</v>
      </c>
      <c r="B232" s="17" t="s">
        <v>1030</v>
      </c>
      <c r="C232" s="17" t="s">
        <v>11</v>
      </c>
      <c r="D232" s="17" t="s">
        <v>83</v>
      </c>
      <c r="E232" s="17" t="s">
        <v>20</v>
      </c>
      <c r="F232" s="16" t="s">
        <v>1031</v>
      </c>
    </row>
    <row r="233" spans="1:6" x14ac:dyDescent="0.25">
      <c r="A233" s="16" t="s">
        <v>1032</v>
      </c>
      <c r="B233" s="17" t="s">
        <v>1033</v>
      </c>
      <c r="C233" s="17" t="s">
        <v>11</v>
      </c>
      <c r="D233" s="17" t="s">
        <v>12</v>
      </c>
      <c r="E233" s="17" t="s">
        <v>13</v>
      </c>
      <c r="F233" s="16" t="s">
        <v>1034</v>
      </c>
    </row>
    <row r="234" spans="1:6" x14ac:dyDescent="0.25">
      <c r="A234" s="16" t="s">
        <v>1035</v>
      </c>
      <c r="B234" s="17" t="s">
        <v>1036</v>
      </c>
      <c r="C234" s="17" t="s">
        <v>11</v>
      </c>
      <c r="D234" s="17" t="s">
        <v>12</v>
      </c>
      <c r="E234" s="17" t="s">
        <v>13</v>
      </c>
      <c r="F234" s="16" t="s">
        <v>1037</v>
      </c>
    </row>
    <row r="235" spans="1:6" x14ac:dyDescent="0.25">
      <c r="A235" s="16" t="s">
        <v>1038</v>
      </c>
      <c r="B235" s="17" t="s">
        <v>1039</v>
      </c>
      <c r="C235" s="17" t="s">
        <v>11</v>
      </c>
      <c r="D235" s="17" t="s">
        <v>12</v>
      </c>
      <c r="E235" s="17" t="s">
        <v>13</v>
      </c>
      <c r="F235" s="16" t="s">
        <v>1040</v>
      </c>
    </row>
    <row r="236" spans="1:6" x14ac:dyDescent="0.25">
      <c r="A236" s="16" t="s">
        <v>1041</v>
      </c>
      <c r="B236" s="17" t="s">
        <v>1042</v>
      </c>
      <c r="C236" s="17" t="s">
        <v>11</v>
      </c>
      <c r="D236" s="17" t="s">
        <v>32</v>
      </c>
      <c r="E236" s="17" t="s">
        <v>20</v>
      </c>
      <c r="F236" s="16" t="s">
        <v>1043</v>
      </c>
    </row>
    <row r="237" spans="1:6" x14ac:dyDescent="0.25">
      <c r="A237" s="16" t="s">
        <v>1044</v>
      </c>
      <c r="B237" s="17" t="s">
        <v>1045</v>
      </c>
      <c r="C237" s="17" t="s">
        <v>11</v>
      </c>
      <c r="D237" s="17" t="s">
        <v>12</v>
      </c>
      <c r="E237" s="17" t="s">
        <v>13</v>
      </c>
      <c r="F237" s="16" t="s">
        <v>1046</v>
      </c>
    </row>
    <row r="238" spans="1:6" x14ac:dyDescent="0.25">
      <c r="A238" s="16" t="s">
        <v>1047</v>
      </c>
      <c r="B238" s="17" t="s">
        <v>1048</v>
      </c>
      <c r="C238" s="17" t="s">
        <v>11</v>
      </c>
      <c r="D238" s="17" t="s">
        <v>32</v>
      </c>
      <c r="E238" s="17" t="s">
        <v>20</v>
      </c>
      <c r="F238" s="16" t="s">
        <v>1049</v>
      </c>
    </row>
    <row r="239" spans="1:6" x14ac:dyDescent="0.25">
      <c r="A239" s="16" t="s">
        <v>1050</v>
      </c>
      <c r="B239" s="17" t="s">
        <v>1051</v>
      </c>
      <c r="C239" s="17" t="s">
        <v>11</v>
      </c>
      <c r="D239" s="17" t="s">
        <v>19</v>
      </c>
      <c r="E239" s="17" t="s">
        <v>20</v>
      </c>
      <c r="F239" s="16" t="s">
        <v>1052</v>
      </c>
    </row>
    <row r="240" spans="1:6" x14ac:dyDescent="0.25">
      <c r="A240" s="16" t="s">
        <v>1053</v>
      </c>
      <c r="B240" s="17" t="s">
        <v>1054</v>
      </c>
      <c r="C240" s="17" t="s">
        <v>11</v>
      </c>
      <c r="D240" s="17" t="s">
        <v>12</v>
      </c>
      <c r="E240" s="17" t="s">
        <v>13</v>
      </c>
      <c r="F240" s="16" t="s">
        <v>1055</v>
      </c>
    </row>
    <row r="241" spans="1:6" x14ac:dyDescent="0.25">
      <c r="A241" s="16" t="s">
        <v>1056</v>
      </c>
      <c r="B241" s="17" t="s">
        <v>1057</v>
      </c>
      <c r="C241" s="17" t="s">
        <v>11</v>
      </c>
      <c r="D241" s="17" t="s">
        <v>83</v>
      </c>
      <c r="E241" s="17" t="s">
        <v>20</v>
      </c>
      <c r="F241" s="16" t="s">
        <v>1058</v>
      </c>
    </row>
    <row r="242" spans="1:6" x14ac:dyDescent="0.25">
      <c r="A242" s="16" t="s">
        <v>1059</v>
      </c>
      <c r="B242" s="17" t="s">
        <v>1060</v>
      </c>
      <c r="C242" s="17" t="s">
        <v>11</v>
      </c>
      <c r="D242" s="17" t="s">
        <v>74</v>
      </c>
      <c r="E242" s="17" t="s">
        <v>20</v>
      </c>
      <c r="F242" s="16" t="s">
        <v>1061</v>
      </c>
    </row>
    <row r="243" spans="1:6" x14ac:dyDescent="0.25">
      <c r="A243" s="16" t="s">
        <v>1062</v>
      </c>
      <c r="B243" s="17" t="s">
        <v>1063</v>
      </c>
      <c r="C243" s="17" t="s">
        <v>11</v>
      </c>
      <c r="D243" s="17" t="s">
        <v>59</v>
      </c>
      <c r="E243" s="17" t="s">
        <v>13</v>
      </c>
      <c r="F243" s="16" t="s">
        <v>1064</v>
      </c>
    </row>
    <row r="244" spans="1:6" x14ac:dyDescent="0.25">
      <c r="A244" s="16" t="s">
        <v>1065</v>
      </c>
      <c r="B244" s="17" t="s">
        <v>1066</v>
      </c>
      <c r="C244" s="17" t="s">
        <v>11</v>
      </c>
      <c r="D244" s="17" t="s">
        <v>12</v>
      </c>
      <c r="E244" s="17" t="s">
        <v>13</v>
      </c>
      <c r="F244" s="16" t="s">
        <v>1067</v>
      </c>
    </row>
    <row r="245" spans="1:6" x14ac:dyDescent="0.25">
      <c r="A245" s="16" t="s">
        <v>1068</v>
      </c>
      <c r="B245" s="17" t="s">
        <v>1069</v>
      </c>
      <c r="C245" s="17" t="s">
        <v>11</v>
      </c>
      <c r="D245" s="17" t="s">
        <v>182</v>
      </c>
      <c r="E245" s="17" t="s">
        <v>20</v>
      </c>
      <c r="F245" s="16" t="s">
        <v>1070</v>
      </c>
    </row>
    <row r="246" spans="1:6" x14ac:dyDescent="0.25">
      <c r="A246" s="16" t="s">
        <v>1071</v>
      </c>
      <c r="B246" s="17" t="s">
        <v>1072</v>
      </c>
      <c r="C246" s="17" t="s">
        <v>11</v>
      </c>
      <c r="D246" s="17" t="s">
        <v>80</v>
      </c>
      <c r="E246" s="17" t="s">
        <v>20</v>
      </c>
      <c r="F246" s="16" t="s">
        <v>1073</v>
      </c>
    </row>
    <row r="247" spans="1:6" x14ac:dyDescent="0.25">
      <c r="A247" s="16" t="s">
        <v>1074</v>
      </c>
      <c r="B247" s="17" t="s">
        <v>1075</v>
      </c>
      <c r="C247" s="17" t="s">
        <v>11</v>
      </c>
      <c r="D247" s="17" t="s">
        <v>32</v>
      </c>
      <c r="E247" s="17" t="s">
        <v>20</v>
      </c>
      <c r="F247" s="16" t="s">
        <v>1076</v>
      </c>
    </row>
    <row r="248" spans="1:6" x14ac:dyDescent="0.25">
      <c r="A248" s="16" t="s">
        <v>1077</v>
      </c>
      <c r="B248" s="17" t="s">
        <v>1078</v>
      </c>
      <c r="C248" s="17" t="s">
        <v>11</v>
      </c>
      <c r="D248" s="17" t="s">
        <v>12</v>
      </c>
      <c r="E248" s="17" t="s">
        <v>13</v>
      </c>
      <c r="F248" s="16" t="s">
        <v>1079</v>
      </c>
    </row>
    <row r="249" spans="1:6" x14ac:dyDescent="0.25">
      <c r="A249" s="16" t="s">
        <v>1080</v>
      </c>
      <c r="B249" s="17" t="s">
        <v>1081</v>
      </c>
      <c r="C249" s="17" t="s">
        <v>11</v>
      </c>
      <c r="D249" s="17" t="s">
        <v>83</v>
      </c>
      <c r="E249" s="17" t="s">
        <v>20</v>
      </c>
      <c r="F249" s="16" t="s">
        <v>1082</v>
      </c>
    </row>
    <row r="250" spans="1:6" x14ac:dyDescent="0.25">
      <c r="A250" s="16" t="s">
        <v>1083</v>
      </c>
      <c r="B250" s="17" t="s">
        <v>1084</v>
      </c>
      <c r="C250" s="17" t="s">
        <v>11</v>
      </c>
      <c r="D250" s="17" t="s">
        <v>80</v>
      </c>
      <c r="E250" s="17" t="s">
        <v>20</v>
      </c>
      <c r="F250" s="16" t="s">
        <v>1085</v>
      </c>
    </row>
    <row r="251" spans="1:6" x14ac:dyDescent="0.25">
      <c r="A251" s="16" t="s">
        <v>1086</v>
      </c>
      <c r="B251" s="17" t="s">
        <v>1087</v>
      </c>
      <c r="C251" s="17" t="s">
        <v>11</v>
      </c>
      <c r="D251" s="17" t="s">
        <v>83</v>
      </c>
      <c r="E251" s="17" t="s">
        <v>20</v>
      </c>
      <c r="F251" s="16" t="s">
        <v>1088</v>
      </c>
    </row>
    <row r="252" spans="1:6" x14ac:dyDescent="0.25">
      <c r="A252" s="16" t="s">
        <v>1089</v>
      </c>
      <c r="B252" s="17" t="s">
        <v>1090</v>
      </c>
      <c r="C252" s="17" t="s">
        <v>11</v>
      </c>
      <c r="D252" s="17" t="s">
        <v>74</v>
      </c>
      <c r="E252" s="17" t="s">
        <v>20</v>
      </c>
      <c r="F252" s="16" t="s">
        <v>1091</v>
      </c>
    </row>
    <row r="253" spans="1:6" x14ac:dyDescent="0.25">
      <c r="A253" s="16" t="s">
        <v>1092</v>
      </c>
      <c r="B253" s="17" t="s">
        <v>1093</v>
      </c>
      <c r="C253" s="17" t="s">
        <v>11</v>
      </c>
      <c r="D253" s="17" t="s">
        <v>32</v>
      </c>
      <c r="E253" s="17" t="s">
        <v>20</v>
      </c>
      <c r="F253" s="16" t="s">
        <v>1094</v>
      </c>
    </row>
    <row r="254" spans="1:6" x14ac:dyDescent="0.25">
      <c r="A254" s="16" t="s">
        <v>1095</v>
      </c>
      <c r="B254" s="17" t="s">
        <v>1096</v>
      </c>
      <c r="C254" s="17" t="s">
        <v>11</v>
      </c>
      <c r="D254" s="17" t="s">
        <v>12</v>
      </c>
      <c r="E254" s="17" t="s">
        <v>13</v>
      </c>
      <c r="F254" s="16" t="s">
        <v>1097</v>
      </c>
    </row>
    <row r="255" spans="1:6" x14ac:dyDescent="0.25">
      <c r="A255" s="16" t="s">
        <v>1098</v>
      </c>
      <c r="B255" s="17" t="s">
        <v>1099</v>
      </c>
      <c r="C255" s="17" t="s">
        <v>11</v>
      </c>
      <c r="D255" s="17" t="s">
        <v>32</v>
      </c>
      <c r="E255" s="17" t="s">
        <v>20</v>
      </c>
      <c r="F255" s="16" t="s">
        <v>1100</v>
      </c>
    </row>
    <row r="256" spans="1:6" x14ac:dyDescent="0.25">
      <c r="A256" s="16" t="s">
        <v>1101</v>
      </c>
      <c r="B256" s="17" t="s">
        <v>1102</v>
      </c>
      <c r="C256" s="17" t="s">
        <v>11</v>
      </c>
      <c r="D256" s="17" t="s">
        <v>12</v>
      </c>
      <c r="E256" s="17" t="s">
        <v>13</v>
      </c>
      <c r="F256" s="16" t="s">
        <v>1103</v>
      </c>
    </row>
    <row r="257" spans="1:6" x14ac:dyDescent="0.25">
      <c r="A257" s="16" t="s">
        <v>1104</v>
      </c>
      <c r="B257" s="17" t="s">
        <v>1105</v>
      </c>
      <c r="C257" s="17" t="s">
        <v>11</v>
      </c>
      <c r="D257" s="17" t="s">
        <v>74</v>
      </c>
      <c r="E257" s="17" t="s">
        <v>20</v>
      </c>
      <c r="F257" s="16" t="s">
        <v>1106</v>
      </c>
    </row>
    <row r="258" spans="1:6" x14ac:dyDescent="0.25">
      <c r="A258" s="16" t="s">
        <v>1107</v>
      </c>
      <c r="B258" s="17" t="s">
        <v>1108</v>
      </c>
      <c r="C258" s="17" t="s">
        <v>11</v>
      </c>
      <c r="D258" s="17" t="s">
        <v>26</v>
      </c>
      <c r="E258" s="17" t="s">
        <v>20</v>
      </c>
      <c r="F258" s="16" t="s">
        <v>1109</v>
      </c>
    </row>
    <row r="259" spans="1:6" x14ac:dyDescent="0.25">
      <c r="A259" s="16" t="s">
        <v>1110</v>
      </c>
      <c r="B259" s="17" t="s">
        <v>1111</v>
      </c>
      <c r="C259" s="17" t="s">
        <v>11</v>
      </c>
      <c r="D259" s="17" t="s">
        <v>32</v>
      </c>
      <c r="E259" s="17" t="s">
        <v>20</v>
      </c>
      <c r="F259" s="16" t="s">
        <v>1112</v>
      </c>
    </row>
    <row r="260" spans="1:6" x14ac:dyDescent="0.25">
      <c r="A260" s="16" t="s">
        <v>1113</v>
      </c>
      <c r="B260" s="17" t="s">
        <v>1114</v>
      </c>
      <c r="C260" s="17" t="s">
        <v>11</v>
      </c>
      <c r="D260" s="17" t="s">
        <v>250</v>
      </c>
      <c r="E260" s="17" t="s">
        <v>20</v>
      </c>
      <c r="F260" s="16" t="s">
        <v>1115</v>
      </c>
    </row>
    <row r="261" spans="1:6" x14ac:dyDescent="0.25">
      <c r="A261" s="16" t="s">
        <v>1116</v>
      </c>
      <c r="B261" s="17" t="s">
        <v>1117</v>
      </c>
      <c r="C261" s="17" t="s">
        <v>11</v>
      </c>
      <c r="D261" s="17" t="s">
        <v>74</v>
      </c>
      <c r="E261" s="17" t="s">
        <v>20</v>
      </c>
      <c r="F261" s="16" t="s">
        <v>1118</v>
      </c>
    </row>
    <row r="262" spans="1:6" x14ac:dyDescent="0.25">
      <c r="A262" s="16" t="s">
        <v>1119</v>
      </c>
      <c r="B262" s="17" t="s">
        <v>1120</v>
      </c>
      <c r="C262" s="17" t="s">
        <v>11</v>
      </c>
      <c r="D262" s="17" t="s">
        <v>12</v>
      </c>
      <c r="E262" s="17" t="s">
        <v>13</v>
      </c>
      <c r="F262" s="16" t="s">
        <v>1121</v>
      </c>
    </row>
    <row r="263" spans="1:6" x14ac:dyDescent="0.25">
      <c r="A263" s="16" t="s">
        <v>1122</v>
      </c>
      <c r="B263" s="17" t="s">
        <v>1123</v>
      </c>
      <c r="C263" s="17" t="s">
        <v>11</v>
      </c>
      <c r="D263" s="17" t="s">
        <v>74</v>
      </c>
      <c r="E263" s="17" t="s">
        <v>20</v>
      </c>
      <c r="F263" s="16" t="s">
        <v>1124</v>
      </c>
    </row>
    <row r="264" spans="1:6" x14ac:dyDescent="0.25">
      <c r="A264" s="16" t="s">
        <v>1125</v>
      </c>
      <c r="B264" s="17" t="s">
        <v>1126</v>
      </c>
      <c r="C264" s="17" t="s">
        <v>11</v>
      </c>
      <c r="D264" s="17" t="s">
        <v>32</v>
      </c>
      <c r="E264" s="17" t="s">
        <v>20</v>
      </c>
      <c r="F264" s="16" t="s">
        <v>1127</v>
      </c>
    </row>
    <row r="265" spans="1:6" x14ac:dyDescent="0.25">
      <c r="A265" s="16" t="s">
        <v>1128</v>
      </c>
      <c r="B265" s="17" t="s">
        <v>1129</v>
      </c>
      <c r="C265" s="17" t="s">
        <v>11</v>
      </c>
      <c r="D265" s="17" t="s">
        <v>74</v>
      </c>
      <c r="E265" s="17" t="s">
        <v>20</v>
      </c>
      <c r="F265" s="16" t="s">
        <v>1130</v>
      </c>
    </row>
    <row r="266" spans="1:6" x14ac:dyDescent="0.25">
      <c r="A266" s="16" t="s">
        <v>1131</v>
      </c>
      <c r="B266" s="17" t="s">
        <v>1132</v>
      </c>
      <c r="C266" s="17" t="s">
        <v>11</v>
      </c>
      <c r="D266" s="17" t="s">
        <v>32</v>
      </c>
      <c r="E266" s="17" t="s">
        <v>20</v>
      </c>
      <c r="F266" s="16" t="s">
        <v>1133</v>
      </c>
    </row>
    <row r="267" spans="1:6" x14ac:dyDescent="0.25">
      <c r="A267" s="16" t="s">
        <v>1134</v>
      </c>
      <c r="B267" s="17" t="s">
        <v>1135</v>
      </c>
      <c r="C267" s="17" t="s">
        <v>11</v>
      </c>
      <c r="D267" s="17" t="s">
        <v>250</v>
      </c>
      <c r="E267" s="17" t="s">
        <v>20</v>
      </c>
      <c r="F267" s="16" t="s">
        <v>1136</v>
      </c>
    </row>
    <row r="268" spans="1:6" x14ac:dyDescent="0.25">
      <c r="A268" s="16" t="s">
        <v>1137</v>
      </c>
      <c r="B268" s="17" t="s">
        <v>1138</v>
      </c>
      <c r="C268" s="17" t="s">
        <v>11</v>
      </c>
      <c r="D268" s="17" t="s">
        <v>74</v>
      </c>
      <c r="E268" s="17" t="s">
        <v>20</v>
      </c>
      <c r="F268" s="16" t="s">
        <v>1139</v>
      </c>
    </row>
    <row r="269" spans="1:6" x14ac:dyDescent="0.25">
      <c r="A269" s="16" t="s">
        <v>1140</v>
      </c>
      <c r="B269" s="17" t="s">
        <v>1141</v>
      </c>
      <c r="C269" s="17" t="s">
        <v>11</v>
      </c>
      <c r="D269" s="17" t="s">
        <v>74</v>
      </c>
      <c r="E269" s="17" t="s">
        <v>20</v>
      </c>
      <c r="F269" s="16" t="s">
        <v>1142</v>
      </c>
    </row>
    <row r="270" spans="1:6" x14ac:dyDescent="0.25">
      <c r="A270" s="16" t="s">
        <v>1143</v>
      </c>
      <c r="B270" s="17" t="s">
        <v>1144</v>
      </c>
      <c r="C270" s="17" t="s">
        <v>11</v>
      </c>
      <c r="D270" s="17" t="s">
        <v>80</v>
      </c>
      <c r="E270" s="17" t="s">
        <v>20</v>
      </c>
      <c r="F270" s="16" t="s">
        <v>1145</v>
      </c>
    </row>
    <row r="271" spans="1:6" x14ac:dyDescent="0.25">
      <c r="A271" s="16" t="s">
        <v>1146</v>
      </c>
      <c r="B271" s="17" t="s">
        <v>1147</v>
      </c>
      <c r="C271" s="17" t="s">
        <v>11</v>
      </c>
      <c r="D271" s="17" t="s">
        <v>32</v>
      </c>
      <c r="E271" s="17" t="s">
        <v>20</v>
      </c>
      <c r="F271" s="16" t="s">
        <v>1148</v>
      </c>
    </row>
    <row r="272" spans="1:6" x14ac:dyDescent="0.25">
      <c r="A272" s="16" t="s">
        <v>1149</v>
      </c>
      <c r="B272" s="17" t="s">
        <v>1150</v>
      </c>
      <c r="C272" s="17" t="s">
        <v>11</v>
      </c>
      <c r="D272" s="17" t="s">
        <v>32</v>
      </c>
      <c r="E272" s="17" t="s">
        <v>20</v>
      </c>
      <c r="F272" s="16" t="s">
        <v>1151</v>
      </c>
    </row>
    <row r="273" spans="1:6" x14ac:dyDescent="0.25">
      <c r="A273" s="16" t="s">
        <v>1152</v>
      </c>
      <c r="B273" s="17" t="s">
        <v>1153</v>
      </c>
      <c r="C273" s="17" t="s">
        <v>11</v>
      </c>
      <c r="D273" s="17" t="s">
        <v>26</v>
      </c>
      <c r="E273" s="17" t="s">
        <v>20</v>
      </c>
      <c r="F273" s="16" t="s">
        <v>1154</v>
      </c>
    </row>
    <row r="274" spans="1:6" x14ac:dyDescent="0.25">
      <c r="A274" s="16" t="s">
        <v>1155</v>
      </c>
      <c r="B274" s="17" t="s">
        <v>1156</v>
      </c>
      <c r="C274" s="17" t="s">
        <v>11</v>
      </c>
      <c r="D274" s="17" t="s">
        <v>83</v>
      </c>
      <c r="E274" s="17" t="s">
        <v>20</v>
      </c>
      <c r="F274" s="16" t="s">
        <v>1157</v>
      </c>
    </row>
    <row r="275" spans="1:6" x14ac:dyDescent="0.25">
      <c r="A275" s="16" t="s">
        <v>1158</v>
      </c>
      <c r="B275" s="17" t="s">
        <v>1159</v>
      </c>
      <c r="C275" s="17" t="s">
        <v>11</v>
      </c>
      <c r="D275" s="17" t="s">
        <v>32</v>
      </c>
      <c r="E275" s="17" t="s">
        <v>20</v>
      </c>
      <c r="F275" s="16" t="s">
        <v>1160</v>
      </c>
    </row>
    <row r="276" spans="1:6" x14ac:dyDescent="0.25">
      <c r="A276" s="16" t="s">
        <v>1161</v>
      </c>
      <c r="B276" s="17" t="s">
        <v>1162</v>
      </c>
      <c r="C276" s="17" t="s">
        <v>11</v>
      </c>
      <c r="D276" s="17" t="s">
        <v>80</v>
      </c>
      <c r="E276" s="17" t="s">
        <v>20</v>
      </c>
      <c r="F276" s="16" t="s">
        <v>1163</v>
      </c>
    </row>
    <row r="277" spans="1:6" x14ac:dyDescent="0.25">
      <c r="A277" s="16" t="s">
        <v>1164</v>
      </c>
      <c r="B277" s="17" t="s">
        <v>1165</v>
      </c>
      <c r="C277" s="17" t="s">
        <v>11</v>
      </c>
      <c r="D277" s="17" t="s">
        <v>32</v>
      </c>
      <c r="E277" s="17" t="s">
        <v>20</v>
      </c>
      <c r="F277" s="16" t="s">
        <v>1166</v>
      </c>
    </row>
    <row r="278" spans="1:6" x14ac:dyDescent="0.25">
      <c r="A278" s="16" t="s">
        <v>1167</v>
      </c>
      <c r="B278" s="17" t="s">
        <v>1168</v>
      </c>
      <c r="C278" s="17" t="s">
        <v>11</v>
      </c>
      <c r="D278" s="17" t="s">
        <v>74</v>
      </c>
      <c r="E278" s="17" t="s">
        <v>20</v>
      </c>
      <c r="F278" s="16" t="s">
        <v>1169</v>
      </c>
    </row>
    <row r="279" spans="1:6" x14ac:dyDescent="0.25">
      <c r="A279" s="16" t="s">
        <v>1170</v>
      </c>
      <c r="B279" s="17" t="s">
        <v>1171</v>
      </c>
      <c r="C279" s="17" t="s">
        <v>11</v>
      </c>
      <c r="D279" s="17" t="s">
        <v>811</v>
      </c>
      <c r="E279" s="17" t="s">
        <v>20</v>
      </c>
      <c r="F279" s="16" t="s">
        <v>1172</v>
      </c>
    </row>
    <row r="280" spans="1:6" x14ac:dyDescent="0.25">
      <c r="A280" s="16" t="s">
        <v>1173</v>
      </c>
      <c r="B280" s="17" t="s">
        <v>1174</v>
      </c>
      <c r="C280" s="17" t="s">
        <v>11</v>
      </c>
      <c r="D280" s="17" t="s">
        <v>32</v>
      </c>
      <c r="E280" s="17" t="s">
        <v>20</v>
      </c>
      <c r="F280" s="16" t="s">
        <v>1175</v>
      </c>
    </row>
    <row r="281" spans="1:6" x14ac:dyDescent="0.25">
      <c r="A281" s="16" t="s">
        <v>1176</v>
      </c>
      <c r="B281" s="17" t="s">
        <v>1177</v>
      </c>
      <c r="C281" s="17" t="s">
        <v>11</v>
      </c>
      <c r="D281" s="17" t="s">
        <v>32</v>
      </c>
      <c r="E281" s="17" t="s">
        <v>20</v>
      </c>
      <c r="F281" s="16" t="s">
        <v>1178</v>
      </c>
    </row>
    <row r="282" spans="1:6" x14ac:dyDescent="0.25">
      <c r="A282" s="16" t="s">
        <v>1179</v>
      </c>
      <c r="B282" s="17" t="s">
        <v>1180</v>
      </c>
      <c r="C282" s="17" t="s">
        <v>11</v>
      </c>
      <c r="D282" s="17" t="s">
        <v>74</v>
      </c>
      <c r="E282" s="17" t="s">
        <v>20</v>
      </c>
      <c r="F282" s="16" t="s">
        <v>1181</v>
      </c>
    </row>
    <row r="283" spans="1:6" x14ac:dyDescent="0.25">
      <c r="A283" s="16" t="s">
        <v>1182</v>
      </c>
      <c r="B283" s="17" t="s">
        <v>1183</v>
      </c>
      <c r="C283" s="17" t="s">
        <v>11</v>
      </c>
      <c r="D283" s="17" t="s">
        <v>32</v>
      </c>
      <c r="E283" s="17" t="s">
        <v>20</v>
      </c>
      <c r="F283" s="16" t="s">
        <v>1184</v>
      </c>
    </row>
    <row r="284" spans="1:6" x14ac:dyDescent="0.25">
      <c r="A284" s="16" t="s">
        <v>1185</v>
      </c>
      <c r="B284" s="17" t="s">
        <v>1186</v>
      </c>
      <c r="C284" s="17" t="s">
        <v>11</v>
      </c>
      <c r="D284" s="17" t="s">
        <v>32</v>
      </c>
      <c r="E284" s="17" t="s">
        <v>20</v>
      </c>
      <c r="F284" s="16" t="s">
        <v>1187</v>
      </c>
    </row>
    <row r="285" spans="1:6" x14ac:dyDescent="0.25">
      <c r="A285" s="16" t="s">
        <v>1188</v>
      </c>
      <c r="B285" s="17" t="s">
        <v>1189</v>
      </c>
      <c r="C285" s="17" t="s">
        <v>11</v>
      </c>
      <c r="D285" s="17" t="s">
        <v>32</v>
      </c>
      <c r="E285" s="17" t="s">
        <v>20</v>
      </c>
      <c r="F285" s="16" t="s">
        <v>1190</v>
      </c>
    </row>
    <row r="286" spans="1:6" x14ac:dyDescent="0.25">
      <c r="A286" s="16" t="s">
        <v>1191</v>
      </c>
      <c r="B286" s="17" t="s">
        <v>1192</v>
      </c>
      <c r="C286" s="17" t="s">
        <v>11</v>
      </c>
      <c r="D286" s="17" t="s">
        <v>182</v>
      </c>
      <c r="E286" s="17" t="s">
        <v>20</v>
      </c>
      <c r="F286" s="16" t="s">
        <v>1193</v>
      </c>
    </row>
    <row r="287" spans="1:6" x14ac:dyDescent="0.25">
      <c r="A287" s="16" t="s">
        <v>1194</v>
      </c>
      <c r="B287" s="17" t="s">
        <v>1195</v>
      </c>
      <c r="C287" s="17" t="s">
        <v>11</v>
      </c>
      <c r="D287" s="17" t="s">
        <v>83</v>
      </c>
      <c r="E287" s="17" t="s">
        <v>20</v>
      </c>
      <c r="F287" s="16" t="s">
        <v>1196</v>
      </c>
    </row>
    <row r="288" spans="1:6" x14ac:dyDescent="0.25">
      <c r="A288" s="16" t="s">
        <v>1197</v>
      </c>
      <c r="B288" s="17" t="s">
        <v>1198</v>
      </c>
      <c r="C288" s="17" t="s">
        <v>11</v>
      </c>
      <c r="D288" s="17" t="s">
        <v>32</v>
      </c>
      <c r="E288" s="17" t="s">
        <v>20</v>
      </c>
      <c r="F288" s="16" t="s">
        <v>1199</v>
      </c>
    </row>
    <row r="289" spans="1:6" x14ac:dyDescent="0.25">
      <c r="A289" s="16" t="s">
        <v>1200</v>
      </c>
      <c r="B289" s="17" t="s">
        <v>1201</v>
      </c>
      <c r="C289" s="17" t="s">
        <v>11</v>
      </c>
      <c r="D289" s="17" t="s">
        <v>80</v>
      </c>
      <c r="E289" s="17" t="s">
        <v>20</v>
      </c>
      <c r="F289" s="16" t="s">
        <v>1202</v>
      </c>
    </row>
    <row r="290" spans="1:6" x14ac:dyDescent="0.25">
      <c r="A290" s="16" t="s">
        <v>1203</v>
      </c>
      <c r="B290" s="17" t="s">
        <v>1204</v>
      </c>
      <c r="C290" s="17" t="s">
        <v>11</v>
      </c>
      <c r="D290" s="17" t="s">
        <v>89</v>
      </c>
      <c r="E290" s="17" t="s">
        <v>20</v>
      </c>
      <c r="F290" s="16" t="s">
        <v>1205</v>
      </c>
    </row>
    <row r="291" spans="1:6" x14ac:dyDescent="0.25">
      <c r="A291" s="16" t="s">
        <v>1206</v>
      </c>
      <c r="B291" s="17" t="s">
        <v>1207</v>
      </c>
      <c r="C291" s="17" t="s">
        <v>11</v>
      </c>
      <c r="D291" s="17" t="s">
        <v>74</v>
      </c>
      <c r="E291" s="17" t="s">
        <v>20</v>
      </c>
      <c r="F291" s="16" t="s">
        <v>1208</v>
      </c>
    </row>
    <row r="292" spans="1:6" x14ac:dyDescent="0.25">
      <c r="A292" s="16" t="s">
        <v>1209</v>
      </c>
      <c r="B292" s="17" t="s">
        <v>1210</v>
      </c>
      <c r="C292" s="17" t="s">
        <v>11</v>
      </c>
      <c r="D292" s="17" t="s">
        <v>148</v>
      </c>
      <c r="E292" s="17" t="s">
        <v>20</v>
      </c>
      <c r="F292" s="16" t="s">
        <v>1211</v>
      </c>
    </row>
    <row r="293" spans="1:6" x14ac:dyDescent="0.25">
      <c r="A293" s="16" t="s">
        <v>1212</v>
      </c>
      <c r="B293" s="17" t="s">
        <v>1213</v>
      </c>
      <c r="C293" s="17" t="s">
        <v>11</v>
      </c>
      <c r="D293" s="17" t="s">
        <v>80</v>
      </c>
      <c r="E293" s="17" t="s">
        <v>20</v>
      </c>
      <c r="F293" s="16" t="s">
        <v>1214</v>
      </c>
    </row>
    <row r="294" spans="1:6" x14ac:dyDescent="0.25">
      <c r="A294" s="16" t="s">
        <v>1215</v>
      </c>
      <c r="B294" s="17" t="s">
        <v>1216</v>
      </c>
      <c r="C294" s="17" t="s">
        <v>11</v>
      </c>
      <c r="D294" s="17" t="s">
        <v>811</v>
      </c>
      <c r="E294" s="17" t="s">
        <v>20</v>
      </c>
      <c r="F294" s="16" t="s">
        <v>1217</v>
      </c>
    </row>
    <row r="295" spans="1:6" x14ac:dyDescent="0.25">
      <c r="A295" s="16" t="s">
        <v>1218</v>
      </c>
      <c r="B295" s="17" t="s">
        <v>1219</v>
      </c>
      <c r="C295" s="17" t="s">
        <v>11</v>
      </c>
      <c r="D295" s="17" t="s">
        <v>80</v>
      </c>
      <c r="E295" s="17" t="s">
        <v>20</v>
      </c>
      <c r="F295" s="16" t="s">
        <v>1220</v>
      </c>
    </row>
    <row r="296" spans="1:6" x14ac:dyDescent="0.25">
      <c r="A296" s="16" t="s">
        <v>1221</v>
      </c>
      <c r="B296" s="17" t="s">
        <v>1222</v>
      </c>
      <c r="C296" s="17" t="s">
        <v>11</v>
      </c>
      <c r="D296" s="17" t="s">
        <v>89</v>
      </c>
      <c r="E296" s="17" t="s">
        <v>20</v>
      </c>
      <c r="F296" s="16" t="s">
        <v>1223</v>
      </c>
    </row>
    <row r="297" spans="1:6" x14ac:dyDescent="0.25">
      <c r="A297" s="16" t="s">
        <v>1224</v>
      </c>
      <c r="B297" s="17" t="s">
        <v>1225</v>
      </c>
      <c r="C297" s="17" t="s">
        <v>11</v>
      </c>
      <c r="D297" s="17" t="s">
        <v>83</v>
      </c>
      <c r="E297" s="17" t="s">
        <v>20</v>
      </c>
      <c r="F297" s="16" t="s">
        <v>1226</v>
      </c>
    </row>
    <row r="298" spans="1:6" x14ac:dyDescent="0.25">
      <c r="A298" s="16" t="s">
        <v>1227</v>
      </c>
      <c r="B298" s="17" t="s">
        <v>1228</v>
      </c>
      <c r="C298" s="17" t="s">
        <v>11</v>
      </c>
      <c r="D298" s="17" t="s">
        <v>74</v>
      </c>
      <c r="E298" s="17" t="s">
        <v>20</v>
      </c>
      <c r="F298" s="16" t="s">
        <v>1229</v>
      </c>
    </row>
    <row r="299" spans="1:6" x14ac:dyDescent="0.25">
      <c r="A299" s="16" t="s">
        <v>1230</v>
      </c>
      <c r="B299" s="17" t="s">
        <v>1231</v>
      </c>
      <c r="C299" s="17" t="s">
        <v>11</v>
      </c>
      <c r="D299" s="17" t="s">
        <v>148</v>
      </c>
      <c r="E299" s="17" t="s">
        <v>20</v>
      </c>
      <c r="F299" s="16" t="s">
        <v>1232</v>
      </c>
    </row>
    <row r="300" spans="1:6" x14ac:dyDescent="0.25">
      <c r="A300" s="16" t="s">
        <v>1233</v>
      </c>
      <c r="B300" s="17" t="s">
        <v>1234</v>
      </c>
      <c r="C300" s="17" t="s">
        <v>1235</v>
      </c>
      <c r="D300" s="17" t="s">
        <v>1236</v>
      </c>
      <c r="E300" s="17" t="s">
        <v>1237</v>
      </c>
      <c r="F300" s="16" t="s">
        <v>1238</v>
      </c>
    </row>
    <row r="301" spans="1:6" x14ac:dyDescent="0.25">
      <c r="A301" s="16" t="s">
        <v>1239</v>
      </c>
      <c r="B301" s="17" t="s">
        <v>1240</v>
      </c>
      <c r="C301" s="17" t="s">
        <v>11</v>
      </c>
      <c r="D301" s="17" t="s">
        <v>32</v>
      </c>
      <c r="E301" s="17" t="s">
        <v>20</v>
      </c>
      <c r="F301" s="16" t="s">
        <v>1241</v>
      </c>
    </row>
    <row r="302" spans="1:6" x14ac:dyDescent="0.25">
      <c r="A302" s="16" t="s">
        <v>1242</v>
      </c>
      <c r="B302" s="17" t="s">
        <v>1243</v>
      </c>
      <c r="C302" s="17" t="s">
        <v>11</v>
      </c>
      <c r="D302" s="17" t="s">
        <v>670</v>
      </c>
      <c r="E302" s="17" t="s">
        <v>20</v>
      </c>
      <c r="F302" s="16" t="s">
        <v>1244</v>
      </c>
    </row>
    <row r="303" spans="1:6" x14ac:dyDescent="0.25">
      <c r="A303" s="16" t="s">
        <v>1245</v>
      </c>
      <c r="B303" s="17" t="s">
        <v>1246</v>
      </c>
      <c r="C303" s="17" t="s">
        <v>11</v>
      </c>
      <c r="D303" s="17" t="s">
        <v>89</v>
      </c>
      <c r="E303" s="17" t="s">
        <v>20</v>
      </c>
      <c r="F303" s="16" t="s">
        <v>1247</v>
      </c>
    </row>
    <row r="304" spans="1:6" x14ac:dyDescent="0.25">
      <c r="A304" s="16" t="s">
        <v>1248</v>
      </c>
      <c r="B304" s="17" t="s">
        <v>1249</v>
      </c>
      <c r="C304" s="17" t="s">
        <v>11</v>
      </c>
      <c r="D304" s="17" t="s">
        <v>233</v>
      </c>
      <c r="E304" s="17" t="s">
        <v>20</v>
      </c>
      <c r="F304" s="16" t="s">
        <v>1250</v>
      </c>
    </row>
    <row r="305" spans="1:6" x14ac:dyDescent="0.25">
      <c r="A305" s="16" t="s">
        <v>1251</v>
      </c>
      <c r="B305" s="17" t="s">
        <v>1252</v>
      </c>
      <c r="C305" s="17" t="s">
        <v>11</v>
      </c>
      <c r="D305" s="17" t="s">
        <v>83</v>
      </c>
      <c r="E305" s="17" t="s">
        <v>20</v>
      </c>
      <c r="F305" s="16" t="s">
        <v>1253</v>
      </c>
    </row>
    <row r="306" spans="1:6" x14ac:dyDescent="0.25">
      <c r="A306" s="16" t="s">
        <v>1254</v>
      </c>
      <c r="B306" s="17" t="s">
        <v>1255</v>
      </c>
      <c r="C306" s="17" t="s">
        <v>11</v>
      </c>
      <c r="D306" s="17" t="s">
        <v>12</v>
      </c>
      <c r="E306" s="17" t="s">
        <v>13</v>
      </c>
      <c r="F306" s="16" t="s">
        <v>1256</v>
      </c>
    </row>
    <row r="307" spans="1:6" x14ac:dyDescent="0.25">
      <c r="A307" s="16" t="s">
        <v>1257</v>
      </c>
      <c r="B307" s="17" t="s">
        <v>1258</v>
      </c>
      <c r="C307" s="17" t="s">
        <v>11</v>
      </c>
      <c r="D307" s="17" t="s">
        <v>12</v>
      </c>
      <c r="E307" s="17" t="s">
        <v>13</v>
      </c>
      <c r="F307" s="16" t="s">
        <v>1259</v>
      </c>
    </row>
    <row r="308" spans="1:6" x14ac:dyDescent="0.25">
      <c r="A308" s="16" t="s">
        <v>1260</v>
      </c>
      <c r="B308" s="17" t="s">
        <v>1261</v>
      </c>
      <c r="C308" s="17" t="s">
        <v>11</v>
      </c>
      <c r="D308" s="17" t="s">
        <v>250</v>
      </c>
      <c r="E308" s="17" t="s">
        <v>20</v>
      </c>
      <c r="F308" s="16" t="s">
        <v>1262</v>
      </c>
    </row>
    <row r="309" spans="1:6" x14ac:dyDescent="0.25">
      <c r="A309" s="16" t="s">
        <v>1263</v>
      </c>
      <c r="B309" s="17" t="s">
        <v>1264</v>
      </c>
      <c r="C309" s="17" t="s">
        <v>11</v>
      </c>
      <c r="D309" s="17" t="s">
        <v>12</v>
      </c>
      <c r="E309" s="17" t="s">
        <v>13</v>
      </c>
      <c r="F309" s="16" t="s">
        <v>1265</v>
      </c>
    </row>
    <row r="310" spans="1:6" x14ac:dyDescent="0.25">
      <c r="A310" s="16" t="s">
        <v>1266</v>
      </c>
      <c r="B310" s="17" t="s">
        <v>1267</v>
      </c>
      <c r="C310" s="17" t="s">
        <v>11</v>
      </c>
      <c r="D310" s="17" t="s">
        <v>250</v>
      </c>
      <c r="E310" s="17" t="s">
        <v>20</v>
      </c>
      <c r="F310" s="16" t="s">
        <v>1268</v>
      </c>
    </row>
    <row r="311" spans="1:6" x14ac:dyDescent="0.25">
      <c r="A311" s="16" t="s">
        <v>1269</v>
      </c>
      <c r="B311" s="17" t="s">
        <v>1270</v>
      </c>
      <c r="C311" s="17" t="s">
        <v>11</v>
      </c>
      <c r="D311" s="17" t="s">
        <v>250</v>
      </c>
      <c r="E311" s="17" t="s">
        <v>20</v>
      </c>
      <c r="F311" s="16" t="s">
        <v>1271</v>
      </c>
    </row>
    <row r="312" spans="1:6" x14ac:dyDescent="0.25">
      <c r="A312" s="16" t="s">
        <v>1272</v>
      </c>
      <c r="B312" s="17" t="s">
        <v>1273</v>
      </c>
      <c r="C312" s="17" t="s">
        <v>11</v>
      </c>
      <c r="D312" s="17" t="s">
        <v>83</v>
      </c>
      <c r="E312" s="17" t="s">
        <v>20</v>
      </c>
      <c r="F312" s="16" t="s">
        <v>1274</v>
      </c>
    </row>
    <row r="313" spans="1:6" x14ac:dyDescent="0.25">
      <c r="A313" s="16" t="s">
        <v>1275</v>
      </c>
      <c r="B313" s="17" t="s">
        <v>1276</v>
      </c>
      <c r="C313" s="17" t="s">
        <v>11</v>
      </c>
      <c r="D313" s="17" t="s">
        <v>83</v>
      </c>
      <c r="E313" s="17" t="s">
        <v>20</v>
      </c>
      <c r="F313" s="16" t="s">
        <v>1277</v>
      </c>
    </row>
    <row r="314" spans="1:6" x14ac:dyDescent="0.25">
      <c r="A314" s="16" t="s">
        <v>1278</v>
      </c>
      <c r="B314" s="17" t="s">
        <v>1279</v>
      </c>
      <c r="C314" s="17" t="s">
        <v>11</v>
      </c>
      <c r="D314" s="17" t="s">
        <v>83</v>
      </c>
      <c r="E314" s="17" t="s">
        <v>20</v>
      </c>
      <c r="F314" s="16" t="s">
        <v>1280</v>
      </c>
    </row>
    <row r="315" spans="1:6" x14ac:dyDescent="0.25">
      <c r="A315" s="16" t="s">
        <v>1281</v>
      </c>
      <c r="B315" s="17" t="s">
        <v>1282</v>
      </c>
      <c r="C315" s="17" t="s">
        <v>11</v>
      </c>
      <c r="D315" s="17" t="s">
        <v>83</v>
      </c>
      <c r="E315" s="17" t="s">
        <v>20</v>
      </c>
      <c r="F315" s="16" t="s">
        <v>1283</v>
      </c>
    </row>
    <row r="316" spans="1:6" x14ac:dyDescent="0.25">
      <c r="A316" s="16" t="s">
        <v>1284</v>
      </c>
      <c r="B316" s="17" t="s">
        <v>1285</v>
      </c>
      <c r="C316" s="17" t="s">
        <v>11</v>
      </c>
      <c r="D316" s="17" t="s">
        <v>83</v>
      </c>
      <c r="E316" s="17" t="s">
        <v>20</v>
      </c>
      <c r="F316" s="16" t="s">
        <v>1286</v>
      </c>
    </row>
    <row r="317" spans="1:6" x14ac:dyDescent="0.25">
      <c r="A317" s="16" t="s">
        <v>1287</v>
      </c>
      <c r="B317" s="17" t="s">
        <v>1288</v>
      </c>
      <c r="C317" s="17" t="s">
        <v>11</v>
      </c>
      <c r="D317" s="17" t="s">
        <v>182</v>
      </c>
      <c r="E317" s="17" t="s">
        <v>20</v>
      </c>
      <c r="F317" s="16" t="s">
        <v>1289</v>
      </c>
    </row>
    <row r="318" spans="1:6" x14ac:dyDescent="0.25">
      <c r="A318" s="16" t="s">
        <v>1290</v>
      </c>
      <c r="B318" s="17" t="s">
        <v>1291</v>
      </c>
      <c r="C318" s="17" t="s">
        <v>11</v>
      </c>
      <c r="D318" s="17" t="s">
        <v>576</v>
      </c>
      <c r="E318" s="17" t="s">
        <v>20</v>
      </c>
      <c r="F318" s="16" t="s">
        <v>1292</v>
      </c>
    </row>
    <row r="319" spans="1:6" x14ac:dyDescent="0.25">
      <c r="A319" s="16" t="s">
        <v>1293</v>
      </c>
      <c r="B319" s="17" t="s">
        <v>1294</v>
      </c>
      <c r="C319" s="17" t="s">
        <v>11</v>
      </c>
      <c r="D319" s="17" t="s">
        <v>32</v>
      </c>
      <c r="E319" s="17" t="s">
        <v>20</v>
      </c>
      <c r="F319" s="16" t="s">
        <v>1295</v>
      </c>
    </row>
    <row r="320" spans="1:6" x14ac:dyDescent="0.25">
      <c r="A320" s="16" t="s">
        <v>1296</v>
      </c>
      <c r="B320" s="17" t="s">
        <v>1297</v>
      </c>
      <c r="C320" s="17" t="s">
        <v>11</v>
      </c>
      <c r="D320" s="17" t="s">
        <v>1298</v>
      </c>
      <c r="E320" s="17" t="s">
        <v>1299</v>
      </c>
      <c r="F320" s="16" t="s">
        <v>1300</v>
      </c>
    </row>
    <row r="321" spans="1:6" x14ac:dyDescent="0.25">
      <c r="A321" s="16" t="s">
        <v>1301</v>
      </c>
      <c r="B321" s="17" t="s">
        <v>1302</v>
      </c>
      <c r="C321" s="17" t="s">
        <v>11</v>
      </c>
      <c r="D321" s="17" t="s">
        <v>74</v>
      </c>
      <c r="E321" s="17" t="s">
        <v>20</v>
      </c>
      <c r="F321" s="16" t="s">
        <v>1303</v>
      </c>
    </row>
    <row r="322" spans="1:6" x14ac:dyDescent="0.25">
      <c r="A322" s="16" t="s">
        <v>1304</v>
      </c>
      <c r="B322" s="17" t="s">
        <v>1305</v>
      </c>
      <c r="C322" s="17" t="s">
        <v>11</v>
      </c>
      <c r="D322" s="17" t="s">
        <v>811</v>
      </c>
      <c r="E322" s="17" t="s">
        <v>20</v>
      </c>
      <c r="F322" s="16" t="s">
        <v>1306</v>
      </c>
    </row>
    <row r="323" spans="1:6" x14ac:dyDescent="0.25">
      <c r="A323" s="16" t="s">
        <v>1307</v>
      </c>
      <c r="B323" s="17" t="s">
        <v>1308</v>
      </c>
      <c r="C323" s="17" t="s">
        <v>11</v>
      </c>
      <c r="D323" s="17" t="s">
        <v>26</v>
      </c>
      <c r="E323" s="17" t="s">
        <v>20</v>
      </c>
      <c r="F323" s="16" t="s">
        <v>1309</v>
      </c>
    </row>
    <row r="324" spans="1:6" x14ac:dyDescent="0.25">
      <c r="A324" s="16" t="s">
        <v>1310</v>
      </c>
      <c r="B324" s="17" t="s">
        <v>1311</v>
      </c>
      <c r="C324" s="17" t="s">
        <v>11</v>
      </c>
      <c r="D324" s="17" t="s">
        <v>80</v>
      </c>
      <c r="E324" s="17" t="s">
        <v>20</v>
      </c>
      <c r="F324" s="16" t="s">
        <v>1312</v>
      </c>
    </row>
    <row r="325" spans="1:6" x14ac:dyDescent="0.25">
      <c r="A325" s="16" t="s">
        <v>1313</v>
      </c>
      <c r="B325" s="17" t="s">
        <v>1314</v>
      </c>
      <c r="C325" s="17" t="s">
        <v>11</v>
      </c>
      <c r="D325" s="17" t="s">
        <v>26</v>
      </c>
      <c r="E325" s="17" t="s">
        <v>20</v>
      </c>
      <c r="F325" s="16" t="s">
        <v>1315</v>
      </c>
    </row>
    <row r="326" spans="1:6" x14ac:dyDescent="0.25">
      <c r="A326" s="16" t="s">
        <v>1316</v>
      </c>
      <c r="B326" s="17" t="s">
        <v>1317</v>
      </c>
      <c r="C326" s="17" t="s">
        <v>11</v>
      </c>
      <c r="D326" s="17" t="s">
        <v>1318</v>
      </c>
      <c r="E326" s="17" t="s">
        <v>20</v>
      </c>
      <c r="F326" s="16" t="s">
        <v>1319</v>
      </c>
    </row>
    <row r="327" spans="1:6" x14ac:dyDescent="0.25">
      <c r="A327" s="16" t="s">
        <v>1320</v>
      </c>
      <c r="B327" s="17" t="s">
        <v>1321</v>
      </c>
      <c r="C327" s="17" t="s">
        <v>11</v>
      </c>
      <c r="D327" s="17" t="s">
        <v>80</v>
      </c>
      <c r="E327" s="17" t="s">
        <v>20</v>
      </c>
      <c r="F327" s="16" t="s">
        <v>1322</v>
      </c>
    </row>
    <row r="328" spans="1:6" x14ac:dyDescent="0.25">
      <c r="A328" s="16" t="s">
        <v>1323</v>
      </c>
      <c r="B328" s="17" t="s">
        <v>1324</v>
      </c>
      <c r="C328" s="17" t="s">
        <v>11</v>
      </c>
      <c r="D328" s="17" t="s">
        <v>74</v>
      </c>
      <c r="E328" s="17" t="s">
        <v>20</v>
      </c>
      <c r="F328" s="16" t="s">
        <v>1325</v>
      </c>
    </row>
    <row r="329" spans="1:6" x14ac:dyDescent="0.25">
      <c r="A329" s="16" t="s">
        <v>1326</v>
      </c>
      <c r="B329" s="17" t="s">
        <v>1327</v>
      </c>
      <c r="C329" s="17" t="s">
        <v>11</v>
      </c>
      <c r="D329" s="17" t="s">
        <v>148</v>
      </c>
      <c r="E329" s="17" t="s">
        <v>20</v>
      </c>
      <c r="F329" s="16" t="s">
        <v>1328</v>
      </c>
    </row>
    <row r="330" spans="1:6" x14ac:dyDescent="0.25">
      <c r="A330" s="16" t="s">
        <v>1329</v>
      </c>
      <c r="B330" s="17" t="s">
        <v>1330</v>
      </c>
      <c r="C330" s="17" t="s">
        <v>11</v>
      </c>
      <c r="D330" s="17" t="s">
        <v>74</v>
      </c>
      <c r="E330" s="17" t="s">
        <v>20</v>
      </c>
      <c r="F330" s="16" t="s">
        <v>1331</v>
      </c>
    </row>
    <row r="331" spans="1:6" x14ac:dyDescent="0.25">
      <c r="A331" s="16" t="s">
        <v>1332</v>
      </c>
      <c r="B331" s="17" t="s">
        <v>1333</v>
      </c>
      <c r="C331" s="17" t="s">
        <v>11</v>
      </c>
      <c r="D331" s="17" t="s">
        <v>74</v>
      </c>
      <c r="E331" s="17" t="s">
        <v>20</v>
      </c>
      <c r="F331" s="16" t="s">
        <v>1334</v>
      </c>
    </row>
    <row r="332" spans="1:6" x14ac:dyDescent="0.25">
      <c r="A332" s="16" t="s">
        <v>1335</v>
      </c>
      <c r="B332" s="17" t="s">
        <v>1336</v>
      </c>
      <c r="C332" s="17" t="s">
        <v>11</v>
      </c>
      <c r="D332" s="17" t="s">
        <v>1337</v>
      </c>
      <c r="E332" s="17" t="s">
        <v>1299</v>
      </c>
      <c r="F332" s="16" t="s">
        <v>1338</v>
      </c>
    </row>
    <row r="333" spans="1:6" x14ac:dyDescent="0.25">
      <c r="A333" s="16" t="s">
        <v>1339</v>
      </c>
      <c r="B333" s="17" t="s">
        <v>1340</v>
      </c>
      <c r="C333" s="17" t="s">
        <v>11</v>
      </c>
      <c r="D333" s="17" t="s">
        <v>32</v>
      </c>
      <c r="E333" s="17" t="s">
        <v>20</v>
      </c>
      <c r="F333" s="16" t="s">
        <v>1341</v>
      </c>
    </row>
    <row r="334" spans="1:6" x14ac:dyDescent="0.25">
      <c r="A334" s="16" t="s">
        <v>1342</v>
      </c>
      <c r="B334" s="17" t="s">
        <v>1343</v>
      </c>
      <c r="C334" s="17" t="s">
        <v>11</v>
      </c>
      <c r="D334" s="17" t="s">
        <v>32</v>
      </c>
      <c r="E334" s="17" t="s">
        <v>20</v>
      </c>
      <c r="F334" s="16" t="s">
        <v>1344</v>
      </c>
    </row>
    <row r="335" spans="1:6" x14ac:dyDescent="0.25">
      <c r="A335" s="16" t="s">
        <v>1345</v>
      </c>
      <c r="B335" s="17" t="s">
        <v>1346</v>
      </c>
      <c r="C335" s="17" t="s">
        <v>11</v>
      </c>
      <c r="D335" s="17" t="s">
        <v>570</v>
      </c>
      <c r="E335" s="17" t="s">
        <v>20</v>
      </c>
      <c r="F335" s="16" t="s">
        <v>1347</v>
      </c>
    </row>
    <row r="336" spans="1:6" x14ac:dyDescent="0.25">
      <c r="A336" s="16" t="s">
        <v>1348</v>
      </c>
      <c r="B336" s="17" t="s">
        <v>1349</v>
      </c>
      <c r="C336" s="17" t="s">
        <v>11</v>
      </c>
      <c r="D336" s="17" t="s">
        <v>233</v>
      </c>
      <c r="E336" s="17" t="s">
        <v>20</v>
      </c>
      <c r="F336" s="16" t="s">
        <v>1350</v>
      </c>
    </row>
    <row r="337" spans="1:6" x14ac:dyDescent="0.25">
      <c r="A337" s="16" t="s">
        <v>1351</v>
      </c>
      <c r="B337" s="17" t="s">
        <v>1352</v>
      </c>
      <c r="C337" s="17" t="s">
        <v>11</v>
      </c>
      <c r="D337" s="17" t="s">
        <v>83</v>
      </c>
      <c r="E337" s="17" t="s">
        <v>20</v>
      </c>
      <c r="F337" s="16" t="s">
        <v>1353</v>
      </c>
    </row>
    <row r="338" spans="1:6" x14ac:dyDescent="0.25">
      <c r="A338" s="16" t="s">
        <v>1354</v>
      </c>
      <c r="B338" s="17" t="s">
        <v>1355</v>
      </c>
      <c r="C338" s="17" t="s">
        <v>1235</v>
      </c>
      <c r="D338" s="17" t="s">
        <v>1356</v>
      </c>
      <c r="E338" s="17" t="s">
        <v>1237</v>
      </c>
      <c r="F338" s="16" t="s">
        <v>1357</v>
      </c>
    </row>
    <row r="339" spans="1:6" x14ac:dyDescent="0.25">
      <c r="A339" s="16" t="s">
        <v>1358</v>
      </c>
      <c r="B339" s="17" t="s">
        <v>1359</v>
      </c>
      <c r="C339" s="17" t="s">
        <v>11</v>
      </c>
      <c r="D339" s="17" t="s">
        <v>74</v>
      </c>
      <c r="E339" s="17" t="s">
        <v>20</v>
      </c>
      <c r="F339" s="16" t="s">
        <v>1360</v>
      </c>
    </row>
    <row r="340" spans="1:6" x14ac:dyDescent="0.25">
      <c r="A340" s="16" t="s">
        <v>1361</v>
      </c>
      <c r="B340" s="17" t="s">
        <v>1362</v>
      </c>
      <c r="C340" s="17" t="s">
        <v>11</v>
      </c>
      <c r="D340" s="17" t="s">
        <v>32</v>
      </c>
      <c r="E340" s="17" t="s">
        <v>20</v>
      </c>
      <c r="F340" s="16" t="s">
        <v>1363</v>
      </c>
    </row>
    <row r="341" spans="1:6" x14ac:dyDescent="0.25">
      <c r="A341" s="16" t="s">
        <v>1364</v>
      </c>
      <c r="B341" s="17" t="s">
        <v>1365</v>
      </c>
      <c r="C341" s="17" t="s">
        <v>11</v>
      </c>
      <c r="D341" s="17" t="s">
        <v>83</v>
      </c>
      <c r="E341" s="17" t="s">
        <v>20</v>
      </c>
      <c r="F341" s="16" t="s">
        <v>1366</v>
      </c>
    </row>
    <row r="342" spans="1:6" x14ac:dyDescent="0.25">
      <c r="A342" s="16" t="s">
        <v>1367</v>
      </c>
      <c r="B342" s="17" t="s">
        <v>1368</v>
      </c>
      <c r="C342" s="17" t="s">
        <v>11</v>
      </c>
      <c r="D342" s="17" t="s">
        <v>32</v>
      </c>
      <c r="E342" s="17" t="s">
        <v>20</v>
      </c>
      <c r="F342" s="16" t="s">
        <v>1369</v>
      </c>
    </row>
    <row r="343" spans="1:6" x14ac:dyDescent="0.25">
      <c r="A343" s="16" t="s">
        <v>1370</v>
      </c>
      <c r="B343" s="17" t="s">
        <v>1371</v>
      </c>
      <c r="C343" s="17" t="s">
        <v>11</v>
      </c>
      <c r="D343" s="17" t="s">
        <v>26</v>
      </c>
      <c r="E343" s="17" t="s">
        <v>20</v>
      </c>
      <c r="F343" s="16" t="s">
        <v>1372</v>
      </c>
    </row>
    <row r="344" spans="1:6" x14ac:dyDescent="0.25">
      <c r="A344" s="16" t="s">
        <v>1373</v>
      </c>
      <c r="B344" s="17" t="s">
        <v>1374</v>
      </c>
      <c r="C344" s="17" t="s">
        <v>11</v>
      </c>
      <c r="D344" s="17" t="s">
        <v>32</v>
      </c>
      <c r="E344" s="17" t="s">
        <v>20</v>
      </c>
      <c r="F344" s="16" t="s">
        <v>1375</v>
      </c>
    </row>
    <row r="345" spans="1:6" x14ac:dyDescent="0.25">
      <c r="A345" s="16" t="s">
        <v>1376</v>
      </c>
      <c r="B345" s="17" t="s">
        <v>1377</v>
      </c>
      <c r="C345" s="17" t="s">
        <v>1235</v>
      </c>
      <c r="D345" s="17" t="s">
        <v>1356</v>
      </c>
      <c r="E345" s="17" t="s">
        <v>1237</v>
      </c>
      <c r="F345" s="16" t="s">
        <v>1378</v>
      </c>
    </row>
    <row r="346" spans="1:6" x14ac:dyDescent="0.25">
      <c r="A346" s="16" t="s">
        <v>1379</v>
      </c>
      <c r="B346" s="17" t="s">
        <v>1380</v>
      </c>
      <c r="C346" s="17" t="s">
        <v>11</v>
      </c>
      <c r="D346" s="17" t="s">
        <v>83</v>
      </c>
      <c r="E346" s="17" t="s">
        <v>20</v>
      </c>
      <c r="F346" s="16" t="s">
        <v>1381</v>
      </c>
    </row>
    <row r="347" spans="1:6" x14ac:dyDescent="0.25">
      <c r="A347" s="16" t="s">
        <v>1382</v>
      </c>
      <c r="B347" s="17" t="s">
        <v>1383</v>
      </c>
      <c r="C347" s="17" t="s">
        <v>11</v>
      </c>
      <c r="D347" s="17" t="s">
        <v>32</v>
      </c>
      <c r="E347" s="17" t="s">
        <v>20</v>
      </c>
      <c r="F347" s="16" t="s">
        <v>1384</v>
      </c>
    </row>
    <row r="348" spans="1:6" x14ac:dyDescent="0.25">
      <c r="A348" s="16" t="s">
        <v>1385</v>
      </c>
      <c r="B348" s="17" t="s">
        <v>1386</v>
      </c>
      <c r="C348" s="17" t="s">
        <v>11</v>
      </c>
      <c r="D348" s="17" t="s">
        <v>186</v>
      </c>
      <c r="E348" s="17" t="s">
        <v>20</v>
      </c>
      <c r="F348" s="16" t="s">
        <v>1387</v>
      </c>
    </row>
    <row r="349" spans="1:6" x14ac:dyDescent="0.25">
      <c r="A349" s="16" t="s">
        <v>1388</v>
      </c>
      <c r="B349" s="17" t="s">
        <v>1389</v>
      </c>
      <c r="C349" s="17" t="s">
        <v>11</v>
      </c>
      <c r="D349" s="17" t="s">
        <v>26</v>
      </c>
      <c r="E349" s="17" t="s">
        <v>20</v>
      </c>
      <c r="F349" s="16" t="s">
        <v>1390</v>
      </c>
    </row>
    <row r="350" spans="1:6" x14ac:dyDescent="0.25">
      <c r="A350" s="16" t="s">
        <v>1391</v>
      </c>
      <c r="B350" s="17" t="s">
        <v>1392</v>
      </c>
      <c r="C350" s="17" t="s">
        <v>11</v>
      </c>
      <c r="D350" s="17" t="s">
        <v>12</v>
      </c>
      <c r="E350" s="17" t="s">
        <v>13</v>
      </c>
      <c r="F350" s="16" t="s">
        <v>1393</v>
      </c>
    </row>
    <row r="351" spans="1:6" x14ac:dyDescent="0.25">
      <c r="A351" s="16" t="s">
        <v>1394</v>
      </c>
      <c r="B351" s="17" t="s">
        <v>1395</v>
      </c>
      <c r="C351" s="17" t="s">
        <v>11</v>
      </c>
      <c r="D351" s="17" t="s">
        <v>32</v>
      </c>
      <c r="E351" s="17" t="s">
        <v>20</v>
      </c>
      <c r="F351" s="16" t="s">
        <v>1396</v>
      </c>
    </row>
    <row r="352" spans="1:6" x14ac:dyDescent="0.25">
      <c r="A352" s="16" t="s">
        <v>1397</v>
      </c>
      <c r="B352" s="17" t="s">
        <v>1398</v>
      </c>
      <c r="C352" s="17" t="s">
        <v>11</v>
      </c>
      <c r="D352" s="17" t="s">
        <v>12</v>
      </c>
      <c r="E352" s="17" t="s">
        <v>13</v>
      </c>
      <c r="F352" s="16" t="s">
        <v>1399</v>
      </c>
    </row>
    <row r="353" spans="1:6" x14ac:dyDescent="0.25">
      <c r="A353" s="16" t="s">
        <v>1400</v>
      </c>
      <c r="B353" s="17" t="s">
        <v>1401</v>
      </c>
      <c r="C353" s="17" t="s">
        <v>11</v>
      </c>
      <c r="D353" s="17" t="s">
        <v>1402</v>
      </c>
      <c r="E353" s="17" t="s">
        <v>13</v>
      </c>
      <c r="F353" s="16" t="s">
        <v>1403</v>
      </c>
    </row>
    <row r="354" spans="1:6" x14ac:dyDescent="0.25">
      <c r="A354" s="16" t="s">
        <v>1404</v>
      </c>
      <c r="B354" s="17" t="s">
        <v>1405</v>
      </c>
      <c r="C354" s="17" t="s">
        <v>11</v>
      </c>
      <c r="D354" s="17" t="s">
        <v>80</v>
      </c>
      <c r="E354" s="17" t="s">
        <v>20</v>
      </c>
      <c r="F354" s="16" t="s">
        <v>1406</v>
      </c>
    </row>
    <row r="355" spans="1:6" x14ac:dyDescent="0.25">
      <c r="A355" s="16" t="s">
        <v>1407</v>
      </c>
      <c r="B355" s="17" t="s">
        <v>1408</v>
      </c>
      <c r="C355" s="17" t="s">
        <v>11</v>
      </c>
      <c r="D355" s="17" t="s">
        <v>12</v>
      </c>
      <c r="E355" s="17" t="s">
        <v>13</v>
      </c>
      <c r="F355" s="16" t="s">
        <v>1409</v>
      </c>
    </row>
    <row r="356" spans="1:6" x14ac:dyDescent="0.25">
      <c r="A356" s="16" t="s">
        <v>1410</v>
      </c>
      <c r="B356" s="17" t="s">
        <v>1411</v>
      </c>
      <c r="C356" s="17" t="s">
        <v>11</v>
      </c>
      <c r="D356" s="17" t="s">
        <v>233</v>
      </c>
      <c r="E356" s="17" t="s">
        <v>20</v>
      </c>
      <c r="F356" s="16" t="s">
        <v>1412</v>
      </c>
    </row>
    <row r="357" spans="1:6" x14ac:dyDescent="0.25">
      <c r="A357" s="16" t="s">
        <v>1413</v>
      </c>
      <c r="B357" s="17" t="s">
        <v>1414</v>
      </c>
      <c r="C357" s="17" t="s">
        <v>11</v>
      </c>
      <c r="D357" s="17" t="s">
        <v>250</v>
      </c>
      <c r="E357" s="17" t="s">
        <v>20</v>
      </c>
      <c r="F357" s="16" t="s">
        <v>1415</v>
      </c>
    </row>
    <row r="358" spans="1:6" x14ac:dyDescent="0.25">
      <c r="A358" s="16" t="s">
        <v>1416</v>
      </c>
      <c r="B358" s="17" t="s">
        <v>1417</v>
      </c>
      <c r="C358" s="17" t="s">
        <v>11</v>
      </c>
      <c r="D358" s="17" t="s">
        <v>19</v>
      </c>
      <c r="E358" s="17" t="s">
        <v>20</v>
      </c>
      <c r="F358" s="16" t="s">
        <v>1418</v>
      </c>
    </row>
    <row r="359" spans="1:6" x14ac:dyDescent="0.25">
      <c r="A359" s="16" t="s">
        <v>1419</v>
      </c>
      <c r="B359" s="17" t="s">
        <v>1420</v>
      </c>
      <c r="C359" s="17" t="s">
        <v>11</v>
      </c>
      <c r="D359" s="17" t="s">
        <v>148</v>
      </c>
      <c r="E359" s="17" t="s">
        <v>20</v>
      </c>
      <c r="F359" s="16" t="s">
        <v>1421</v>
      </c>
    </row>
    <row r="360" spans="1:6" x14ac:dyDescent="0.25">
      <c r="A360" s="16" t="s">
        <v>1422</v>
      </c>
      <c r="B360" s="17" t="s">
        <v>1423</v>
      </c>
      <c r="C360" s="17" t="s">
        <v>11</v>
      </c>
      <c r="D360" s="17" t="s">
        <v>26</v>
      </c>
      <c r="E360" s="17" t="s">
        <v>20</v>
      </c>
      <c r="F360" s="16" t="s">
        <v>1424</v>
      </c>
    </row>
    <row r="361" spans="1:6" x14ac:dyDescent="0.25">
      <c r="A361" s="16" t="s">
        <v>1425</v>
      </c>
      <c r="B361" s="17" t="s">
        <v>1426</v>
      </c>
      <c r="C361" s="17" t="s">
        <v>11</v>
      </c>
      <c r="D361" s="17" t="s">
        <v>19</v>
      </c>
      <c r="E361" s="17" t="s">
        <v>20</v>
      </c>
      <c r="F361" s="16" t="s">
        <v>1427</v>
      </c>
    </row>
    <row r="362" spans="1:6" x14ac:dyDescent="0.25">
      <c r="A362" s="16" t="s">
        <v>1428</v>
      </c>
      <c r="B362" s="17" t="s">
        <v>1429</v>
      </c>
      <c r="C362" s="17" t="s">
        <v>11</v>
      </c>
      <c r="D362" s="17" t="s">
        <v>32</v>
      </c>
      <c r="E362" s="17" t="s">
        <v>20</v>
      </c>
      <c r="F362" s="16" t="s">
        <v>1430</v>
      </c>
    </row>
    <row r="363" spans="1:6" x14ac:dyDescent="0.25">
      <c r="A363" s="16" t="s">
        <v>1431</v>
      </c>
      <c r="B363" s="17" t="s">
        <v>1432</v>
      </c>
      <c r="C363" s="17" t="s">
        <v>11</v>
      </c>
      <c r="D363" s="17" t="s">
        <v>186</v>
      </c>
      <c r="E363" s="17" t="s">
        <v>20</v>
      </c>
      <c r="F363" s="16" t="s">
        <v>1433</v>
      </c>
    </row>
    <row r="364" spans="1:6" x14ac:dyDescent="0.25">
      <c r="A364" s="16" t="s">
        <v>1434</v>
      </c>
      <c r="B364" s="17" t="s">
        <v>1435</v>
      </c>
      <c r="C364" s="17" t="s">
        <v>11</v>
      </c>
      <c r="D364" s="17" t="s">
        <v>89</v>
      </c>
      <c r="E364" s="17" t="s">
        <v>20</v>
      </c>
      <c r="F364" s="16" t="s">
        <v>1436</v>
      </c>
    </row>
    <row r="365" spans="1:6" x14ac:dyDescent="0.25">
      <c r="A365" s="16" t="s">
        <v>1437</v>
      </c>
      <c r="B365" s="17" t="s">
        <v>1438</v>
      </c>
      <c r="C365" s="17" t="s">
        <v>11</v>
      </c>
      <c r="D365" s="17" t="s">
        <v>233</v>
      </c>
      <c r="E365" s="17" t="s">
        <v>20</v>
      </c>
      <c r="F365" s="16" t="s">
        <v>1439</v>
      </c>
    </row>
    <row r="366" spans="1:6" x14ac:dyDescent="0.25">
      <c r="A366" s="16" t="s">
        <v>1440</v>
      </c>
      <c r="B366" s="17" t="s">
        <v>1441</v>
      </c>
      <c r="C366" s="17" t="s">
        <v>11</v>
      </c>
      <c r="D366" s="17" t="s">
        <v>74</v>
      </c>
      <c r="E366" s="17" t="s">
        <v>20</v>
      </c>
      <c r="F366" s="16" t="s">
        <v>1442</v>
      </c>
    </row>
    <row r="367" spans="1:6" x14ac:dyDescent="0.25">
      <c r="A367" s="16" t="s">
        <v>1443</v>
      </c>
      <c r="B367" s="17" t="s">
        <v>1444</v>
      </c>
      <c r="C367" s="17" t="s">
        <v>11</v>
      </c>
      <c r="D367" s="17" t="s">
        <v>83</v>
      </c>
      <c r="E367" s="17" t="s">
        <v>20</v>
      </c>
      <c r="F367" s="16" t="s">
        <v>1445</v>
      </c>
    </row>
    <row r="368" spans="1:6" x14ac:dyDescent="0.25">
      <c r="A368" s="16" t="s">
        <v>1446</v>
      </c>
      <c r="B368" s="17" t="s">
        <v>1447</v>
      </c>
      <c r="C368" s="17" t="s">
        <v>11</v>
      </c>
      <c r="D368" s="17" t="s">
        <v>74</v>
      </c>
      <c r="E368" s="17" t="s">
        <v>20</v>
      </c>
      <c r="F368" s="16" t="s">
        <v>1448</v>
      </c>
    </row>
    <row r="369" spans="1:6" x14ac:dyDescent="0.25">
      <c r="A369" s="16" t="s">
        <v>1449</v>
      </c>
      <c r="B369" s="17" t="s">
        <v>1450</v>
      </c>
      <c r="C369" s="17" t="s">
        <v>11</v>
      </c>
      <c r="D369" s="17" t="s">
        <v>83</v>
      </c>
      <c r="E369" s="17" t="s">
        <v>20</v>
      </c>
      <c r="F369" s="16" t="s">
        <v>1451</v>
      </c>
    </row>
    <row r="370" spans="1:6" x14ac:dyDescent="0.25">
      <c r="A370" s="16" t="s">
        <v>1452</v>
      </c>
      <c r="B370" s="17" t="s">
        <v>1453</v>
      </c>
      <c r="C370" s="17" t="s">
        <v>11</v>
      </c>
      <c r="D370" s="17" t="s">
        <v>32</v>
      </c>
      <c r="E370" s="17" t="s">
        <v>20</v>
      </c>
      <c r="F370" s="16" t="s">
        <v>1454</v>
      </c>
    </row>
    <row r="371" spans="1:6" x14ac:dyDescent="0.25">
      <c r="A371" s="16" t="s">
        <v>1455</v>
      </c>
      <c r="B371" s="17" t="s">
        <v>1456</v>
      </c>
      <c r="C371" s="17" t="s">
        <v>11</v>
      </c>
      <c r="D371" s="17" t="s">
        <v>32</v>
      </c>
      <c r="E371" s="17" t="s">
        <v>20</v>
      </c>
      <c r="F371" s="16" t="s">
        <v>1457</v>
      </c>
    </row>
    <row r="372" spans="1:6" x14ac:dyDescent="0.25">
      <c r="A372" s="16" t="s">
        <v>1458</v>
      </c>
      <c r="B372" s="17" t="s">
        <v>1459</v>
      </c>
      <c r="C372" s="17" t="s">
        <v>11</v>
      </c>
      <c r="D372" s="17" t="s">
        <v>182</v>
      </c>
      <c r="E372" s="17" t="s">
        <v>20</v>
      </c>
      <c r="F372" s="16" t="s">
        <v>1460</v>
      </c>
    </row>
    <row r="373" spans="1:6" x14ac:dyDescent="0.25">
      <c r="A373" s="16" t="s">
        <v>1461</v>
      </c>
      <c r="B373" s="17" t="s">
        <v>1462</v>
      </c>
      <c r="C373" s="17" t="s">
        <v>11</v>
      </c>
      <c r="D373" s="17" t="s">
        <v>89</v>
      </c>
      <c r="E373" s="17" t="s">
        <v>20</v>
      </c>
      <c r="F373" s="16" t="s">
        <v>1463</v>
      </c>
    </row>
    <row r="374" spans="1:6" x14ac:dyDescent="0.25">
      <c r="A374" s="16" t="s">
        <v>1464</v>
      </c>
      <c r="B374" s="17" t="s">
        <v>1465</v>
      </c>
      <c r="C374" s="17" t="s">
        <v>11</v>
      </c>
      <c r="D374" s="17" t="s">
        <v>89</v>
      </c>
      <c r="E374" s="17" t="s">
        <v>20</v>
      </c>
      <c r="F374" s="16" t="s">
        <v>1466</v>
      </c>
    </row>
    <row r="375" spans="1:6" x14ac:dyDescent="0.25">
      <c r="A375" s="16" t="s">
        <v>1467</v>
      </c>
      <c r="B375" s="17" t="s">
        <v>1468</v>
      </c>
      <c r="C375" s="17" t="s">
        <v>11</v>
      </c>
      <c r="D375" s="17" t="s">
        <v>291</v>
      </c>
      <c r="E375" s="17" t="s">
        <v>20</v>
      </c>
      <c r="F375" s="16" t="s">
        <v>1469</v>
      </c>
    </row>
    <row r="376" spans="1:6" x14ac:dyDescent="0.25">
      <c r="A376" s="16" t="s">
        <v>1470</v>
      </c>
      <c r="B376" s="17" t="s">
        <v>1471</v>
      </c>
      <c r="C376" s="17" t="s">
        <v>11</v>
      </c>
      <c r="D376" s="17" t="s">
        <v>32</v>
      </c>
      <c r="E376" s="17" t="s">
        <v>20</v>
      </c>
      <c r="F376" s="16" t="s">
        <v>1472</v>
      </c>
    </row>
    <row r="377" spans="1:6" x14ac:dyDescent="0.25">
      <c r="A377" s="16" t="s">
        <v>1473</v>
      </c>
      <c r="B377" s="17" t="s">
        <v>1474</v>
      </c>
      <c r="C377" s="17" t="s">
        <v>11</v>
      </c>
      <c r="D377" s="17" t="s">
        <v>148</v>
      </c>
      <c r="E377" s="17" t="s">
        <v>20</v>
      </c>
      <c r="F377" s="16" t="s">
        <v>1475</v>
      </c>
    </row>
    <row r="378" spans="1:6" x14ac:dyDescent="0.25">
      <c r="A378" s="16" t="s">
        <v>1476</v>
      </c>
      <c r="B378" s="17" t="s">
        <v>1477</v>
      </c>
      <c r="C378" s="17" t="s">
        <v>11</v>
      </c>
      <c r="D378" s="17" t="s">
        <v>68</v>
      </c>
      <c r="E378" s="17" t="s">
        <v>20</v>
      </c>
      <c r="F378" s="16" t="s">
        <v>1478</v>
      </c>
    </row>
    <row r="379" spans="1:6" x14ac:dyDescent="0.25">
      <c r="A379" s="16" t="s">
        <v>1479</v>
      </c>
      <c r="B379" s="17" t="s">
        <v>1480</v>
      </c>
      <c r="C379" s="17" t="s">
        <v>11</v>
      </c>
      <c r="D379" s="17" t="s">
        <v>80</v>
      </c>
      <c r="E379" s="17" t="s">
        <v>20</v>
      </c>
      <c r="F379" s="16" t="s">
        <v>1481</v>
      </c>
    </row>
    <row r="380" spans="1:6" x14ac:dyDescent="0.25">
      <c r="A380" s="16" t="s">
        <v>1482</v>
      </c>
      <c r="B380" s="17" t="s">
        <v>1483</v>
      </c>
      <c r="C380" s="17" t="s">
        <v>11</v>
      </c>
      <c r="D380" s="17" t="s">
        <v>32</v>
      </c>
      <c r="E380" s="17" t="s">
        <v>20</v>
      </c>
      <c r="F380" s="16" t="s">
        <v>1484</v>
      </c>
    </row>
    <row r="381" spans="1:6" x14ac:dyDescent="0.25">
      <c r="A381" s="16" t="s">
        <v>1485</v>
      </c>
      <c r="B381" s="17" t="s">
        <v>1486</v>
      </c>
      <c r="C381" s="17" t="s">
        <v>11</v>
      </c>
      <c r="D381" s="17" t="s">
        <v>12</v>
      </c>
      <c r="E381" s="17" t="s">
        <v>13</v>
      </c>
      <c r="F381" s="16" t="s">
        <v>1487</v>
      </c>
    </row>
    <row r="382" spans="1:6" x14ac:dyDescent="0.25">
      <c r="A382" s="16" t="s">
        <v>1488</v>
      </c>
      <c r="B382" s="17" t="s">
        <v>1489</v>
      </c>
      <c r="C382" s="17" t="s">
        <v>11</v>
      </c>
      <c r="D382" s="17" t="s">
        <v>74</v>
      </c>
      <c r="E382" s="17" t="s">
        <v>20</v>
      </c>
      <c r="F382" s="16" t="s">
        <v>1490</v>
      </c>
    </row>
    <row r="383" spans="1:6" x14ac:dyDescent="0.25">
      <c r="A383" s="16" t="s">
        <v>1491</v>
      </c>
      <c r="B383" s="17" t="s">
        <v>1492</v>
      </c>
      <c r="C383" s="17" t="s">
        <v>11</v>
      </c>
      <c r="D383" s="17" t="s">
        <v>12</v>
      </c>
      <c r="E383" s="17" t="s">
        <v>13</v>
      </c>
      <c r="F383" s="16" t="s">
        <v>1493</v>
      </c>
    </row>
    <row r="384" spans="1:6" x14ac:dyDescent="0.25">
      <c r="A384" s="16" t="s">
        <v>1494</v>
      </c>
      <c r="B384" s="17" t="s">
        <v>1495</v>
      </c>
      <c r="C384" s="17" t="s">
        <v>11</v>
      </c>
      <c r="D384" s="17" t="s">
        <v>12</v>
      </c>
      <c r="E384" s="17" t="s">
        <v>13</v>
      </c>
      <c r="F384" s="16" t="s">
        <v>1496</v>
      </c>
    </row>
    <row r="385" spans="1:6" x14ac:dyDescent="0.25">
      <c r="A385" s="16" t="s">
        <v>1497</v>
      </c>
      <c r="B385" s="17" t="s">
        <v>1498</v>
      </c>
      <c r="C385" s="17" t="s">
        <v>11</v>
      </c>
      <c r="D385" s="17" t="s">
        <v>74</v>
      </c>
      <c r="E385" s="17" t="s">
        <v>20</v>
      </c>
      <c r="F385" s="16" t="s">
        <v>1499</v>
      </c>
    </row>
    <row r="386" spans="1:6" x14ac:dyDescent="0.25">
      <c r="A386" s="16" t="s">
        <v>1500</v>
      </c>
      <c r="B386" s="17" t="s">
        <v>1501</v>
      </c>
      <c r="C386" s="17" t="s">
        <v>11</v>
      </c>
      <c r="D386" s="17" t="s">
        <v>250</v>
      </c>
      <c r="E386" s="17" t="s">
        <v>20</v>
      </c>
      <c r="F386" s="16" t="s">
        <v>1502</v>
      </c>
    </row>
    <row r="387" spans="1:6" x14ac:dyDescent="0.25">
      <c r="A387" s="16" t="s">
        <v>1503</v>
      </c>
      <c r="B387" s="17" t="s">
        <v>1504</v>
      </c>
      <c r="C387" s="17" t="s">
        <v>11</v>
      </c>
      <c r="D387" s="17" t="s">
        <v>544</v>
      </c>
      <c r="E387" s="17" t="s">
        <v>20</v>
      </c>
      <c r="F387" s="16" t="s">
        <v>1505</v>
      </c>
    </row>
    <row r="388" spans="1:6" x14ac:dyDescent="0.25">
      <c r="A388" s="16" t="s">
        <v>1506</v>
      </c>
      <c r="B388" s="17" t="s">
        <v>1507</v>
      </c>
      <c r="C388" s="17" t="s">
        <v>11</v>
      </c>
      <c r="D388" s="17" t="s">
        <v>74</v>
      </c>
      <c r="E388" s="17" t="s">
        <v>20</v>
      </c>
      <c r="F388" s="16" t="s">
        <v>1508</v>
      </c>
    </row>
    <row r="389" spans="1:6" x14ac:dyDescent="0.25">
      <c r="A389" s="16" t="s">
        <v>1509</v>
      </c>
      <c r="B389" s="17" t="s">
        <v>1510</v>
      </c>
      <c r="C389" s="17" t="s">
        <v>11</v>
      </c>
      <c r="D389" s="17" t="s">
        <v>32</v>
      </c>
      <c r="E389" s="17" t="s">
        <v>20</v>
      </c>
      <c r="F389" s="16" t="s">
        <v>1511</v>
      </c>
    </row>
    <row r="390" spans="1:6" x14ac:dyDescent="0.25">
      <c r="A390" s="16" t="s">
        <v>1512</v>
      </c>
      <c r="B390" s="17" t="s">
        <v>1513</v>
      </c>
      <c r="C390" s="17" t="s">
        <v>11</v>
      </c>
      <c r="D390" s="17" t="s">
        <v>12</v>
      </c>
      <c r="E390" s="17" t="s">
        <v>13</v>
      </c>
      <c r="F390" s="16" t="s">
        <v>1514</v>
      </c>
    </row>
    <row r="391" spans="1:6" x14ac:dyDescent="0.25">
      <c r="A391" s="16" t="s">
        <v>1515</v>
      </c>
      <c r="B391" s="17" t="s">
        <v>1516</v>
      </c>
      <c r="C391" s="17" t="s">
        <v>11</v>
      </c>
      <c r="D391" s="17" t="s">
        <v>32</v>
      </c>
      <c r="E391" s="17" t="s">
        <v>20</v>
      </c>
      <c r="F391" s="16" t="s">
        <v>1517</v>
      </c>
    </row>
    <row r="392" spans="1:6" x14ac:dyDescent="0.25">
      <c r="A392" s="16" t="s">
        <v>1518</v>
      </c>
      <c r="B392" s="17" t="s">
        <v>1519</v>
      </c>
      <c r="C392" s="17" t="s">
        <v>11</v>
      </c>
      <c r="D392" s="17" t="s">
        <v>576</v>
      </c>
      <c r="E392" s="17" t="s">
        <v>20</v>
      </c>
      <c r="F392" s="16" t="s">
        <v>1520</v>
      </c>
    </row>
    <row r="393" spans="1:6" x14ac:dyDescent="0.25">
      <c r="A393" s="16" t="s">
        <v>1521</v>
      </c>
      <c r="B393" s="17" t="s">
        <v>1522</v>
      </c>
      <c r="C393" s="17" t="s">
        <v>11</v>
      </c>
      <c r="D393" s="17" t="s">
        <v>12</v>
      </c>
      <c r="E393" s="17" t="s">
        <v>13</v>
      </c>
      <c r="F393" s="16" t="s">
        <v>1523</v>
      </c>
    </row>
    <row r="394" spans="1:6" x14ac:dyDescent="0.25">
      <c r="A394" s="16" t="s">
        <v>1524</v>
      </c>
      <c r="B394" s="17" t="s">
        <v>1525</v>
      </c>
      <c r="C394" s="17" t="s">
        <v>11</v>
      </c>
      <c r="D394" s="17" t="s">
        <v>12</v>
      </c>
      <c r="E394" s="17" t="s">
        <v>13</v>
      </c>
      <c r="F394" s="16" t="s">
        <v>1526</v>
      </c>
    </row>
    <row r="395" spans="1:6" x14ac:dyDescent="0.25">
      <c r="A395" s="16" t="s">
        <v>1527</v>
      </c>
      <c r="B395" s="17" t="s">
        <v>1528</v>
      </c>
      <c r="C395" s="17" t="s">
        <v>11</v>
      </c>
      <c r="D395" s="17" t="s">
        <v>59</v>
      </c>
      <c r="E395" s="17" t="s">
        <v>13</v>
      </c>
      <c r="F395" s="16" t="s">
        <v>1529</v>
      </c>
    </row>
    <row r="396" spans="1:6" x14ac:dyDescent="0.25">
      <c r="A396" s="16" t="s">
        <v>1530</v>
      </c>
      <c r="B396" s="17" t="s">
        <v>1531</v>
      </c>
      <c r="C396" s="17" t="s">
        <v>11</v>
      </c>
      <c r="D396" s="17" t="s">
        <v>12</v>
      </c>
      <c r="E396" s="17" t="s">
        <v>13</v>
      </c>
      <c r="F396" s="16" t="s">
        <v>1532</v>
      </c>
    </row>
    <row r="397" spans="1:6" x14ac:dyDescent="0.25">
      <c r="A397" s="16" t="s">
        <v>1533</v>
      </c>
      <c r="B397" s="17" t="s">
        <v>1534</v>
      </c>
      <c r="C397" s="17" t="s">
        <v>11</v>
      </c>
      <c r="D397" s="17" t="s">
        <v>12</v>
      </c>
      <c r="E397" s="17" t="s">
        <v>13</v>
      </c>
      <c r="F397" s="16" t="s">
        <v>1535</v>
      </c>
    </row>
    <row r="398" spans="1:6" x14ac:dyDescent="0.25">
      <c r="A398" s="16" t="s">
        <v>1536</v>
      </c>
      <c r="B398" s="17" t="s">
        <v>1537</v>
      </c>
      <c r="C398" s="17" t="s">
        <v>11</v>
      </c>
      <c r="D398" s="17" t="s">
        <v>74</v>
      </c>
      <c r="E398" s="17" t="s">
        <v>20</v>
      </c>
      <c r="F398" s="16" t="s">
        <v>1538</v>
      </c>
    </row>
    <row r="399" spans="1:6" x14ac:dyDescent="0.25">
      <c r="A399" s="16" t="s">
        <v>1539</v>
      </c>
      <c r="B399" s="17" t="s">
        <v>1540</v>
      </c>
      <c r="C399" s="17" t="s">
        <v>11</v>
      </c>
      <c r="D399" s="17" t="s">
        <v>148</v>
      </c>
      <c r="E399" s="17" t="s">
        <v>20</v>
      </c>
      <c r="F399" s="16" t="s">
        <v>1541</v>
      </c>
    </row>
    <row r="400" spans="1:6" x14ac:dyDescent="0.25">
      <c r="A400" s="16" t="s">
        <v>1542</v>
      </c>
      <c r="B400" s="17" t="s">
        <v>1543</v>
      </c>
      <c r="C400" s="17" t="s">
        <v>11</v>
      </c>
      <c r="D400" s="17" t="s">
        <v>12</v>
      </c>
      <c r="E400" s="17" t="s">
        <v>13</v>
      </c>
      <c r="F400" s="16" t="s">
        <v>1544</v>
      </c>
    </row>
    <row r="401" spans="1:6" x14ac:dyDescent="0.25">
      <c r="A401" s="16" t="s">
        <v>1545</v>
      </c>
      <c r="B401" s="17" t="s">
        <v>1546</v>
      </c>
      <c r="C401" s="17" t="s">
        <v>11</v>
      </c>
      <c r="D401" s="17" t="s">
        <v>12</v>
      </c>
      <c r="E401" s="17" t="s">
        <v>13</v>
      </c>
      <c r="F401" s="16" t="s">
        <v>1547</v>
      </c>
    </row>
    <row r="402" spans="1:6" x14ac:dyDescent="0.25">
      <c r="A402" s="16" t="s">
        <v>1548</v>
      </c>
      <c r="B402" s="17" t="s">
        <v>1549</v>
      </c>
      <c r="C402" s="17" t="s">
        <v>11</v>
      </c>
      <c r="D402" s="17" t="s">
        <v>12</v>
      </c>
      <c r="E402" s="17" t="s">
        <v>13</v>
      </c>
      <c r="F402" s="16" t="s">
        <v>1550</v>
      </c>
    </row>
    <row r="403" spans="1:6" x14ac:dyDescent="0.25">
      <c r="A403" s="16" t="s">
        <v>1551</v>
      </c>
      <c r="B403" s="17" t="s">
        <v>1552</v>
      </c>
      <c r="C403" s="17" t="s">
        <v>11</v>
      </c>
      <c r="D403" s="17" t="s">
        <v>182</v>
      </c>
      <c r="E403" s="17" t="s">
        <v>20</v>
      </c>
      <c r="F403" s="16" t="s">
        <v>1553</v>
      </c>
    </row>
    <row r="404" spans="1:6" x14ac:dyDescent="0.25">
      <c r="A404" s="16" t="s">
        <v>1554</v>
      </c>
      <c r="B404" s="17" t="s">
        <v>1555</v>
      </c>
      <c r="C404" s="17" t="s">
        <v>11</v>
      </c>
      <c r="D404" s="17" t="s">
        <v>26</v>
      </c>
      <c r="E404" s="17" t="s">
        <v>20</v>
      </c>
      <c r="F404" s="16" t="s">
        <v>1556</v>
      </c>
    </row>
    <row r="405" spans="1:6" x14ac:dyDescent="0.25">
      <c r="A405" s="16" t="s">
        <v>1557</v>
      </c>
      <c r="B405" s="17" t="s">
        <v>1558</v>
      </c>
      <c r="C405" s="17" t="s">
        <v>11</v>
      </c>
      <c r="D405" s="17" t="s">
        <v>12</v>
      </c>
      <c r="E405" s="17" t="s">
        <v>13</v>
      </c>
      <c r="F405" s="16" t="s">
        <v>1559</v>
      </c>
    </row>
    <row r="406" spans="1:6" x14ac:dyDescent="0.25">
      <c r="A406" s="16" t="s">
        <v>1560</v>
      </c>
      <c r="B406" s="17" t="s">
        <v>1561</v>
      </c>
      <c r="C406" s="17" t="s">
        <v>11</v>
      </c>
      <c r="D406" s="17" t="s">
        <v>649</v>
      </c>
      <c r="E406" s="17" t="s">
        <v>20</v>
      </c>
      <c r="F406" s="16" t="s">
        <v>1562</v>
      </c>
    </row>
    <row r="407" spans="1:6" x14ac:dyDescent="0.25">
      <c r="A407" s="16" t="s">
        <v>1563</v>
      </c>
      <c r="B407" s="17" t="s">
        <v>1564</v>
      </c>
      <c r="C407" s="17" t="s">
        <v>11</v>
      </c>
      <c r="D407" s="17" t="s">
        <v>32</v>
      </c>
      <c r="E407" s="17" t="s">
        <v>20</v>
      </c>
      <c r="F407" s="16" t="s">
        <v>1565</v>
      </c>
    </row>
    <row r="408" spans="1:6" x14ac:dyDescent="0.25">
      <c r="A408" s="16" t="s">
        <v>1566</v>
      </c>
      <c r="B408" s="17" t="s">
        <v>1567</v>
      </c>
      <c r="C408" s="17" t="s">
        <v>11</v>
      </c>
      <c r="D408" s="17" t="s">
        <v>1318</v>
      </c>
      <c r="E408" s="17" t="s">
        <v>20</v>
      </c>
      <c r="F408" s="16" t="s">
        <v>1568</v>
      </c>
    </row>
    <row r="409" spans="1:6" x14ac:dyDescent="0.25">
      <c r="A409" s="16" t="s">
        <v>1569</v>
      </c>
      <c r="B409" s="17" t="s">
        <v>1570</v>
      </c>
      <c r="C409" s="17" t="s">
        <v>11</v>
      </c>
      <c r="D409" s="17" t="s">
        <v>12</v>
      </c>
      <c r="E409" s="17" t="s">
        <v>13</v>
      </c>
      <c r="F409" s="16" t="s">
        <v>1571</v>
      </c>
    </row>
    <row r="410" spans="1:6" x14ac:dyDescent="0.25">
      <c r="A410" s="16" t="s">
        <v>1572</v>
      </c>
      <c r="B410" s="17" t="s">
        <v>1573</v>
      </c>
      <c r="C410" s="17" t="s">
        <v>11</v>
      </c>
      <c r="D410" s="17" t="s">
        <v>12</v>
      </c>
      <c r="E410" s="17" t="s">
        <v>13</v>
      </c>
      <c r="F410" s="16" t="s">
        <v>1574</v>
      </c>
    </row>
    <row r="411" spans="1:6" x14ac:dyDescent="0.25">
      <c r="A411" s="16" t="s">
        <v>1575</v>
      </c>
      <c r="B411" s="17" t="s">
        <v>1576</v>
      </c>
      <c r="C411" s="17" t="s">
        <v>11</v>
      </c>
      <c r="D411" s="17" t="s">
        <v>12</v>
      </c>
      <c r="E411" s="17" t="s">
        <v>13</v>
      </c>
      <c r="F411" s="16" t="s">
        <v>1577</v>
      </c>
    </row>
    <row r="412" spans="1:6" x14ac:dyDescent="0.25">
      <c r="A412" s="16" t="s">
        <v>1578</v>
      </c>
      <c r="B412" s="17" t="s">
        <v>1579</v>
      </c>
      <c r="C412" s="17" t="s">
        <v>11</v>
      </c>
      <c r="D412" s="17" t="s">
        <v>59</v>
      </c>
      <c r="E412" s="17" t="s">
        <v>13</v>
      </c>
      <c r="F412" s="16" t="s">
        <v>1580</v>
      </c>
    </row>
    <row r="413" spans="1:6" x14ac:dyDescent="0.25">
      <c r="A413" s="16" t="s">
        <v>1581</v>
      </c>
      <c r="B413" s="17" t="s">
        <v>1582</v>
      </c>
      <c r="C413" s="17" t="s">
        <v>11</v>
      </c>
      <c r="D413" s="17" t="s">
        <v>12</v>
      </c>
      <c r="E413" s="17" t="s">
        <v>13</v>
      </c>
      <c r="F413" s="16" t="s">
        <v>1583</v>
      </c>
    </row>
    <row r="414" spans="1:6" x14ac:dyDescent="0.25">
      <c r="A414" s="16" t="s">
        <v>1584</v>
      </c>
      <c r="B414" s="17" t="s">
        <v>1585</v>
      </c>
      <c r="C414" s="17" t="s">
        <v>11</v>
      </c>
      <c r="D414" s="17" t="s">
        <v>12</v>
      </c>
      <c r="E414" s="17" t="s">
        <v>13</v>
      </c>
      <c r="F414" s="16" t="s">
        <v>1586</v>
      </c>
    </row>
    <row r="415" spans="1:6" x14ac:dyDescent="0.25">
      <c r="A415" s="16" t="s">
        <v>1587</v>
      </c>
      <c r="B415" s="17" t="s">
        <v>1588</v>
      </c>
      <c r="C415" s="17" t="s">
        <v>11</v>
      </c>
      <c r="D415" s="17" t="s">
        <v>32</v>
      </c>
      <c r="E415" s="17" t="s">
        <v>20</v>
      </c>
      <c r="F415" s="16" t="s">
        <v>1589</v>
      </c>
    </row>
    <row r="416" spans="1:6" x14ac:dyDescent="0.25">
      <c r="A416" s="16" t="s">
        <v>1590</v>
      </c>
      <c r="B416" s="17" t="s">
        <v>1591</v>
      </c>
      <c r="C416" s="17" t="s">
        <v>11</v>
      </c>
      <c r="D416" s="17" t="s">
        <v>32</v>
      </c>
      <c r="E416" s="17" t="s">
        <v>20</v>
      </c>
      <c r="F416" s="16" t="s">
        <v>1592</v>
      </c>
    </row>
    <row r="417" spans="1:6" x14ac:dyDescent="0.25">
      <c r="A417" s="16" t="s">
        <v>1593</v>
      </c>
      <c r="B417" s="17" t="s">
        <v>1594</v>
      </c>
      <c r="C417" s="17" t="s">
        <v>11</v>
      </c>
      <c r="D417" s="17" t="s">
        <v>32</v>
      </c>
      <c r="E417" s="17" t="s">
        <v>20</v>
      </c>
      <c r="F417" s="16" t="s">
        <v>1595</v>
      </c>
    </row>
    <row r="418" spans="1:6" x14ac:dyDescent="0.25">
      <c r="A418" s="16" t="s">
        <v>1596</v>
      </c>
      <c r="B418" s="17" t="s">
        <v>1597</v>
      </c>
      <c r="C418" s="17" t="s">
        <v>11</v>
      </c>
      <c r="D418" s="17" t="s">
        <v>80</v>
      </c>
      <c r="E418" s="17" t="s">
        <v>20</v>
      </c>
      <c r="F418" s="16" t="s">
        <v>1598</v>
      </c>
    </row>
    <row r="419" spans="1:6" x14ac:dyDescent="0.25">
      <c r="A419" s="16" t="s">
        <v>1599</v>
      </c>
      <c r="B419" s="17" t="s">
        <v>1600</v>
      </c>
      <c r="C419" s="17" t="s">
        <v>11</v>
      </c>
      <c r="D419" s="17" t="s">
        <v>12</v>
      </c>
      <c r="E419" s="17" t="s">
        <v>13</v>
      </c>
      <c r="F419" s="16" t="s">
        <v>1601</v>
      </c>
    </row>
    <row r="420" spans="1:6" x14ac:dyDescent="0.25">
      <c r="A420" s="16" t="s">
        <v>1602</v>
      </c>
      <c r="B420" s="17" t="s">
        <v>1603</v>
      </c>
      <c r="C420" s="17" t="s">
        <v>11</v>
      </c>
      <c r="D420" s="17" t="s">
        <v>32</v>
      </c>
      <c r="E420" s="17" t="s">
        <v>20</v>
      </c>
      <c r="F420" s="16" t="s">
        <v>1604</v>
      </c>
    </row>
    <row r="421" spans="1:6" x14ac:dyDescent="0.25">
      <c r="A421" s="16" t="s">
        <v>1605</v>
      </c>
      <c r="B421" s="17" t="s">
        <v>1606</v>
      </c>
      <c r="C421" s="17" t="s">
        <v>11</v>
      </c>
      <c r="D421" s="17" t="s">
        <v>59</v>
      </c>
      <c r="E421" s="17" t="s">
        <v>13</v>
      </c>
      <c r="F421" s="16" t="s">
        <v>1607</v>
      </c>
    </row>
    <row r="422" spans="1:6" x14ac:dyDescent="0.25">
      <c r="A422" s="16" t="s">
        <v>1608</v>
      </c>
      <c r="B422" s="17" t="s">
        <v>1609</v>
      </c>
      <c r="C422" s="17" t="s">
        <v>11</v>
      </c>
      <c r="D422" s="17" t="s">
        <v>12</v>
      </c>
      <c r="E422" s="17" t="s">
        <v>13</v>
      </c>
      <c r="F422" s="16" t="s">
        <v>1610</v>
      </c>
    </row>
    <row r="423" spans="1:6" x14ac:dyDescent="0.25">
      <c r="A423" s="16" t="s">
        <v>1611</v>
      </c>
      <c r="B423" s="17" t="s">
        <v>1612</v>
      </c>
      <c r="C423" s="17" t="s">
        <v>11</v>
      </c>
      <c r="D423" s="17" t="s">
        <v>32</v>
      </c>
      <c r="E423" s="17" t="s">
        <v>20</v>
      </c>
      <c r="F423" s="16" t="s">
        <v>1613</v>
      </c>
    </row>
    <row r="424" spans="1:6" x14ac:dyDescent="0.25">
      <c r="A424" s="16" t="s">
        <v>1614</v>
      </c>
      <c r="B424" s="17" t="s">
        <v>1615</v>
      </c>
      <c r="C424" s="17" t="s">
        <v>11</v>
      </c>
      <c r="D424" s="17" t="s">
        <v>12</v>
      </c>
      <c r="E424" s="17" t="s">
        <v>13</v>
      </c>
      <c r="F424" s="16" t="s">
        <v>1616</v>
      </c>
    </row>
    <row r="425" spans="1:6" x14ac:dyDescent="0.25">
      <c r="A425" s="16" t="s">
        <v>1617</v>
      </c>
      <c r="B425" s="17" t="s">
        <v>1618</v>
      </c>
      <c r="C425" s="17" t="s">
        <v>11</v>
      </c>
      <c r="D425" s="17" t="s">
        <v>12</v>
      </c>
      <c r="E425" s="17" t="s">
        <v>13</v>
      </c>
      <c r="F425" s="16" t="s">
        <v>1619</v>
      </c>
    </row>
    <row r="426" spans="1:6" x14ac:dyDescent="0.25">
      <c r="A426" s="16" t="s">
        <v>1620</v>
      </c>
      <c r="B426" s="17" t="s">
        <v>1621</v>
      </c>
      <c r="C426" s="17" t="s">
        <v>11</v>
      </c>
      <c r="D426" s="17" t="s">
        <v>12</v>
      </c>
      <c r="E426" s="17" t="s">
        <v>13</v>
      </c>
      <c r="F426" s="16" t="s">
        <v>1622</v>
      </c>
    </row>
    <row r="427" spans="1:6" x14ac:dyDescent="0.25">
      <c r="A427" s="16" t="s">
        <v>1623</v>
      </c>
      <c r="B427" s="17" t="s">
        <v>1624</v>
      </c>
      <c r="C427" s="17" t="s">
        <v>11</v>
      </c>
      <c r="D427" s="17" t="s">
        <v>12</v>
      </c>
      <c r="E427" s="17" t="s">
        <v>13</v>
      </c>
      <c r="F427" s="16" t="s">
        <v>1625</v>
      </c>
    </row>
    <row r="428" spans="1:6" x14ac:dyDescent="0.25">
      <c r="A428" s="16" t="s">
        <v>1626</v>
      </c>
      <c r="B428" s="17" t="s">
        <v>1627</v>
      </c>
      <c r="C428" s="17" t="s">
        <v>11</v>
      </c>
      <c r="D428" s="17" t="s">
        <v>12</v>
      </c>
      <c r="E428" s="17" t="s">
        <v>13</v>
      </c>
      <c r="F428" s="16" t="s">
        <v>1628</v>
      </c>
    </row>
    <row r="429" spans="1:6" x14ac:dyDescent="0.25">
      <c r="A429" s="16" t="s">
        <v>1629</v>
      </c>
      <c r="B429" s="17" t="s">
        <v>1630</v>
      </c>
      <c r="C429" s="17" t="s">
        <v>11</v>
      </c>
      <c r="D429" s="17" t="s">
        <v>12</v>
      </c>
      <c r="E429" s="17" t="s">
        <v>13</v>
      </c>
      <c r="F429" s="16" t="s">
        <v>1631</v>
      </c>
    </row>
    <row r="430" spans="1:6" x14ac:dyDescent="0.25">
      <c r="A430" s="16" t="s">
        <v>1632</v>
      </c>
      <c r="B430" s="17" t="s">
        <v>1633</v>
      </c>
      <c r="C430" s="17" t="s">
        <v>11</v>
      </c>
      <c r="D430" s="17" t="s">
        <v>12</v>
      </c>
      <c r="E430" s="17" t="s">
        <v>13</v>
      </c>
      <c r="F430" s="16" t="s">
        <v>1634</v>
      </c>
    </row>
    <row r="431" spans="1:6" x14ac:dyDescent="0.25">
      <c r="A431" s="16" t="s">
        <v>1635</v>
      </c>
      <c r="B431" s="17" t="s">
        <v>1636</v>
      </c>
      <c r="C431" s="17" t="s">
        <v>11</v>
      </c>
      <c r="D431" s="17" t="s">
        <v>12</v>
      </c>
      <c r="E431" s="17" t="s">
        <v>13</v>
      </c>
      <c r="F431" s="16" t="s">
        <v>1637</v>
      </c>
    </row>
    <row r="432" spans="1:6" x14ac:dyDescent="0.25">
      <c r="A432" s="16" t="s">
        <v>1638</v>
      </c>
      <c r="B432" s="17" t="s">
        <v>1639</v>
      </c>
      <c r="C432" s="17" t="s">
        <v>11</v>
      </c>
      <c r="D432" s="17" t="s">
        <v>12</v>
      </c>
      <c r="E432" s="17" t="s">
        <v>13</v>
      </c>
      <c r="F432" s="16" t="s">
        <v>1640</v>
      </c>
    </row>
    <row r="433" spans="1:6" x14ac:dyDescent="0.25">
      <c r="A433" s="16" t="s">
        <v>1641</v>
      </c>
      <c r="B433" s="17" t="s">
        <v>1642</v>
      </c>
      <c r="C433" s="17" t="s">
        <v>11</v>
      </c>
      <c r="D433" s="17" t="s">
        <v>12</v>
      </c>
      <c r="E433" s="17" t="s">
        <v>13</v>
      </c>
      <c r="F433" s="16" t="s">
        <v>1643</v>
      </c>
    </row>
    <row r="434" spans="1:6" x14ac:dyDescent="0.25">
      <c r="A434" s="16" t="s">
        <v>1644</v>
      </c>
      <c r="B434" s="17" t="s">
        <v>1645</v>
      </c>
      <c r="C434" s="17" t="s">
        <v>11</v>
      </c>
      <c r="D434" s="17" t="s">
        <v>59</v>
      </c>
      <c r="E434" s="17" t="s">
        <v>13</v>
      </c>
      <c r="F434" s="16" t="s">
        <v>1646</v>
      </c>
    </row>
    <row r="435" spans="1:6" x14ac:dyDescent="0.25">
      <c r="A435" s="16" t="s">
        <v>1647</v>
      </c>
      <c r="B435" s="17" t="s">
        <v>1648</v>
      </c>
      <c r="C435" s="17" t="s">
        <v>11</v>
      </c>
      <c r="D435" s="17" t="s">
        <v>12</v>
      </c>
      <c r="E435" s="17" t="s">
        <v>13</v>
      </c>
      <c r="F435" s="16" t="s">
        <v>1649</v>
      </c>
    </row>
    <row r="436" spans="1:6" x14ac:dyDescent="0.25">
      <c r="A436" s="16" t="s">
        <v>1650</v>
      </c>
      <c r="B436" s="17" t="s">
        <v>1651</v>
      </c>
      <c r="C436" s="17" t="s">
        <v>11</v>
      </c>
      <c r="D436" s="17" t="s">
        <v>148</v>
      </c>
      <c r="E436" s="17" t="s">
        <v>20</v>
      </c>
      <c r="F436" s="16" t="s">
        <v>1652</v>
      </c>
    </row>
    <row r="437" spans="1:6" x14ac:dyDescent="0.25">
      <c r="A437" s="16" t="s">
        <v>1653</v>
      </c>
      <c r="B437" s="17" t="s">
        <v>1654</v>
      </c>
      <c r="C437" s="17" t="s">
        <v>11</v>
      </c>
      <c r="D437" s="17" t="s">
        <v>12</v>
      </c>
      <c r="E437" s="17" t="s">
        <v>13</v>
      </c>
      <c r="F437" s="16" t="s">
        <v>1655</v>
      </c>
    </row>
    <row r="438" spans="1:6" x14ac:dyDescent="0.25">
      <c r="A438" s="16" t="s">
        <v>1656</v>
      </c>
      <c r="B438" s="17" t="s">
        <v>1657</v>
      </c>
      <c r="C438" s="17" t="s">
        <v>11</v>
      </c>
      <c r="D438" s="17" t="s">
        <v>74</v>
      </c>
      <c r="E438" s="17" t="s">
        <v>20</v>
      </c>
      <c r="F438" s="16" t="s">
        <v>1658</v>
      </c>
    </row>
    <row r="439" spans="1:6" x14ac:dyDescent="0.25">
      <c r="A439" s="16" t="s">
        <v>1659</v>
      </c>
      <c r="B439" s="17" t="s">
        <v>1660</v>
      </c>
      <c r="C439" s="17" t="s">
        <v>11</v>
      </c>
      <c r="D439" s="17" t="s">
        <v>12</v>
      </c>
      <c r="E439" s="17" t="s">
        <v>13</v>
      </c>
      <c r="F439" s="16" t="s">
        <v>1661</v>
      </c>
    </row>
    <row r="440" spans="1:6" x14ac:dyDescent="0.25">
      <c r="A440" s="16" t="s">
        <v>1662</v>
      </c>
      <c r="B440" s="17" t="s">
        <v>1663</v>
      </c>
      <c r="C440" s="17" t="s">
        <v>11</v>
      </c>
      <c r="D440" s="17" t="s">
        <v>12</v>
      </c>
      <c r="E440" s="17" t="s">
        <v>13</v>
      </c>
      <c r="F440" s="16" t="s">
        <v>1664</v>
      </c>
    </row>
    <row r="441" spans="1:6" x14ac:dyDescent="0.25">
      <c r="A441" s="16" t="s">
        <v>1665</v>
      </c>
      <c r="B441" s="17" t="s">
        <v>1666</v>
      </c>
      <c r="C441" s="17" t="s">
        <v>11</v>
      </c>
      <c r="D441" s="17" t="s">
        <v>74</v>
      </c>
      <c r="E441" s="17" t="s">
        <v>20</v>
      </c>
      <c r="F441" s="16" t="s">
        <v>1667</v>
      </c>
    </row>
    <row r="442" spans="1:6" x14ac:dyDescent="0.25">
      <c r="A442" s="16" t="s">
        <v>1668</v>
      </c>
      <c r="B442" s="17" t="s">
        <v>1669</v>
      </c>
      <c r="C442" s="17" t="s">
        <v>11</v>
      </c>
      <c r="D442" s="17" t="s">
        <v>12</v>
      </c>
      <c r="E442" s="17" t="s">
        <v>13</v>
      </c>
      <c r="F442" s="16" t="s">
        <v>1670</v>
      </c>
    </row>
    <row r="443" spans="1:6" x14ac:dyDescent="0.25">
      <c r="A443" s="16" t="s">
        <v>1671</v>
      </c>
      <c r="B443" s="17" t="s">
        <v>1672</v>
      </c>
      <c r="C443" s="17" t="s">
        <v>11</v>
      </c>
      <c r="D443" s="17" t="s">
        <v>12</v>
      </c>
      <c r="E443" s="17" t="s">
        <v>13</v>
      </c>
      <c r="F443" s="16" t="s">
        <v>1673</v>
      </c>
    </row>
    <row r="444" spans="1:6" x14ac:dyDescent="0.25">
      <c r="A444" s="16" t="s">
        <v>1674</v>
      </c>
      <c r="B444" s="17" t="s">
        <v>1675</v>
      </c>
      <c r="C444" s="17" t="s">
        <v>11</v>
      </c>
      <c r="D444" s="17" t="s">
        <v>12</v>
      </c>
      <c r="E444" s="17" t="s">
        <v>13</v>
      </c>
      <c r="F444" s="16" t="s">
        <v>1676</v>
      </c>
    </row>
    <row r="445" spans="1:6" x14ac:dyDescent="0.25">
      <c r="A445" s="16" t="s">
        <v>1677</v>
      </c>
      <c r="B445" s="17" t="s">
        <v>1678</v>
      </c>
      <c r="C445" s="17" t="s">
        <v>11</v>
      </c>
      <c r="D445" s="17" t="s">
        <v>12</v>
      </c>
      <c r="E445" s="17" t="s">
        <v>13</v>
      </c>
      <c r="F445" s="16" t="s">
        <v>1679</v>
      </c>
    </row>
    <row r="446" spans="1:6" x14ac:dyDescent="0.25">
      <c r="A446" s="16" t="s">
        <v>1680</v>
      </c>
      <c r="B446" s="17" t="s">
        <v>1681</v>
      </c>
      <c r="C446" s="17" t="s">
        <v>11</v>
      </c>
      <c r="D446" s="17" t="s">
        <v>32</v>
      </c>
      <c r="E446" s="17" t="s">
        <v>20</v>
      </c>
      <c r="F446" s="16" t="s">
        <v>1682</v>
      </c>
    </row>
    <row r="447" spans="1:6" x14ac:dyDescent="0.25">
      <c r="A447" s="16" t="s">
        <v>1683</v>
      </c>
      <c r="B447" s="17" t="s">
        <v>1684</v>
      </c>
      <c r="C447" s="17" t="s">
        <v>11</v>
      </c>
      <c r="D447" s="17" t="s">
        <v>12</v>
      </c>
      <c r="E447" s="17" t="s">
        <v>13</v>
      </c>
      <c r="F447" s="16" t="s">
        <v>1685</v>
      </c>
    </row>
    <row r="448" spans="1:6" x14ac:dyDescent="0.25">
      <c r="A448" s="16" t="s">
        <v>1686</v>
      </c>
      <c r="B448" s="17" t="s">
        <v>1687</v>
      </c>
      <c r="C448" s="17" t="s">
        <v>11</v>
      </c>
      <c r="D448" s="17" t="s">
        <v>12</v>
      </c>
      <c r="E448" s="17" t="s">
        <v>13</v>
      </c>
      <c r="F448" s="16" t="s">
        <v>1688</v>
      </c>
    </row>
    <row r="449" spans="1:6" x14ac:dyDescent="0.25">
      <c r="A449" s="16" t="s">
        <v>1689</v>
      </c>
      <c r="B449" s="17" t="s">
        <v>1690</v>
      </c>
      <c r="C449" s="17" t="s">
        <v>11</v>
      </c>
      <c r="D449" s="17" t="s">
        <v>12</v>
      </c>
      <c r="E449" s="17" t="s">
        <v>13</v>
      </c>
      <c r="F449" s="16" t="s">
        <v>1691</v>
      </c>
    </row>
    <row r="450" spans="1:6" x14ac:dyDescent="0.25">
      <c r="A450" s="16" t="s">
        <v>1692</v>
      </c>
      <c r="B450" s="17" t="s">
        <v>1693</v>
      </c>
      <c r="C450" s="17" t="s">
        <v>11</v>
      </c>
      <c r="D450" s="17" t="s">
        <v>148</v>
      </c>
      <c r="E450" s="17" t="s">
        <v>20</v>
      </c>
      <c r="F450" s="16" t="s">
        <v>1694</v>
      </c>
    </row>
    <row r="451" spans="1:6" x14ac:dyDescent="0.25">
      <c r="A451" s="16" t="s">
        <v>1695</v>
      </c>
      <c r="B451" s="17" t="s">
        <v>1696</v>
      </c>
      <c r="C451" s="17" t="s">
        <v>11</v>
      </c>
      <c r="D451" s="17" t="s">
        <v>12</v>
      </c>
      <c r="E451" s="17" t="s">
        <v>13</v>
      </c>
      <c r="F451" s="16" t="s">
        <v>1697</v>
      </c>
    </row>
    <row r="452" spans="1:6" x14ac:dyDescent="0.25">
      <c r="A452" s="16" t="s">
        <v>1698</v>
      </c>
      <c r="B452" s="17" t="s">
        <v>1699</v>
      </c>
      <c r="C452" s="17" t="s">
        <v>11</v>
      </c>
      <c r="D452" s="17" t="s">
        <v>811</v>
      </c>
      <c r="E452" s="17" t="s">
        <v>20</v>
      </c>
      <c r="F452" s="16" t="s">
        <v>1700</v>
      </c>
    </row>
    <row r="453" spans="1:6" x14ac:dyDescent="0.25">
      <c r="A453" s="16" t="s">
        <v>1701</v>
      </c>
      <c r="B453" s="17" t="s">
        <v>1702</v>
      </c>
      <c r="C453" s="17" t="s">
        <v>11</v>
      </c>
      <c r="D453" s="17" t="s">
        <v>12</v>
      </c>
      <c r="E453" s="17" t="s">
        <v>13</v>
      </c>
      <c r="F453" s="16" t="s">
        <v>1703</v>
      </c>
    </row>
    <row r="454" spans="1:6" x14ac:dyDescent="0.25">
      <c r="A454" s="16" t="s">
        <v>1704</v>
      </c>
      <c r="B454" s="17" t="s">
        <v>1705</v>
      </c>
      <c r="C454" s="17" t="s">
        <v>11</v>
      </c>
      <c r="D454" s="17" t="s">
        <v>12</v>
      </c>
      <c r="E454" s="17" t="s">
        <v>13</v>
      </c>
      <c r="F454" s="16" t="s">
        <v>1706</v>
      </c>
    </row>
    <row r="455" spans="1:6" x14ac:dyDescent="0.25">
      <c r="A455" s="16" t="s">
        <v>1707</v>
      </c>
      <c r="B455" s="17" t="s">
        <v>1708</v>
      </c>
      <c r="C455" s="17" t="s">
        <v>11</v>
      </c>
      <c r="D455" s="17" t="s">
        <v>12</v>
      </c>
      <c r="E455" s="17" t="s">
        <v>13</v>
      </c>
      <c r="F455" s="16" t="s">
        <v>1709</v>
      </c>
    </row>
    <row r="456" spans="1:6" x14ac:dyDescent="0.25">
      <c r="A456" s="16" t="s">
        <v>1710</v>
      </c>
      <c r="B456" s="17" t="s">
        <v>1711</v>
      </c>
      <c r="C456" s="17" t="s">
        <v>11</v>
      </c>
      <c r="D456" s="17" t="s">
        <v>12</v>
      </c>
      <c r="E456" s="17" t="s">
        <v>13</v>
      </c>
      <c r="F456" s="16" t="s">
        <v>1712</v>
      </c>
    </row>
    <row r="457" spans="1:6" x14ac:dyDescent="0.25">
      <c r="A457" s="16" t="s">
        <v>1713</v>
      </c>
      <c r="B457" s="17" t="s">
        <v>1714</v>
      </c>
      <c r="C457" s="17" t="s">
        <v>11</v>
      </c>
      <c r="D457" s="17" t="s">
        <v>12</v>
      </c>
      <c r="E457" s="17" t="s">
        <v>13</v>
      </c>
      <c r="F457" s="16" t="s">
        <v>1715</v>
      </c>
    </row>
    <row r="458" spans="1:6" x14ac:dyDescent="0.25">
      <c r="A458" s="16" t="s">
        <v>1716</v>
      </c>
      <c r="B458" s="17" t="s">
        <v>1717</v>
      </c>
      <c r="C458" s="17" t="s">
        <v>11</v>
      </c>
      <c r="D458" s="17" t="s">
        <v>12</v>
      </c>
      <c r="E458" s="17" t="s">
        <v>13</v>
      </c>
      <c r="F458" s="16" t="s">
        <v>1718</v>
      </c>
    </row>
    <row r="459" spans="1:6" x14ac:dyDescent="0.25">
      <c r="A459" s="16" t="s">
        <v>1719</v>
      </c>
      <c r="B459" s="17" t="s">
        <v>1720</v>
      </c>
      <c r="C459" s="17" t="s">
        <v>11</v>
      </c>
      <c r="D459" s="17" t="s">
        <v>250</v>
      </c>
      <c r="E459" s="17" t="s">
        <v>20</v>
      </c>
      <c r="F459" s="16" t="s">
        <v>1721</v>
      </c>
    </row>
    <row r="460" spans="1:6" x14ac:dyDescent="0.25">
      <c r="A460" s="16" t="s">
        <v>1722</v>
      </c>
      <c r="B460" s="17" t="s">
        <v>1723</v>
      </c>
      <c r="C460" s="17" t="s">
        <v>11</v>
      </c>
      <c r="D460" s="17" t="s">
        <v>12</v>
      </c>
      <c r="E460" s="17" t="s">
        <v>13</v>
      </c>
      <c r="F460" s="16" t="s">
        <v>1724</v>
      </c>
    </row>
    <row r="461" spans="1:6" x14ac:dyDescent="0.25">
      <c r="A461" s="16" t="s">
        <v>1725</v>
      </c>
      <c r="B461" s="17" t="s">
        <v>1726</v>
      </c>
      <c r="C461" s="17" t="s">
        <v>11</v>
      </c>
      <c r="D461" s="17" t="s">
        <v>182</v>
      </c>
      <c r="E461" s="17" t="s">
        <v>20</v>
      </c>
      <c r="F461" s="16" t="s">
        <v>1727</v>
      </c>
    </row>
    <row r="462" spans="1:6" x14ac:dyDescent="0.25">
      <c r="A462" s="16" t="s">
        <v>1728</v>
      </c>
      <c r="B462" s="17" t="s">
        <v>1729</v>
      </c>
      <c r="C462" s="17" t="s">
        <v>11</v>
      </c>
      <c r="D462" s="17" t="s">
        <v>12</v>
      </c>
      <c r="E462" s="17" t="s">
        <v>13</v>
      </c>
      <c r="F462" s="16" t="s">
        <v>1730</v>
      </c>
    </row>
    <row r="463" spans="1:6" x14ac:dyDescent="0.25">
      <c r="A463" s="16" t="s">
        <v>1731</v>
      </c>
      <c r="B463" s="17" t="s">
        <v>1732</v>
      </c>
      <c r="C463" s="17" t="s">
        <v>11</v>
      </c>
      <c r="D463" s="17" t="s">
        <v>649</v>
      </c>
      <c r="E463" s="17" t="s">
        <v>20</v>
      </c>
      <c r="F463" s="16" t="s">
        <v>1733</v>
      </c>
    </row>
    <row r="464" spans="1:6" x14ac:dyDescent="0.25">
      <c r="A464" s="16" t="s">
        <v>1734</v>
      </c>
      <c r="B464" s="17" t="s">
        <v>1735</v>
      </c>
      <c r="C464" s="17" t="s">
        <v>11</v>
      </c>
      <c r="D464" s="17" t="s">
        <v>89</v>
      </c>
      <c r="E464" s="17" t="s">
        <v>20</v>
      </c>
      <c r="F464" s="16" t="s">
        <v>1736</v>
      </c>
    </row>
    <row r="465" spans="1:6" x14ac:dyDescent="0.25">
      <c r="A465" s="16" t="s">
        <v>1737</v>
      </c>
      <c r="B465" s="17" t="s">
        <v>1738</v>
      </c>
      <c r="C465" s="17" t="s">
        <v>11</v>
      </c>
      <c r="D465" s="17" t="s">
        <v>12</v>
      </c>
      <c r="E465" s="17" t="s">
        <v>13</v>
      </c>
      <c r="F465" s="16" t="s">
        <v>1739</v>
      </c>
    </row>
    <row r="466" spans="1:6" x14ac:dyDescent="0.25">
      <c r="A466" s="16" t="s">
        <v>1740</v>
      </c>
      <c r="B466" s="17" t="s">
        <v>1741</v>
      </c>
      <c r="C466" s="17" t="s">
        <v>11</v>
      </c>
      <c r="D466" s="17" t="s">
        <v>12</v>
      </c>
      <c r="E466" s="17" t="s">
        <v>13</v>
      </c>
      <c r="F466" s="16" t="s">
        <v>1742</v>
      </c>
    </row>
    <row r="467" spans="1:6" x14ac:dyDescent="0.25">
      <c r="A467" s="16" t="s">
        <v>1743</v>
      </c>
      <c r="B467" s="17" t="s">
        <v>1744</v>
      </c>
      <c r="C467" s="17" t="s">
        <v>11</v>
      </c>
      <c r="D467" s="17" t="s">
        <v>12</v>
      </c>
      <c r="E467" s="17" t="s">
        <v>13</v>
      </c>
      <c r="F467" s="16" t="s">
        <v>1745</v>
      </c>
    </row>
    <row r="468" spans="1:6" x14ac:dyDescent="0.25">
      <c r="A468" s="16" t="s">
        <v>1746</v>
      </c>
      <c r="B468" s="17" t="s">
        <v>1747</v>
      </c>
      <c r="C468" s="17" t="s">
        <v>11</v>
      </c>
      <c r="D468" s="17" t="s">
        <v>12</v>
      </c>
      <c r="E468" s="17" t="s">
        <v>13</v>
      </c>
      <c r="F468" s="16" t="s">
        <v>1748</v>
      </c>
    </row>
    <row r="469" spans="1:6" x14ac:dyDescent="0.25">
      <c r="A469" s="16" t="s">
        <v>1749</v>
      </c>
      <c r="B469" s="17" t="s">
        <v>1750</v>
      </c>
      <c r="C469" s="17" t="s">
        <v>11</v>
      </c>
      <c r="D469" s="17" t="s">
        <v>83</v>
      </c>
      <c r="E469" s="17" t="s">
        <v>20</v>
      </c>
      <c r="F469" s="16" t="s">
        <v>1751</v>
      </c>
    </row>
    <row r="470" spans="1:6" x14ac:dyDescent="0.25">
      <c r="A470" s="16" t="s">
        <v>1752</v>
      </c>
      <c r="B470" s="17" t="s">
        <v>1753</v>
      </c>
      <c r="C470" s="17" t="s">
        <v>11</v>
      </c>
      <c r="D470" s="17" t="s">
        <v>649</v>
      </c>
      <c r="E470" s="17" t="s">
        <v>20</v>
      </c>
      <c r="F470" s="16" t="s">
        <v>1754</v>
      </c>
    </row>
    <row r="471" spans="1:6" x14ac:dyDescent="0.25">
      <c r="A471" s="16" t="s">
        <v>1755</v>
      </c>
      <c r="B471" s="17" t="s">
        <v>1756</v>
      </c>
      <c r="C471" s="17" t="s">
        <v>11</v>
      </c>
      <c r="D471" s="17" t="s">
        <v>186</v>
      </c>
      <c r="E471" s="17" t="s">
        <v>20</v>
      </c>
      <c r="F471" s="16" t="s">
        <v>1757</v>
      </c>
    </row>
    <row r="472" spans="1:6" x14ac:dyDescent="0.25">
      <c r="A472" s="16" t="s">
        <v>1758</v>
      </c>
      <c r="B472" s="17" t="s">
        <v>1759</v>
      </c>
      <c r="C472" s="17" t="s">
        <v>11</v>
      </c>
      <c r="D472" s="17" t="s">
        <v>32</v>
      </c>
      <c r="E472" s="17" t="s">
        <v>20</v>
      </c>
      <c r="F472" s="16" t="s">
        <v>1760</v>
      </c>
    </row>
    <row r="473" spans="1:6" x14ac:dyDescent="0.25">
      <c r="A473" s="16" t="s">
        <v>1761</v>
      </c>
      <c r="B473" s="17" t="s">
        <v>1762</v>
      </c>
      <c r="C473" s="17" t="s">
        <v>11</v>
      </c>
      <c r="D473" s="17" t="s">
        <v>83</v>
      </c>
      <c r="E473" s="17" t="s">
        <v>20</v>
      </c>
      <c r="F473" s="16" t="s">
        <v>1763</v>
      </c>
    </row>
    <row r="474" spans="1:6" x14ac:dyDescent="0.25">
      <c r="A474" s="16" t="s">
        <v>1764</v>
      </c>
      <c r="B474" s="17" t="s">
        <v>1765</v>
      </c>
      <c r="C474" s="17" t="s">
        <v>11</v>
      </c>
      <c r="D474" s="17" t="s">
        <v>1766</v>
      </c>
      <c r="E474" s="17" t="s">
        <v>13</v>
      </c>
      <c r="F474" s="16" t="s">
        <v>1767</v>
      </c>
    </row>
    <row r="475" spans="1:6" x14ac:dyDescent="0.25">
      <c r="A475" s="16" t="s">
        <v>1768</v>
      </c>
      <c r="B475" s="17" t="s">
        <v>1769</v>
      </c>
      <c r="C475" s="17" t="s">
        <v>11</v>
      </c>
      <c r="D475" s="17" t="s">
        <v>32</v>
      </c>
      <c r="E475" s="17" t="s">
        <v>20</v>
      </c>
      <c r="F475" s="16" t="s">
        <v>1770</v>
      </c>
    </row>
    <row r="476" spans="1:6" x14ac:dyDescent="0.25">
      <c r="A476" s="16" t="s">
        <v>1771</v>
      </c>
      <c r="B476" s="17" t="s">
        <v>1772</v>
      </c>
      <c r="C476" s="17" t="s">
        <v>11</v>
      </c>
      <c r="D476" s="17" t="s">
        <v>68</v>
      </c>
      <c r="E476" s="17" t="s">
        <v>20</v>
      </c>
      <c r="F476" s="16" t="s">
        <v>1773</v>
      </c>
    </row>
    <row r="477" spans="1:6" x14ac:dyDescent="0.25">
      <c r="A477" s="16" t="s">
        <v>1774</v>
      </c>
      <c r="B477" s="17" t="s">
        <v>1775</v>
      </c>
      <c r="C477" s="17" t="s">
        <v>11</v>
      </c>
      <c r="D477" s="17" t="s">
        <v>26</v>
      </c>
      <c r="E477" s="17" t="s">
        <v>20</v>
      </c>
      <c r="F477" s="16" t="s">
        <v>1776</v>
      </c>
    </row>
    <row r="478" spans="1:6" x14ac:dyDescent="0.25">
      <c r="A478" s="16" t="s">
        <v>1777</v>
      </c>
      <c r="B478" s="17" t="s">
        <v>1778</v>
      </c>
      <c r="C478" s="17" t="s">
        <v>11</v>
      </c>
      <c r="D478" s="17" t="s">
        <v>32</v>
      </c>
      <c r="E478" s="17" t="s">
        <v>20</v>
      </c>
      <c r="F478" s="16" t="s">
        <v>1779</v>
      </c>
    </row>
    <row r="479" spans="1:6" x14ac:dyDescent="0.25">
      <c r="A479" s="16" t="s">
        <v>1780</v>
      </c>
      <c r="B479" s="17" t="s">
        <v>1781</v>
      </c>
      <c r="C479" s="17" t="s">
        <v>11</v>
      </c>
      <c r="D479" s="17" t="s">
        <v>12</v>
      </c>
      <c r="E479" s="17" t="s">
        <v>13</v>
      </c>
      <c r="F479" s="16" t="s">
        <v>1782</v>
      </c>
    </row>
    <row r="480" spans="1:6" x14ac:dyDescent="0.25">
      <c r="A480" s="16" t="s">
        <v>1783</v>
      </c>
      <c r="B480" s="17" t="s">
        <v>1784</v>
      </c>
      <c r="C480" s="17" t="s">
        <v>11</v>
      </c>
      <c r="D480" s="17" t="s">
        <v>12</v>
      </c>
      <c r="E480" s="17" t="s">
        <v>13</v>
      </c>
      <c r="F480" s="16" t="s">
        <v>1785</v>
      </c>
    </row>
    <row r="481" spans="1:6" x14ac:dyDescent="0.25">
      <c r="A481" s="16" t="s">
        <v>1786</v>
      </c>
      <c r="B481" s="17" t="s">
        <v>1787</v>
      </c>
      <c r="C481" s="17" t="s">
        <v>11</v>
      </c>
      <c r="D481" s="17" t="s">
        <v>32</v>
      </c>
      <c r="E481" s="17" t="s">
        <v>20</v>
      </c>
      <c r="F481" s="16" t="s">
        <v>1788</v>
      </c>
    </row>
    <row r="482" spans="1:6" x14ac:dyDescent="0.25">
      <c r="A482" s="16" t="s">
        <v>1789</v>
      </c>
      <c r="B482" s="17" t="s">
        <v>1790</v>
      </c>
      <c r="C482" s="17" t="s">
        <v>11</v>
      </c>
      <c r="D482" s="17" t="s">
        <v>19</v>
      </c>
      <c r="E482" s="17" t="s">
        <v>20</v>
      </c>
      <c r="F482" s="16" t="s">
        <v>1791</v>
      </c>
    </row>
    <row r="483" spans="1:6" x14ac:dyDescent="0.25">
      <c r="A483" s="16" t="s">
        <v>1792</v>
      </c>
      <c r="B483" s="17" t="s">
        <v>1793</v>
      </c>
      <c r="C483" s="17" t="s">
        <v>11</v>
      </c>
      <c r="D483" s="17" t="s">
        <v>32</v>
      </c>
      <c r="E483" s="17" t="s">
        <v>20</v>
      </c>
      <c r="F483" s="16" t="s">
        <v>1794</v>
      </c>
    </row>
    <row r="484" spans="1:6" x14ac:dyDescent="0.25">
      <c r="A484" s="16" t="s">
        <v>1795</v>
      </c>
      <c r="B484" s="17" t="s">
        <v>1796</v>
      </c>
      <c r="C484" s="17" t="s">
        <v>11</v>
      </c>
      <c r="D484" s="17" t="s">
        <v>68</v>
      </c>
      <c r="E484" s="17" t="s">
        <v>20</v>
      </c>
      <c r="F484" s="16" t="s">
        <v>1797</v>
      </c>
    </row>
    <row r="485" spans="1:6" x14ac:dyDescent="0.25">
      <c r="A485" s="16" t="s">
        <v>1798</v>
      </c>
      <c r="B485" s="17" t="s">
        <v>1799</v>
      </c>
      <c r="C485" s="17" t="s">
        <v>11</v>
      </c>
      <c r="D485" s="17" t="s">
        <v>83</v>
      </c>
      <c r="E485" s="17" t="s">
        <v>20</v>
      </c>
      <c r="F485" s="16" t="s">
        <v>1800</v>
      </c>
    </row>
    <row r="486" spans="1:6" x14ac:dyDescent="0.25">
      <c r="A486" s="16" t="s">
        <v>1801</v>
      </c>
      <c r="B486" s="17" t="s">
        <v>1802</v>
      </c>
      <c r="C486" s="17" t="s">
        <v>11</v>
      </c>
      <c r="D486" s="17" t="s">
        <v>12</v>
      </c>
      <c r="E486" s="17" t="s">
        <v>13</v>
      </c>
      <c r="F486" s="16" t="s">
        <v>1803</v>
      </c>
    </row>
    <row r="487" spans="1:6" x14ac:dyDescent="0.25">
      <c r="A487" s="16" t="s">
        <v>1804</v>
      </c>
      <c r="B487" s="17" t="s">
        <v>1805</v>
      </c>
      <c r="C487" s="17" t="s">
        <v>11</v>
      </c>
      <c r="D487" s="17" t="s">
        <v>12</v>
      </c>
      <c r="E487" s="17" t="s">
        <v>13</v>
      </c>
      <c r="F487" s="16" t="s">
        <v>1806</v>
      </c>
    </row>
    <row r="488" spans="1:6" x14ac:dyDescent="0.25">
      <c r="A488" s="16" t="s">
        <v>1807</v>
      </c>
      <c r="B488" s="17" t="s">
        <v>1808</v>
      </c>
      <c r="C488" s="17" t="s">
        <v>11</v>
      </c>
      <c r="D488" s="17" t="s">
        <v>59</v>
      </c>
      <c r="E488" s="17" t="s">
        <v>13</v>
      </c>
      <c r="F488" s="16" t="s">
        <v>1809</v>
      </c>
    </row>
    <row r="489" spans="1:6" x14ac:dyDescent="0.25">
      <c r="A489" s="16" t="s">
        <v>1810</v>
      </c>
      <c r="B489" s="17" t="s">
        <v>1811</v>
      </c>
      <c r="C489" s="17" t="s">
        <v>11</v>
      </c>
      <c r="D489" s="17" t="s">
        <v>59</v>
      </c>
      <c r="E489" s="17" t="s">
        <v>13</v>
      </c>
      <c r="F489" s="16" t="s">
        <v>1812</v>
      </c>
    </row>
    <row r="490" spans="1:6" x14ac:dyDescent="0.25">
      <c r="A490" s="16" t="s">
        <v>1813</v>
      </c>
      <c r="B490" s="17" t="s">
        <v>1814</v>
      </c>
      <c r="C490" s="17" t="s">
        <v>11</v>
      </c>
      <c r="D490" s="17" t="s">
        <v>80</v>
      </c>
      <c r="E490" s="17" t="s">
        <v>20</v>
      </c>
      <c r="F490" s="16" t="s">
        <v>1815</v>
      </c>
    </row>
    <row r="491" spans="1:6" x14ac:dyDescent="0.25">
      <c r="A491" s="16" t="s">
        <v>1816</v>
      </c>
      <c r="B491" s="17" t="s">
        <v>1817</v>
      </c>
      <c r="C491" s="17" t="s">
        <v>11</v>
      </c>
      <c r="D491" s="17" t="s">
        <v>89</v>
      </c>
      <c r="E491" s="17" t="s">
        <v>20</v>
      </c>
      <c r="F491" s="16" t="s">
        <v>1818</v>
      </c>
    </row>
    <row r="492" spans="1:6" x14ac:dyDescent="0.25">
      <c r="A492" s="16" t="s">
        <v>1819</v>
      </c>
      <c r="B492" s="17" t="s">
        <v>1820</v>
      </c>
      <c r="C492" s="17" t="s">
        <v>11</v>
      </c>
      <c r="D492" s="17" t="s">
        <v>12</v>
      </c>
      <c r="E492" s="17" t="s">
        <v>13</v>
      </c>
      <c r="F492" s="16" t="s">
        <v>1821</v>
      </c>
    </row>
    <row r="493" spans="1:6" x14ac:dyDescent="0.25">
      <c r="A493" s="16" t="s">
        <v>1822</v>
      </c>
      <c r="B493" s="17" t="s">
        <v>1823</v>
      </c>
      <c r="C493" s="17" t="s">
        <v>11</v>
      </c>
      <c r="D493" s="17" t="s">
        <v>32</v>
      </c>
      <c r="E493" s="17" t="s">
        <v>20</v>
      </c>
      <c r="F493" s="16" t="s">
        <v>1824</v>
      </c>
    </row>
    <row r="494" spans="1:6" x14ac:dyDescent="0.25">
      <c r="A494" s="16" t="s">
        <v>1825</v>
      </c>
      <c r="B494" s="17" t="s">
        <v>1826</v>
      </c>
      <c r="C494" s="17" t="s">
        <v>11</v>
      </c>
      <c r="D494" s="17" t="s">
        <v>12</v>
      </c>
      <c r="E494" s="17" t="s">
        <v>13</v>
      </c>
      <c r="F494" s="16" t="s">
        <v>1827</v>
      </c>
    </row>
    <row r="495" spans="1:6" x14ac:dyDescent="0.25">
      <c r="A495" s="16" t="s">
        <v>1828</v>
      </c>
      <c r="B495" s="17" t="s">
        <v>1829</v>
      </c>
      <c r="C495" s="17" t="s">
        <v>11</v>
      </c>
      <c r="D495" s="17" t="s">
        <v>74</v>
      </c>
      <c r="E495" s="17" t="s">
        <v>20</v>
      </c>
      <c r="F495" s="16" t="s">
        <v>1830</v>
      </c>
    </row>
    <row r="496" spans="1:6" x14ac:dyDescent="0.25">
      <c r="A496" s="16" t="s">
        <v>1831</v>
      </c>
      <c r="B496" s="17" t="s">
        <v>1832</v>
      </c>
      <c r="C496" s="17" t="s">
        <v>11</v>
      </c>
      <c r="D496" s="17" t="s">
        <v>32</v>
      </c>
      <c r="E496" s="17" t="s">
        <v>20</v>
      </c>
      <c r="F496" s="16" t="s">
        <v>1833</v>
      </c>
    </row>
    <row r="497" spans="1:6" x14ac:dyDescent="0.25">
      <c r="A497" s="16" t="s">
        <v>1834</v>
      </c>
      <c r="B497" s="17" t="s">
        <v>1835</v>
      </c>
      <c r="C497" s="17" t="s">
        <v>11</v>
      </c>
      <c r="D497" s="17" t="s">
        <v>89</v>
      </c>
      <c r="E497" s="17" t="s">
        <v>20</v>
      </c>
      <c r="F497" s="16" t="s">
        <v>1836</v>
      </c>
    </row>
    <row r="498" spans="1:6" x14ac:dyDescent="0.25">
      <c r="A498" s="16" t="s">
        <v>1837</v>
      </c>
      <c r="B498" s="17" t="s">
        <v>1838</v>
      </c>
      <c r="C498" s="17" t="s">
        <v>11</v>
      </c>
      <c r="D498" s="17" t="s">
        <v>12</v>
      </c>
      <c r="E498" s="17" t="s">
        <v>13</v>
      </c>
      <c r="F498" s="16" t="s">
        <v>1839</v>
      </c>
    </row>
    <row r="499" spans="1:6" x14ac:dyDescent="0.25">
      <c r="A499" s="16" t="s">
        <v>1840</v>
      </c>
      <c r="B499" s="17" t="s">
        <v>1841</v>
      </c>
      <c r="C499" s="17" t="s">
        <v>11</v>
      </c>
      <c r="D499" s="17" t="s">
        <v>12</v>
      </c>
      <c r="E499" s="17" t="s">
        <v>13</v>
      </c>
      <c r="F499" s="16" t="s">
        <v>1842</v>
      </c>
    </row>
    <row r="500" spans="1:6" x14ac:dyDescent="0.25">
      <c r="A500" s="16" t="s">
        <v>1843</v>
      </c>
      <c r="B500" s="17" t="s">
        <v>1844</v>
      </c>
      <c r="C500" s="17" t="s">
        <v>11</v>
      </c>
      <c r="D500" s="17" t="s">
        <v>12</v>
      </c>
      <c r="E500" s="17" t="s">
        <v>13</v>
      </c>
      <c r="F500" s="16" t="s">
        <v>1845</v>
      </c>
    </row>
    <row r="501" spans="1:6" x14ac:dyDescent="0.25">
      <c r="A501" s="16" t="s">
        <v>1846</v>
      </c>
      <c r="B501" s="17" t="s">
        <v>1847</v>
      </c>
      <c r="C501" s="17" t="s">
        <v>11</v>
      </c>
      <c r="D501" s="17" t="s">
        <v>12</v>
      </c>
      <c r="E501" s="17" t="s">
        <v>13</v>
      </c>
      <c r="F501" s="16" t="s">
        <v>1848</v>
      </c>
    </row>
    <row r="502" spans="1:6" x14ac:dyDescent="0.25">
      <c r="A502" s="16" t="s">
        <v>1849</v>
      </c>
      <c r="B502" s="17" t="s">
        <v>1850</v>
      </c>
      <c r="C502" s="17" t="s">
        <v>11</v>
      </c>
      <c r="D502" s="17" t="s">
        <v>12</v>
      </c>
      <c r="E502" s="17" t="s">
        <v>13</v>
      </c>
      <c r="F502" s="16" t="s">
        <v>1851</v>
      </c>
    </row>
    <row r="503" spans="1:6" x14ac:dyDescent="0.25">
      <c r="A503" s="16" t="s">
        <v>1852</v>
      </c>
      <c r="B503" s="17" t="s">
        <v>1853</v>
      </c>
      <c r="C503" s="17" t="s">
        <v>11</v>
      </c>
      <c r="D503" s="17" t="s">
        <v>12</v>
      </c>
      <c r="E503" s="17" t="s">
        <v>13</v>
      </c>
      <c r="F503" s="16" t="s">
        <v>1854</v>
      </c>
    </row>
    <row r="504" spans="1:6" x14ac:dyDescent="0.25">
      <c r="A504" s="16" t="s">
        <v>1855</v>
      </c>
      <c r="B504" s="17" t="s">
        <v>1856</v>
      </c>
      <c r="C504" s="17" t="s">
        <v>11</v>
      </c>
      <c r="D504" s="17" t="s">
        <v>186</v>
      </c>
      <c r="E504" s="17" t="s">
        <v>20</v>
      </c>
      <c r="F504" s="16" t="s">
        <v>1857</v>
      </c>
    </row>
    <row r="505" spans="1:6" x14ac:dyDescent="0.25">
      <c r="A505" s="16" t="s">
        <v>1858</v>
      </c>
      <c r="B505" s="17" t="s">
        <v>1859</v>
      </c>
      <c r="C505" s="17" t="s">
        <v>11</v>
      </c>
      <c r="D505" s="17" t="s">
        <v>12</v>
      </c>
      <c r="E505" s="17" t="s">
        <v>13</v>
      </c>
      <c r="F505" s="16" t="s">
        <v>1860</v>
      </c>
    </row>
    <row r="506" spans="1:6" x14ac:dyDescent="0.25">
      <c r="A506" s="16" t="s">
        <v>1861</v>
      </c>
      <c r="B506" s="17" t="s">
        <v>1862</v>
      </c>
      <c r="C506" s="17" t="s">
        <v>11</v>
      </c>
      <c r="D506" s="17" t="s">
        <v>59</v>
      </c>
      <c r="E506" s="17" t="s">
        <v>13</v>
      </c>
      <c r="F506" s="16" t="s">
        <v>1863</v>
      </c>
    </row>
    <row r="507" spans="1:6" x14ac:dyDescent="0.25">
      <c r="A507" s="16" t="s">
        <v>1864</v>
      </c>
      <c r="B507" s="17" t="s">
        <v>1865</v>
      </c>
      <c r="C507" s="17" t="s">
        <v>11</v>
      </c>
      <c r="D507" s="17" t="s">
        <v>12</v>
      </c>
      <c r="E507" s="17" t="s">
        <v>13</v>
      </c>
      <c r="F507" s="16" t="s">
        <v>1866</v>
      </c>
    </row>
    <row r="508" spans="1:6" x14ac:dyDescent="0.25">
      <c r="A508" s="16" t="s">
        <v>1867</v>
      </c>
      <c r="B508" s="17" t="s">
        <v>1868</v>
      </c>
      <c r="C508" s="17" t="s">
        <v>11</v>
      </c>
      <c r="D508" s="17" t="s">
        <v>12</v>
      </c>
      <c r="E508" s="17" t="s">
        <v>13</v>
      </c>
      <c r="F508" s="16" t="s">
        <v>1869</v>
      </c>
    </row>
    <row r="509" spans="1:6" x14ac:dyDescent="0.25">
      <c r="A509" s="16" t="s">
        <v>1870</v>
      </c>
      <c r="B509" s="17" t="s">
        <v>1871</v>
      </c>
      <c r="C509" s="17" t="s">
        <v>11</v>
      </c>
      <c r="D509" s="17" t="s">
        <v>12</v>
      </c>
      <c r="E509" s="17" t="s">
        <v>13</v>
      </c>
      <c r="F509" s="16" t="s">
        <v>1872</v>
      </c>
    </row>
    <row r="510" spans="1:6" x14ac:dyDescent="0.25">
      <c r="A510" s="16" t="s">
        <v>1873</v>
      </c>
      <c r="B510" s="17" t="s">
        <v>1874</v>
      </c>
      <c r="C510" s="17" t="s">
        <v>11</v>
      </c>
      <c r="D510" s="17" t="s">
        <v>12</v>
      </c>
      <c r="E510" s="17" t="s">
        <v>13</v>
      </c>
      <c r="F510" s="16" t="s">
        <v>1875</v>
      </c>
    </row>
    <row r="511" spans="1:6" x14ac:dyDescent="0.25">
      <c r="A511" s="16" t="s">
        <v>1876</v>
      </c>
      <c r="B511" s="17" t="s">
        <v>1877</v>
      </c>
      <c r="C511" s="17" t="s">
        <v>11</v>
      </c>
      <c r="D511" s="17" t="s">
        <v>12</v>
      </c>
      <c r="E511" s="17" t="s">
        <v>13</v>
      </c>
      <c r="F511" s="16" t="s">
        <v>1878</v>
      </c>
    </row>
    <row r="512" spans="1:6" x14ac:dyDescent="0.25">
      <c r="A512" s="16" t="s">
        <v>1879</v>
      </c>
      <c r="B512" s="17" t="s">
        <v>1880</v>
      </c>
      <c r="C512" s="17" t="s">
        <v>11</v>
      </c>
      <c r="D512" s="17" t="s">
        <v>12</v>
      </c>
      <c r="E512" s="17" t="s">
        <v>13</v>
      </c>
      <c r="F512" s="16" t="s">
        <v>1881</v>
      </c>
    </row>
    <row r="513" spans="1:6" x14ac:dyDescent="0.25">
      <c r="A513" s="16" t="s">
        <v>1882</v>
      </c>
      <c r="B513" s="17" t="s">
        <v>1883</v>
      </c>
      <c r="C513" s="17" t="s">
        <v>11</v>
      </c>
      <c r="D513" s="17" t="s">
        <v>32</v>
      </c>
      <c r="E513" s="17" t="s">
        <v>20</v>
      </c>
      <c r="F513" s="16" t="s">
        <v>1884</v>
      </c>
    </row>
    <row r="514" spans="1:6" x14ac:dyDescent="0.25">
      <c r="A514" s="16" t="s">
        <v>1885</v>
      </c>
      <c r="B514" s="17" t="s">
        <v>1886</v>
      </c>
      <c r="C514" s="17" t="s">
        <v>11</v>
      </c>
      <c r="D514" s="17" t="s">
        <v>12</v>
      </c>
      <c r="E514" s="17" t="s">
        <v>13</v>
      </c>
      <c r="F514" s="16" t="s">
        <v>1887</v>
      </c>
    </row>
    <row r="515" spans="1:6" x14ac:dyDescent="0.25">
      <c r="A515" s="16" t="s">
        <v>1888</v>
      </c>
      <c r="B515" s="17" t="s">
        <v>1889</v>
      </c>
      <c r="C515" s="17" t="s">
        <v>11</v>
      </c>
      <c r="D515" s="17" t="s">
        <v>12</v>
      </c>
      <c r="E515" s="17" t="s">
        <v>13</v>
      </c>
      <c r="F515" s="16" t="s">
        <v>1890</v>
      </c>
    </row>
    <row r="516" spans="1:6" x14ac:dyDescent="0.25">
      <c r="A516" s="16" t="s">
        <v>1891</v>
      </c>
      <c r="B516" s="17" t="s">
        <v>1892</v>
      </c>
      <c r="C516" s="17" t="s">
        <v>11</v>
      </c>
      <c r="D516" s="17" t="s">
        <v>12</v>
      </c>
      <c r="E516" s="17" t="s">
        <v>13</v>
      </c>
      <c r="F516" s="16" t="s">
        <v>1893</v>
      </c>
    </row>
    <row r="517" spans="1:6" x14ac:dyDescent="0.25">
      <c r="A517" s="16" t="s">
        <v>1894</v>
      </c>
      <c r="B517" s="17" t="s">
        <v>1895</v>
      </c>
      <c r="C517" s="17" t="s">
        <v>11</v>
      </c>
      <c r="D517" s="17" t="s">
        <v>12</v>
      </c>
      <c r="E517" s="17" t="s">
        <v>13</v>
      </c>
      <c r="F517" s="16" t="s">
        <v>1896</v>
      </c>
    </row>
    <row r="518" spans="1:6" x14ac:dyDescent="0.25">
      <c r="A518" s="16" t="s">
        <v>1897</v>
      </c>
      <c r="B518" s="17" t="s">
        <v>1898</v>
      </c>
      <c r="C518" s="17" t="s">
        <v>11</v>
      </c>
      <c r="D518" s="17" t="s">
        <v>12</v>
      </c>
      <c r="E518" s="17" t="s">
        <v>13</v>
      </c>
      <c r="F518" s="16" t="s">
        <v>1899</v>
      </c>
    </row>
    <row r="519" spans="1:6" x14ac:dyDescent="0.25">
      <c r="A519" s="16" t="s">
        <v>1900</v>
      </c>
      <c r="B519" s="17" t="s">
        <v>1901</v>
      </c>
      <c r="C519" s="17" t="s">
        <v>11</v>
      </c>
      <c r="D519" s="17" t="s">
        <v>12</v>
      </c>
      <c r="E519" s="17" t="s">
        <v>13</v>
      </c>
      <c r="F519" s="16" t="s">
        <v>1902</v>
      </c>
    </row>
    <row r="520" spans="1:6" x14ac:dyDescent="0.25">
      <c r="A520" s="16" t="s">
        <v>1903</v>
      </c>
      <c r="B520" s="17" t="s">
        <v>1904</v>
      </c>
      <c r="C520" s="17" t="s">
        <v>11</v>
      </c>
      <c r="D520" s="17" t="s">
        <v>12</v>
      </c>
      <c r="E520" s="17" t="s">
        <v>13</v>
      </c>
      <c r="F520" s="16" t="s">
        <v>1905</v>
      </c>
    </row>
    <row r="521" spans="1:6" x14ac:dyDescent="0.25">
      <c r="A521" s="16" t="s">
        <v>1906</v>
      </c>
      <c r="B521" s="17" t="s">
        <v>1907</v>
      </c>
      <c r="C521" s="17" t="s">
        <v>11</v>
      </c>
      <c r="D521" s="17" t="s">
        <v>12</v>
      </c>
      <c r="E521" s="17" t="s">
        <v>13</v>
      </c>
      <c r="F521" s="16" t="s">
        <v>1908</v>
      </c>
    </row>
    <row r="522" spans="1:6" x14ac:dyDescent="0.25">
      <c r="A522" s="16" t="s">
        <v>1909</v>
      </c>
      <c r="B522" s="17" t="s">
        <v>1910</v>
      </c>
      <c r="C522" s="17" t="s">
        <v>11</v>
      </c>
      <c r="D522" s="17" t="s">
        <v>12</v>
      </c>
      <c r="E522" s="17" t="s">
        <v>13</v>
      </c>
      <c r="F522" s="16" t="s">
        <v>1911</v>
      </c>
    </row>
    <row r="523" spans="1:6" x14ac:dyDescent="0.25">
      <c r="A523" s="16" t="s">
        <v>1912</v>
      </c>
      <c r="B523" s="17" t="s">
        <v>1913</v>
      </c>
      <c r="C523" s="17" t="s">
        <v>11</v>
      </c>
      <c r="D523" s="17" t="s">
        <v>12</v>
      </c>
      <c r="E523" s="17" t="s">
        <v>13</v>
      </c>
      <c r="F523" s="16" t="s">
        <v>1914</v>
      </c>
    </row>
    <row r="524" spans="1:6" x14ac:dyDescent="0.25">
      <c r="A524" s="16" t="s">
        <v>1915</v>
      </c>
      <c r="B524" s="17" t="s">
        <v>1916</v>
      </c>
      <c r="C524" s="17" t="s">
        <v>11</v>
      </c>
      <c r="D524" s="17" t="s">
        <v>12</v>
      </c>
      <c r="E524" s="17" t="s">
        <v>13</v>
      </c>
      <c r="F524" s="16" t="s">
        <v>1917</v>
      </c>
    </row>
    <row r="525" spans="1:6" x14ac:dyDescent="0.25">
      <c r="A525" s="16" t="s">
        <v>1918</v>
      </c>
      <c r="B525" s="17" t="s">
        <v>1919</v>
      </c>
      <c r="C525" s="17" t="s">
        <v>11</v>
      </c>
      <c r="D525" s="17" t="s">
        <v>12</v>
      </c>
      <c r="E525" s="17" t="s">
        <v>13</v>
      </c>
      <c r="F525" s="16" t="s">
        <v>1920</v>
      </c>
    </row>
    <row r="526" spans="1:6" x14ac:dyDescent="0.25">
      <c r="A526" s="16" t="s">
        <v>1921</v>
      </c>
      <c r="B526" s="17" t="s">
        <v>1922</v>
      </c>
      <c r="C526" s="17" t="s">
        <v>11</v>
      </c>
      <c r="D526" s="17" t="s">
        <v>12</v>
      </c>
      <c r="E526" s="17" t="s">
        <v>13</v>
      </c>
      <c r="F526" s="16" t="s">
        <v>1923</v>
      </c>
    </row>
    <row r="527" spans="1:6" x14ac:dyDescent="0.25">
      <c r="A527" s="16" t="s">
        <v>1924</v>
      </c>
      <c r="B527" s="17" t="s">
        <v>1925</v>
      </c>
      <c r="C527" s="17" t="s">
        <v>11</v>
      </c>
      <c r="D527" s="17" t="s">
        <v>32</v>
      </c>
      <c r="E527" s="17" t="s">
        <v>20</v>
      </c>
      <c r="F527" s="16" t="s">
        <v>1926</v>
      </c>
    </row>
    <row r="528" spans="1:6" x14ac:dyDescent="0.25">
      <c r="A528" s="16" t="s">
        <v>1927</v>
      </c>
      <c r="B528" s="17" t="s">
        <v>1928</v>
      </c>
      <c r="C528" s="17" t="s">
        <v>11</v>
      </c>
      <c r="D528" s="17" t="s">
        <v>12</v>
      </c>
      <c r="E528" s="17" t="s">
        <v>13</v>
      </c>
      <c r="F528" s="16" t="s">
        <v>1929</v>
      </c>
    </row>
    <row r="529" spans="1:6" x14ac:dyDescent="0.25">
      <c r="A529" s="16" t="s">
        <v>1930</v>
      </c>
      <c r="B529" s="17" t="s">
        <v>1931</v>
      </c>
      <c r="C529" s="17" t="s">
        <v>11</v>
      </c>
      <c r="D529" s="17" t="s">
        <v>12</v>
      </c>
      <c r="E529" s="17" t="s">
        <v>13</v>
      </c>
      <c r="F529" s="16" t="s">
        <v>1932</v>
      </c>
    </row>
    <row r="530" spans="1:6" x14ac:dyDescent="0.25">
      <c r="A530" s="16" t="s">
        <v>1933</v>
      </c>
      <c r="B530" s="17" t="s">
        <v>1934</v>
      </c>
      <c r="C530" s="17" t="s">
        <v>11</v>
      </c>
      <c r="D530" s="17" t="s">
        <v>12</v>
      </c>
      <c r="E530" s="17" t="s">
        <v>13</v>
      </c>
      <c r="F530" s="16" t="s">
        <v>1935</v>
      </c>
    </row>
    <row r="531" spans="1:6" x14ac:dyDescent="0.25">
      <c r="A531" s="16" t="s">
        <v>1936</v>
      </c>
      <c r="B531" s="17" t="s">
        <v>1937</v>
      </c>
      <c r="C531" s="17" t="s">
        <v>11</v>
      </c>
      <c r="D531" s="17" t="s">
        <v>59</v>
      </c>
      <c r="E531" s="17" t="s">
        <v>13</v>
      </c>
      <c r="F531" s="16" t="s">
        <v>1938</v>
      </c>
    </row>
    <row r="532" spans="1:6" x14ac:dyDescent="0.25">
      <c r="A532" s="16" t="s">
        <v>1939</v>
      </c>
      <c r="B532" s="17" t="s">
        <v>1940</v>
      </c>
      <c r="C532" s="17" t="s">
        <v>11</v>
      </c>
      <c r="D532" s="17" t="s">
        <v>80</v>
      </c>
      <c r="E532" s="17" t="s">
        <v>20</v>
      </c>
      <c r="F532" s="16" t="s">
        <v>1941</v>
      </c>
    </row>
    <row r="533" spans="1:6" x14ac:dyDescent="0.25">
      <c r="A533" s="16" t="s">
        <v>1942</v>
      </c>
      <c r="B533" s="17" t="s">
        <v>1943</v>
      </c>
      <c r="C533" s="17" t="s">
        <v>11</v>
      </c>
      <c r="D533" s="17" t="s">
        <v>12</v>
      </c>
      <c r="E533" s="17" t="s">
        <v>13</v>
      </c>
      <c r="F533" s="16" t="s">
        <v>1944</v>
      </c>
    </row>
    <row r="534" spans="1:6" x14ac:dyDescent="0.25">
      <c r="A534" s="16" t="s">
        <v>1945</v>
      </c>
      <c r="B534" s="17" t="s">
        <v>1946</v>
      </c>
      <c r="C534" s="17" t="s">
        <v>11</v>
      </c>
      <c r="D534" s="17" t="s">
        <v>250</v>
      </c>
      <c r="E534" s="17" t="s">
        <v>20</v>
      </c>
      <c r="F534" s="16" t="s">
        <v>1947</v>
      </c>
    </row>
    <row r="535" spans="1:6" x14ac:dyDescent="0.25">
      <c r="A535" s="16" t="s">
        <v>1948</v>
      </c>
      <c r="B535" s="17" t="s">
        <v>1949</v>
      </c>
      <c r="C535" s="17" t="s">
        <v>11</v>
      </c>
      <c r="D535" s="17" t="s">
        <v>12</v>
      </c>
      <c r="E535" s="17" t="s">
        <v>13</v>
      </c>
      <c r="F535" s="16" t="s">
        <v>1950</v>
      </c>
    </row>
    <row r="536" spans="1:6" x14ac:dyDescent="0.25">
      <c r="A536" s="16" t="s">
        <v>1951</v>
      </c>
      <c r="B536" s="17" t="s">
        <v>1952</v>
      </c>
      <c r="C536" s="17" t="s">
        <v>11</v>
      </c>
      <c r="D536" s="17" t="s">
        <v>12</v>
      </c>
      <c r="E536" s="17" t="s">
        <v>13</v>
      </c>
      <c r="F536" s="16" t="s">
        <v>1953</v>
      </c>
    </row>
    <row r="537" spans="1:6" x14ac:dyDescent="0.25">
      <c r="A537" s="16" t="s">
        <v>1954</v>
      </c>
      <c r="B537" s="17" t="s">
        <v>1955</v>
      </c>
      <c r="C537" s="17" t="s">
        <v>11</v>
      </c>
      <c r="D537" s="17" t="s">
        <v>12</v>
      </c>
      <c r="E537" s="17" t="s">
        <v>13</v>
      </c>
      <c r="F537" s="16" t="s">
        <v>1956</v>
      </c>
    </row>
    <row r="538" spans="1:6" x14ac:dyDescent="0.25">
      <c r="A538" s="16" t="s">
        <v>1957</v>
      </c>
      <c r="B538" s="17" t="s">
        <v>1958</v>
      </c>
      <c r="C538" s="17" t="s">
        <v>11</v>
      </c>
      <c r="D538" s="17" t="s">
        <v>250</v>
      </c>
      <c r="E538" s="17" t="s">
        <v>20</v>
      </c>
      <c r="F538" s="16" t="s">
        <v>1959</v>
      </c>
    </row>
    <row r="539" spans="1:6" x14ac:dyDescent="0.25">
      <c r="A539" s="16" t="s">
        <v>1960</v>
      </c>
      <c r="B539" s="17" t="s">
        <v>1961</v>
      </c>
      <c r="C539" s="17" t="s">
        <v>11</v>
      </c>
      <c r="D539" s="17" t="s">
        <v>83</v>
      </c>
      <c r="E539" s="17" t="s">
        <v>20</v>
      </c>
      <c r="F539" s="16" t="s">
        <v>1962</v>
      </c>
    </row>
    <row r="540" spans="1:6" x14ac:dyDescent="0.25">
      <c r="A540" s="16" t="s">
        <v>1963</v>
      </c>
      <c r="B540" s="17" t="s">
        <v>1964</v>
      </c>
      <c r="C540" s="17" t="s">
        <v>11</v>
      </c>
      <c r="D540" s="17" t="s">
        <v>32</v>
      </c>
      <c r="E540" s="17" t="s">
        <v>20</v>
      </c>
      <c r="F540" s="16" t="s">
        <v>1965</v>
      </c>
    </row>
    <row r="541" spans="1:6" x14ac:dyDescent="0.25">
      <c r="A541" s="16" t="s">
        <v>1966</v>
      </c>
      <c r="B541" s="17" t="s">
        <v>1967</v>
      </c>
      <c r="C541" s="17" t="s">
        <v>11</v>
      </c>
      <c r="D541" s="17" t="s">
        <v>80</v>
      </c>
      <c r="E541" s="17" t="s">
        <v>20</v>
      </c>
      <c r="F541" s="16" t="s">
        <v>1968</v>
      </c>
    </row>
    <row r="542" spans="1:6" x14ac:dyDescent="0.25">
      <c r="A542" s="16" t="s">
        <v>1969</v>
      </c>
      <c r="B542" s="17" t="s">
        <v>1970</v>
      </c>
      <c r="C542" s="17" t="s">
        <v>11</v>
      </c>
      <c r="D542" s="17" t="s">
        <v>291</v>
      </c>
      <c r="E542" s="17" t="s">
        <v>20</v>
      </c>
      <c r="F542" s="16" t="s">
        <v>1971</v>
      </c>
    </row>
    <row r="543" spans="1:6" x14ac:dyDescent="0.25">
      <c r="A543" s="16" t="s">
        <v>1972</v>
      </c>
      <c r="B543" s="17" t="s">
        <v>1973</v>
      </c>
      <c r="C543" s="17" t="s">
        <v>11</v>
      </c>
      <c r="D543" s="17" t="s">
        <v>74</v>
      </c>
      <c r="E543" s="17" t="s">
        <v>20</v>
      </c>
      <c r="F543" s="16" t="s">
        <v>1974</v>
      </c>
    </row>
    <row r="544" spans="1:6" x14ac:dyDescent="0.25">
      <c r="A544" s="16" t="s">
        <v>1975</v>
      </c>
      <c r="B544" s="17" t="s">
        <v>1976</v>
      </c>
      <c r="C544" s="17" t="s">
        <v>11</v>
      </c>
      <c r="D544" s="17" t="s">
        <v>12</v>
      </c>
      <c r="E544" s="17" t="s">
        <v>13</v>
      </c>
      <c r="F544" s="16" t="s">
        <v>1977</v>
      </c>
    </row>
    <row r="545" spans="1:6" x14ac:dyDescent="0.25">
      <c r="A545" s="16" t="s">
        <v>1978</v>
      </c>
      <c r="B545" s="17" t="s">
        <v>1979</v>
      </c>
      <c r="C545" s="17" t="s">
        <v>11</v>
      </c>
      <c r="D545" s="17" t="s">
        <v>12</v>
      </c>
      <c r="E545" s="17" t="s">
        <v>13</v>
      </c>
      <c r="F545" s="16" t="s">
        <v>1980</v>
      </c>
    </row>
    <row r="546" spans="1:6" x14ac:dyDescent="0.25">
      <c r="A546" s="16" t="s">
        <v>1981</v>
      </c>
      <c r="B546" s="17" t="s">
        <v>1982</v>
      </c>
      <c r="C546" s="17" t="s">
        <v>11</v>
      </c>
      <c r="D546" s="17" t="s">
        <v>12</v>
      </c>
      <c r="E546" s="17" t="s">
        <v>13</v>
      </c>
      <c r="F546" s="16" t="s">
        <v>1983</v>
      </c>
    </row>
    <row r="547" spans="1:6" x14ac:dyDescent="0.25">
      <c r="A547" s="16" t="s">
        <v>1984</v>
      </c>
      <c r="B547" s="17" t="s">
        <v>1985</v>
      </c>
      <c r="C547" s="17" t="s">
        <v>11</v>
      </c>
      <c r="D547" s="17" t="s">
        <v>12</v>
      </c>
      <c r="E547" s="17" t="s">
        <v>13</v>
      </c>
      <c r="F547" s="16" t="s">
        <v>1986</v>
      </c>
    </row>
    <row r="548" spans="1:6" x14ac:dyDescent="0.25">
      <c r="A548" s="16" t="s">
        <v>1987</v>
      </c>
      <c r="B548" s="17" t="s">
        <v>1988</v>
      </c>
      <c r="C548" s="17" t="s">
        <v>11</v>
      </c>
      <c r="D548" s="17" t="s">
        <v>1989</v>
      </c>
      <c r="E548" s="17" t="s">
        <v>13</v>
      </c>
      <c r="F548" s="16" t="s">
        <v>1990</v>
      </c>
    </row>
    <row r="549" spans="1:6" x14ac:dyDescent="0.25">
      <c r="A549" s="16" t="s">
        <v>1991</v>
      </c>
      <c r="B549" s="17" t="s">
        <v>1992</v>
      </c>
      <c r="C549" s="17" t="s">
        <v>11</v>
      </c>
      <c r="D549" s="17" t="s">
        <v>291</v>
      </c>
      <c r="E549" s="17" t="s">
        <v>20</v>
      </c>
      <c r="F549" s="16" t="s">
        <v>1993</v>
      </c>
    </row>
    <row r="550" spans="1:6" x14ac:dyDescent="0.25">
      <c r="A550" s="16" t="s">
        <v>1994</v>
      </c>
      <c r="B550" s="17" t="s">
        <v>1995</v>
      </c>
      <c r="C550" s="17" t="s">
        <v>11</v>
      </c>
      <c r="D550" s="17" t="s">
        <v>12</v>
      </c>
      <c r="E550" s="17" t="s">
        <v>13</v>
      </c>
      <c r="F550" s="16" t="s">
        <v>1996</v>
      </c>
    </row>
    <row r="551" spans="1:6" x14ac:dyDescent="0.25">
      <c r="A551" s="16" t="s">
        <v>1997</v>
      </c>
      <c r="B551" s="17" t="s">
        <v>1998</v>
      </c>
      <c r="C551" s="17" t="s">
        <v>11</v>
      </c>
      <c r="D551" s="17" t="s">
        <v>12</v>
      </c>
      <c r="E551" s="17" t="s">
        <v>13</v>
      </c>
      <c r="F551" s="16" t="s">
        <v>1999</v>
      </c>
    </row>
    <row r="552" spans="1:6" x14ac:dyDescent="0.25">
      <c r="A552" s="16" t="s">
        <v>2000</v>
      </c>
      <c r="B552" s="17" t="s">
        <v>2001</v>
      </c>
      <c r="C552" s="17" t="s">
        <v>11</v>
      </c>
      <c r="D552" s="17" t="s">
        <v>649</v>
      </c>
      <c r="E552" s="17" t="s">
        <v>20</v>
      </c>
      <c r="F552" s="16" t="s">
        <v>2002</v>
      </c>
    </row>
    <row r="553" spans="1:6" x14ac:dyDescent="0.25">
      <c r="A553" s="16" t="s">
        <v>2003</v>
      </c>
      <c r="B553" s="17" t="s">
        <v>2004</v>
      </c>
      <c r="C553" s="17" t="s">
        <v>11</v>
      </c>
      <c r="D553" s="17" t="s">
        <v>12</v>
      </c>
      <c r="E553" s="17" t="s">
        <v>13</v>
      </c>
      <c r="F553" s="16" t="s">
        <v>2005</v>
      </c>
    </row>
    <row r="554" spans="1:6" x14ac:dyDescent="0.25">
      <c r="A554" s="16" t="s">
        <v>2006</v>
      </c>
      <c r="B554" s="17" t="s">
        <v>2007</v>
      </c>
      <c r="C554" s="17" t="s">
        <v>11</v>
      </c>
      <c r="D554" s="17" t="s">
        <v>68</v>
      </c>
      <c r="E554" s="17" t="s">
        <v>20</v>
      </c>
      <c r="F554" s="16" t="s">
        <v>2008</v>
      </c>
    </row>
    <row r="555" spans="1:6" x14ac:dyDescent="0.25">
      <c r="A555" s="16" t="s">
        <v>2009</v>
      </c>
      <c r="B555" s="17" t="s">
        <v>2010</v>
      </c>
      <c r="C555" s="17" t="s">
        <v>11</v>
      </c>
      <c r="D555" s="17" t="s">
        <v>59</v>
      </c>
      <c r="E555" s="17" t="s">
        <v>13</v>
      </c>
      <c r="F555" s="16" t="s">
        <v>2011</v>
      </c>
    </row>
    <row r="556" spans="1:6" x14ac:dyDescent="0.25">
      <c r="A556" s="16" t="s">
        <v>2012</v>
      </c>
      <c r="B556" s="17" t="s">
        <v>2013</v>
      </c>
      <c r="C556" s="17" t="s">
        <v>11</v>
      </c>
      <c r="D556" s="17" t="s">
        <v>670</v>
      </c>
      <c r="E556" s="17" t="s">
        <v>20</v>
      </c>
      <c r="F556" s="16" t="s">
        <v>2014</v>
      </c>
    </row>
    <row r="557" spans="1:6" x14ac:dyDescent="0.25">
      <c r="A557" s="16" t="s">
        <v>2015</v>
      </c>
      <c r="B557" s="17" t="s">
        <v>2016</v>
      </c>
      <c r="C557" s="17" t="s">
        <v>11</v>
      </c>
      <c r="D557" s="17" t="s">
        <v>12</v>
      </c>
      <c r="E557" s="17" t="s">
        <v>13</v>
      </c>
      <c r="F557" s="16" t="s">
        <v>2017</v>
      </c>
    </row>
    <row r="558" spans="1:6" x14ac:dyDescent="0.25">
      <c r="A558" s="16" t="s">
        <v>2018</v>
      </c>
      <c r="B558" s="17" t="s">
        <v>2019</v>
      </c>
      <c r="C558" s="17" t="s">
        <v>11</v>
      </c>
      <c r="D558" s="17" t="s">
        <v>32</v>
      </c>
      <c r="E558" s="17" t="s">
        <v>20</v>
      </c>
      <c r="F558" s="16" t="s">
        <v>2020</v>
      </c>
    </row>
    <row r="559" spans="1:6" x14ac:dyDescent="0.25">
      <c r="A559" s="16" t="s">
        <v>2021</v>
      </c>
      <c r="B559" s="17" t="s">
        <v>2022</v>
      </c>
      <c r="C559" s="17" t="s">
        <v>11</v>
      </c>
      <c r="D559" s="17" t="s">
        <v>32</v>
      </c>
      <c r="E559" s="17" t="s">
        <v>20</v>
      </c>
      <c r="F559" s="16" t="s">
        <v>2023</v>
      </c>
    </row>
    <row r="560" spans="1:6" x14ac:dyDescent="0.25">
      <c r="A560" s="16" t="s">
        <v>2024</v>
      </c>
      <c r="B560" s="17" t="s">
        <v>2025</v>
      </c>
      <c r="C560" s="17" t="s">
        <v>11</v>
      </c>
      <c r="D560" s="17" t="s">
        <v>80</v>
      </c>
      <c r="E560" s="17" t="s">
        <v>20</v>
      </c>
      <c r="F560" s="16" t="s">
        <v>2026</v>
      </c>
    </row>
    <row r="561" spans="1:6" x14ac:dyDescent="0.25">
      <c r="A561" s="16" t="s">
        <v>2027</v>
      </c>
      <c r="B561" s="17" t="s">
        <v>2028</v>
      </c>
      <c r="C561" s="17" t="s">
        <v>11</v>
      </c>
      <c r="D561" s="17" t="s">
        <v>182</v>
      </c>
      <c r="E561" s="17" t="s">
        <v>20</v>
      </c>
      <c r="F561" s="16" t="s">
        <v>2029</v>
      </c>
    </row>
    <row r="562" spans="1:6" x14ac:dyDescent="0.25">
      <c r="A562" s="16" t="s">
        <v>2030</v>
      </c>
      <c r="B562" s="17" t="s">
        <v>2031</v>
      </c>
      <c r="C562" s="17" t="s">
        <v>11</v>
      </c>
      <c r="D562" s="17" t="s">
        <v>32</v>
      </c>
      <c r="E562" s="17" t="s">
        <v>20</v>
      </c>
      <c r="F562" s="16" t="s">
        <v>2032</v>
      </c>
    </row>
    <row r="563" spans="1:6" x14ac:dyDescent="0.25">
      <c r="A563" s="16" t="s">
        <v>2033</v>
      </c>
      <c r="B563" s="17" t="s">
        <v>2034</v>
      </c>
      <c r="C563" s="17" t="s">
        <v>11</v>
      </c>
      <c r="D563" s="17" t="s">
        <v>12</v>
      </c>
      <c r="E563" s="17" t="s">
        <v>13</v>
      </c>
      <c r="F563" s="16" t="s">
        <v>2035</v>
      </c>
    </row>
    <row r="564" spans="1:6" x14ac:dyDescent="0.25">
      <c r="A564" s="16" t="s">
        <v>2036</v>
      </c>
      <c r="B564" s="17" t="s">
        <v>2037</v>
      </c>
      <c r="C564" s="17" t="s">
        <v>11</v>
      </c>
      <c r="D564" s="17" t="s">
        <v>32</v>
      </c>
      <c r="E564" s="17" t="s">
        <v>20</v>
      </c>
      <c r="F564" s="16" t="s">
        <v>2038</v>
      </c>
    </row>
    <row r="565" spans="1:6" x14ac:dyDescent="0.25">
      <c r="A565" s="16" t="s">
        <v>2039</v>
      </c>
      <c r="B565" s="17" t="s">
        <v>2040</v>
      </c>
      <c r="C565" s="17" t="s">
        <v>11</v>
      </c>
      <c r="D565" s="17" t="s">
        <v>83</v>
      </c>
      <c r="E565" s="17" t="s">
        <v>20</v>
      </c>
      <c r="F565" s="16" t="s">
        <v>2041</v>
      </c>
    </row>
    <row r="566" spans="1:6" x14ac:dyDescent="0.25">
      <c r="A566" s="16" t="s">
        <v>2042</v>
      </c>
      <c r="B566" s="17" t="s">
        <v>2043</v>
      </c>
      <c r="C566" s="17" t="s">
        <v>11</v>
      </c>
      <c r="D566" s="17" t="s">
        <v>32</v>
      </c>
      <c r="E566" s="17" t="s">
        <v>20</v>
      </c>
      <c r="F566" s="16" t="s">
        <v>2044</v>
      </c>
    </row>
    <row r="567" spans="1:6" x14ac:dyDescent="0.25">
      <c r="A567" s="16" t="s">
        <v>2045</v>
      </c>
      <c r="B567" s="17" t="s">
        <v>2046</v>
      </c>
      <c r="C567" s="17" t="s">
        <v>11</v>
      </c>
      <c r="D567" s="17" t="s">
        <v>83</v>
      </c>
      <c r="E567" s="17" t="s">
        <v>20</v>
      </c>
      <c r="F567" s="16" t="s">
        <v>2047</v>
      </c>
    </row>
    <row r="568" spans="1:6" x14ac:dyDescent="0.25">
      <c r="A568" s="16" t="s">
        <v>2048</v>
      </c>
      <c r="B568" s="17" t="s">
        <v>2049</v>
      </c>
      <c r="C568" s="17" t="s">
        <v>11</v>
      </c>
      <c r="D568" s="17" t="s">
        <v>32</v>
      </c>
      <c r="E568" s="17" t="s">
        <v>20</v>
      </c>
      <c r="F568" s="16" t="s">
        <v>2050</v>
      </c>
    </row>
    <row r="569" spans="1:6" x14ac:dyDescent="0.25">
      <c r="A569" s="16" t="s">
        <v>2051</v>
      </c>
      <c r="B569" s="17" t="s">
        <v>2052</v>
      </c>
      <c r="C569" s="17" t="s">
        <v>11</v>
      </c>
      <c r="D569" s="17" t="s">
        <v>74</v>
      </c>
      <c r="E569" s="17" t="s">
        <v>20</v>
      </c>
      <c r="F569" s="16" t="s">
        <v>2053</v>
      </c>
    </row>
    <row r="570" spans="1:6" x14ac:dyDescent="0.25">
      <c r="A570" s="16" t="s">
        <v>2054</v>
      </c>
      <c r="B570" s="17" t="s">
        <v>2055</v>
      </c>
      <c r="C570" s="17" t="s">
        <v>11</v>
      </c>
      <c r="D570" s="17" t="s">
        <v>80</v>
      </c>
      <c r="E570" s="17" t="s">
        <v>20</v>
      </c>
      <c r="F570" s="16" t="s">
        <v>2056</v>
      </c>
    </row>
    <row r="571" spans="1:6" x14ac:dyDescent="0.25">
      <c r="A571" s="16" t="s">
        <v>2057</v>
      </c>
      <c r="B571" s="17" t="s">
        <v>2058</v>
      </c>
      <c r="C571" s="17" t="s">
        <v>11</v>
      </c>
      <c r="D571" s="17" t="s">
        <v>250</v>
      </c>
      <c r="E571" s="17" t="s">
        <v>20</v>
      </c>
      <c r="F571" s="16" t="s">
        <v>2059</v>
      </c>
    </row>
    <row r="572" spans="1:6" x14ac:dyDescent="0.25">
      <c r="A572" s="16" t="s">
        <v>2060</v>
      </c>
      <c r="B572" s="17" t="s">
        <v>2061</v>
      </c>
      <c r="C572" s="17" t="s">
        <v>11</v>
      </c>
      <c r="D572" s="17" t="s">
        <v>649</v>
      </c>
      <c r="E572" s="17" t="s">
        <v>20</v>
      </c>
      <c r="F572" s="16" t="s">
        <v>2062</v>
      </c>
    </row>
    <row r="573" spans="1:6" x14ac:dyDescent="0.25">
      <c r="A573" s="16" t="s">
        <v>2063</v>
      </c>
      <c r="B573" s="17" t="s">
        <v>2064</v>
      </c>
      <c r="C573" s="17" t="s">
        <v>11</v>
      </c>
      <c r="D573" s="17" t="s">
        <v>68</v>
      </c>
      <c r="E573" s="17" t="s">
        <v>20</v>
      </c>
      <c r="F573" s="16" t="s">
        <v>2065</v>
      </c>
    </row>
    <row r="574" spans="1:6" x14ac:dyDescent="0.25">
      <c r="A574" s="16" t="s">
        <v>2066</v>
      </c>
      <c r="B574" s="17" t="s">
        <v>2067</v>
      </c>
      <c r="C574" s="17" t="s">
        <v>11</v>
      </c>
      <c r="D574" s="17" t="s">
        <v>811</v>
      </c>
      <c r="E574" s="17" t="s">
        <v>20</v>
      </c>
      <c r="F574" s="16" t="s">
        <v>2068</v>
      </c>
    </row>
    <row r="575" spans="1:6" x14ac:dyDescent="0.25">
      <c r="A575" s="16" t="s">
        <v>2069</v>
      </c>
      <c r="B575" s="17" t="s">
        <v>2070</v>
      </c>
      <c r="C575" s="17" t="s">
        <v>11</v>
      </c>
      <c r="D575" s="17" t="s">
        <v>148</v>
      </c>
      <c r="E575" s="17" t="s">
        <v>20</v>
      </c>
      <c r="F575" s="16" t="s">
        <v>2071</v>
      </c>
    </row>
    <row r="576" spans="1:6" x14ac:dyDescent="0.25">
      <c r="A576" s="16" t="s">
        <v>2072</v>
      </c>
      <c r="B576" s="17" t="s">
        <v>2073</v>
      </c>
      <c r="C576" s="17" t="s">
        <v>11</v>
      </c>
      <c r="D576" s="17" t="s">
        <v>291</v>
      </c>
      <c r="E576" s="17" t="s">
        <v>20</v>
      </c>
      <c r="F576" s="16" t="s">
        <v>2074</v>
      </c>
    </row>
    <row r="577" spans="1:6" x14ac:dyDescent="0.25">
      <c r="A577" s="16" t="s">
        <v>2075</v>
      </c>
      <c r="B577" s="17" t="s">
        <v>2076</v>
      </c>
      <c r="C577" s="17" t="s">
        <v>11</v>
      </c>
      <c r="D577" s="17" t="s">
        <v>68</v>
      </c>
      <c r="E577" s="17" t="s">
        <v>20</v>
      </c>
      <c r="F577" s="16" t="s">
        <v>2077</v>
      </c>
    </row>
    <row r="578" spans="1:6" x14ac:dyDescent="0.25">
      <c r="A578" s="16" t="s">
        <v>2078</v>
      </c>
      <c r="B578" s="17" t="s">
        <v>2079</v>
      </c>
      <c r="C578" s="17" t="s">
        <v>11</v>
      </c>
      <c r="D578" s="17" t="s">
        <v>74</v>
      </c>
      <c r="E578" s="17" t="s">
        <v>20</v>
      </c>
      <c r="F578" s="16" t="s">
        <v>2080</v>
      </c>
    </row>
    <row r="579" spans="1:6" x14ac:dyDescent="0.25">
      <c r="A579" s="16" t="s">
        <v>2081</v>
      </c>
      <c r="B579" s="17" t="s">
        <v>2082</v>
      </c>
      <c r="C579" s="17" t="s">
        <v>11</v>
      </c>
      <c r="D579" s="17" t="s">
        <v>19</v>
      </c>
      <c r="E579" s="17" t="s">
        <v>20</v>
      </c>
      <c r="F579" s="16" t="s">
        <v>2083</v>
      </c>
    </row>
    <row r="580" spans="1:6" x14ac:dyDescent="0.25">
      <c r="A580" s="16" t="s">
        <v>2084</v>
      </c>
      <c r="B580" s="17" t="s">
        <v>2085</v>
      </c>
      <c r="C580" s="17" t="s">
        <v>11</v>
      </c>
      <c r="D580" s="17" t="s">
        <v>32</v>
      </c>
      <c r="E580" s="17" t="s">
        <v>20</v>
      </c>
      <c r="F580" s="16" t="s">
        <v>2086</v>
      </c>
    </row>
    <row r="581" spans="1:6" x14ac:dyDescent="0.25">
      <c r="A581" s="16" t="s">
        <v>2087</v>
      </c>
      <c r="B581" s="17" t="s">
        <v>2088</v>
      </c>
      <c r="C581" s="17" t="s">
        <v>11</v>
      </c>
      <c r="D581" s="17" t="s">
        <v>59</v>
      </c>
      <c r="E581" s="17" t="s">
        <v>13</v>
      </c>
      <c r="F581" s="16" t="s">
        <v>2089</v>
      </c>
    </row>
    <row r="582" spans="1:6" x14ac:dyDescent="0.25">
      <c r="A582" s="16" t="s">
        <v>2090</v>
      </c>
      <c r="B582" s="17" t="s">
        <v>2091</v>
      </c>
      <c r="C582" s="17" t="s">
        <v>11</v>
      </c>
      <c r="D582" s="17" t="s">
        <v>74</v>
      </c>
      <c r="E582" s="17" t="s">
        <v>20</v>
      </c>
      <c r="F582" s="16" t="s">
        <v>2092</v>
      </c>
    </row>
    <row r="583" spans="1:6" x14ac:dyDescent="0.25">
      <c r="A583" s="16" t="s">
        <v>2093</v>
      </c>
      <c r="B583" s="17" t="s">
        <v>2094</v>
      </c>
      <c r="C583" s="17" t="s">
        <v>11</v>
      </c>
      <c r="D583" s="17" t="s">
        <v>74</v>
      </c>
      <c r="E583" s="17" t="s">
        <v>20</v>
      </c>
      <c r="F583" s="16" t="s">
        <v>2095</v>
      </c>
    </row>
    <row r="584" spans="1:6" x14ac:dyDescent="0.25">
      <c r="A584" s="16" t="s">
        <v>2096</v>
      </c>
      <c r="B584" s="17" t="s">
        <v>2097</v>
      </c>
      <c r="C584" s="17" t="s">
        <v>11</v>
      </c>
      <c r="D584" s="17" t="s">
        <v>32</v>
      </c>
      <c r="E584" s="17" t="s">
        <v>20</v>
      </c>
      <c r="F584" s="16" t="s">
        <v>2098</v>
      </c>
    </row>
    <row r="585" spans="1:6" x14ac:dyDescent="0.25">
      <c r="A585" s="16" t="s">
        <v>2099</v>
      </c>
      <c r="B585" s="17" t="s">
        <v>2100</v>
      </c>
      <c r="C585" s="17" t="s">
        <v>11</v>
      </c>
      <c r="D585" s="17" t="s">
        <v>148</v>
      </c>
      <c r="E585" s="17" t="s">
        <v>20</v>
      </c>
      <c r="F585" s="16" t="s">
        <v>2101</v>
      </c>
    </row>
    <row r="586" spans="1:6" x14ac:dyDescent="0.25">
      <c r="A586" s="16" t="s">
        <v>2102</v>
      </c>
      <c r="B586" s="17" t="s">
        <v>2103</v>
      </c>
      <c r="C586" s="17" t="s">
        <v>11</v>
      </c>
      <c r="D586" s="17" t="s">
        <v>32</v>
      </c>
      <c r="E586" s="17" t="s">
        <v>20</v>
      </c>
      <c r="F586" s="16" t="s">
        <v>2104</v>
      </c>
    </row>
    <row r="587" spans="1:6" x14ac:dyDescent="0.25">
      <c r="A587" s="16" t="s">
        <v>2105</v>
      </c>
      <c r="B587" s="17" t="s">
        <v>2106</v>
      </c>
      <c r="C587" s="17" t="s">
        <v>11</v>
      </c>
      <c r="D587" s="17" t="s">
        <v>570</v>
      </c>
      <c r="E587" s="17" t="s">
        <v>20</v>
      </c>
      <c r="F587" s="16" t="s">
        <v>2107</v>
      </c>
    </row>
    <row r="588" spans="1:6" x14ac:dyDescent="0.25">
      <c r="A588" s="16" t="s">
        <v>2108</v>
      </c>
      <c r="B588" s="17" t="s">
        <v>2109</v>
      </c>
      <c r="C588" s="17" t="s">
        <v>11</v>
      </c>
      <c r="D588" s="17" t="s">
        <v>32</v>
      </c>
      <c r="E588" s="17" t="s">
        <v>20</v>
      </c>
      <c r="F588" s="16" t="s">
        <v>2110</v>
      </c>
    </row>
    <row r="589" spans="1:6" x14ac:dyDescent="0.25">
      <c r="A589" s="16" t="s">
        <v>2111</v>
      </c>
      <c r="B589" s="17" t="s">
        <v>2112</v>
      </c>
      <c r="C589" s="17" t="s">
        <v>11</v>
      </c>
      <c r="D589" s="17" t="s">
        <v>32</v>
      </c>
      <c r="E589" s="17" t="s">
        <v>20</v>
      </c>
      <c r="F589" s="16" t="s">
        <v>2113</v>
      </c>
    </row>
    <row r="590" spans="1:6" x14ac:dyDescent="0.25">
      <c r="A590" s="16" t="s">
        <v>2114</v>
      </c>
      <c r="B590" s="17" t="s">
        <v>2115</v>
      </c>
      <c r="C590" s="17" t="s">
        <v>11</v>
      </c>
      <c r="D590" s="17" t="s">
        <v>83</v>
      </c>
      <c r="E590" s="17" t="s">
        <v>20</v>
      </c>
      <c r="F590" s="16" t="s">
        <v>2116</v>
      </c>
    </row>
    <row r="591" spans="1:6" x14ac:dyDescent="0.25">
      <c r="A591" s="16" t="s">
        <v>2117</v>
      </c>
      <c r="B591" s="17" t="s">
        <v>2118</v>
      </c>
      <c r="C591" s="17" t="s">
        <v>11</v>
      </c>
      <c r="D591" s="17" t="s">
        <v>544</v>
      </c>
      <c r="E591" s="17" t="s">
        <v>20</v>
      </c>
      <c r="F591" s="16" t="s">
        <v>2119</v>
      </c>
    </row>
    <row r="592" spans="1:6" x14ac:dyDescent="0.25">
      <c r="A592" s="16" t="s">
        <v>2120</v>
      </c>
      <c r="B592" s="17" t="s">
        <v>2121</v>
      </c>
      <c r="C592" s="17" t="s">
        <v>11</v>
      </c>
      <c r="D592" s="17" t="s">
        <v>182</v>
      </c>
      <c r="E592" s="17" t="s">
        <v>20</v>
      </c>
      <c r="F592" s="16" t="s">
        <v>2122</v>
      </c>
    </row>
    <row r="593" spans="1:6" x14ac:dyDescent="0.25">
      <c r="A593" s="16" t="s">
        <v>2123</v>
      </c>
      <c r="B593" s="17" t="s">
        <v>2124</v>
      </c>
      <c r="C593" s="17" t="s">
        <v>11</v>
      </c>
      <c r="D593" s="17" t="s">
        <v>32</v>
      </c>
      <c r="E593" s="17" t="s">
        <v>20</v>
      </c>
      <c r="F593" s="16" t="s">
        <v>2125</v>
      </c>
    </row>
    <row r="594" spans="1:6" x14ac:dyDescent="0.25">
      <c r="A594" s="16" t="s">
        <v>2126</v>
      </c>
      <c r="B594" s="17" t="s">
        <v>2127</v>
      </c>
      <c r="C594" s="17" t="s">
        <v>11</v>
      </c>
      <c r="D594" s="17" t="s">
        <v>74</v>
      </c>
      <c r="E594" s="17" t="s">
        <v>20</v>
      </c>
      <c r="F594" s="16" t="s">
        <v>2128</v>
      </c>
    </row>
    <row r="595" spans="1:6" x14ac:dyDescent="0.25">
      <c r="A595" s="16" t="s">
        <v>2129</v>
      </c>
      <c r="B595" s="17" t="s">
        <v>2130</v>
      </c>
      <c r="C595" s="17" t="s">
        <v>11</v>
      </c>
      <c r="D595" s="17" t="s">
        <v>26</v>
      </c>
      <c r="E595" s="17" t="s">
        <v>20</v>
      </c>
      <c r="F595" s="16" t="s">
        <v>2131</v>
      </c>
    </row>
    <row r="596" spans="1:6" x14ac:dyDescent="0.25">
      <c r="A596" s="16" t="s">
        <v>2132</v>
      </c>
      <c r="B596" s="17" t="s">
        <v>2133</v>
      </c>
      <c r="C596" s="17" t="s">
        <v>214</v>
      </c>
      <c r="D596" s="17" t="s">
        <v>148</v>
      </c>
      <c r="E596" s="17" t="s">
        <v>20</v>
      </c>
      <c r="F596" s="16" t="s">
        <v>2134</v>
      </c>
    </row>
    <row r="597" spans="1:6" x14ac:dyDescent="0.25">
      <c r="A597" s="16" t="s">
        <v>2135</v>
      </c>
      <c r="B597" s="17" t="s">
        <v>2136</v>
      </c>
      <c r="C597" s="17" t="s">
        <v>11</v>
      </c>
      <c r="D597" s="17" t="s">
        <v>32</v>
      </c>
      <c r="E597" s="17" t="s">
        <v>20</v>
      </c>
      <c r="F597" s="16" t="s">
        <v>2137</v>
      </c>
    </row>
    <row r="598" spans="1:6" x14ac:dyDescent="0.25">
      <c r="A598" s="16" t="s">
        <v>2138</v>
      </c>
      <c r="B598" s="17" t="s">
        <v>2139</v>
      </c>
      <c r="C598" s="17" t="s">
        <v>11</v>
      </c>
      <c r="D598" s="17" t="s">
        <v>32</v>
      </c>
      <c r="E598" s="17" t="s">
        <v>20</v>
      </c>
      <c r="F598" s="16" t="s">
        <v>2140</v>
      </c>
    </row>
    <row r="599" spans="1:6" x14ac:dyDescent="0.25">
      <c r="A599" s="16" t="s">
        <v>2141</v>
      </c>
      <c r="B599" s="17" t="s">
        <v>2142</v>
      </c>
      <c r="C599" s="17" t="s">
        <v>11</v>
      </c>
      <c r="D599" s="17" t="s">
        <v>32</v>
      </c>
      <c r="E599" s="17" t="s">
        <v>20</v>
      </c>
      <c r="F599" s="16" t="s">
        <v>2143</v>
      </c>
    </row>
    <row r="600" spans="1:6" x14ac:dyDescent="0.25">
      <c r="A600" s="16" t="s">
        <v>2144</v>
      </c>
      <c r="B600" s="17" t="s">
        <v>2145</v>
      </c>
      <c r="C600" s="17" t="s">
        <v>11</v>
      </c>
      <c r="D600" s="17" t="s">
        <v>80</v>
      </c>
      <c r="E600" s="17" t="s">
        <v>20</v>
      </c>
      <c r="F600" s="16" t="s">
        <v>2146</v>
      </c>
    </row>
    <row r="601" spans="1:6" x14ac:dyDescent="0.25">
      <c r="A601" s="16" t="s">
        <v>2147</v>
      </c>
      <c r="B601" s="17" t="s">
        <v>2148</v>
      </c>
      <c r="C601" s="17" t="s">
        <v>11</v>
      </c>
      <c r="D601" s="17" t="s">
        <v>32</v>
      </c>
      <c r="E601" s="17" t="s">
        <v>20</v>
      </c>
      <c r="F601" s="16" t="s">
        <v>2149</v>
      </c>
    </row>
    <row r="602" spans="1:6" x14ac:dyDescent="0.25">
      <c r="A602" s="16" t="s">
        <v>2150</v>
      </c>
      <c r="B602" s="17" t="s">
        <v>2151</v>
      </c>
      <c r="C602" s="17" t="s">
        <v>11</v>
      </c>
      <c r="D602" s="17" t="s">
        <v>32</v>
      </c>
      <c r="E602" s="17" t="s">
        <v>20</v>
      </c>
      <c r="F602" s="16" t="s">
        <v>2152</v>
      </c>
    </row>
    <row r="603" spans="1:6" x14ac:dyDescent="0.25">
      <c r="A603" s="16" t="s">
        <v>2153</v>
      </c>
      <c r="B603" s="17" t="s">
        <v>2154</v>
      </c>
      <c r="C603" s="17" t="s">
        <v>11</v>
      </c>
      <c r="D603" s="17" t="s">
        <v>74</v>
      </c>
      <c r="E603" s="17" t="s">
        <v>20</v>
      </c>
      <c r="F603" s="16" t="s">
        <v>2155</v>
      </c>
    </row>
    <row r="604" spans="1:6" x14ac:dyDescent="0.25">
      <c r="A604" s="16" t="s">
        <v>2156</v>
      </c>
      <c r="B604" s="17" t="s">
        <v>2157</v>
      </c>
      <c r="C604" s="17" t="s">
        <v>11</v>
      </c>
      <c r="D604" s="17" t="s">
        <v>32</v>
      </c>
      <c r="E604" s="17" t="s">
        <v>20</v>
      </c>
      <c r="F604" s="16" t="s">
        <v>2158</v>
      </c>
    </row>
    <row r="605" spans="1:6" x14ac:dyDescent="0.25">
      <c r="A605" s="16" t="s">
        <v>2159</v>
      </c>
      <c r="B605" s="17" t="s">
        <v>2160</v>
      </c>
      <c r="C605" s="17" t="s">
        <v>11</v>
      </c>
      <c r="D605" s="17" t="s">
        <v>32</v>
      </c>
      <c r="E605" s="17" t="s">
        <v>20</v>
      </c>
      <c r="F605" s="16" t="s">
        <v>2161</v>
      </c>
    </row>
    <row r="606" spans="1:6" x14ac:dyDescent="0.25">
      <c r="A606" s="16" t="s">
        <v>2162</v>
      </c>
      <c r="B606" s="17" t="s">
        <v>2163</v>
      </c>
      <c r="C606" s="17" t="s">
        <v>11</v>
      </c>
      <c r="D606" s="17" t="s">
        <v>83</v>
      </c>
      <c r="E606" s="17" t="s">
        <v>20</v>
      </c>
      <c r="F606" s="16" t="s">
        <v>2164</v>
      </c>
    </row>
    <row r="607" spans="1:6" x14ac:dyDescent="0.25">
      <c r="A607" s="16" t="s">
        <v>2165</v>
      </c>
      <c r="B607" s="17" t="s">
        <v>2166</v>
      </c>
      <c r="C607" s="17" t="s">
        <v>11</v>
      </c>
      <c r="D607" s="17" t="s">
        <v>32</v>
      </c>
      <c r="E607" s="17" t="s">
        <v>20</v>
      </c>
      <c r="F607" s="16" t="s">
        <v>2167</v>
      </c>
    </row>
    <row r="608" spans="1:6" x14ac:dyDescent="0.25">
      <c r="A608" s="16" t="s">
        <v>2168</v>
      </c>
      <c r="B608" s="17" t="s">
        <v>2169</v>
      </c>
      <c r="C608" s="17" t="s">
        <v>11</v>
      </c>
      <c r="D608" s="17" t="s">
        <v>32</v>
      </c>
      <c r="E608" s="17" t="s">
        <v>20</v>
      </c>
      <c r="F608" s="16" t="s">
        <v>2170</v>
      </c>
    </row>
    <row r="609" spans="1:6" x14ac:dyDescent="0.25">
      <c r="A609" s="16" t="s">
        <v>2171</v>
      </c>
      <c r="B609" s="17" t="s">
        <v>2172</v>
      </c>
      <c r="C609" s="17" t="s">
        <v>11</v>
      </c>
      <c r="D609" s="17" t="s">
        <v>182</v>
      </c>
      <c r="E609" s="17" t="s">
        <v>20</v>
      </c>
      <c r="F609" s="16" t="s">
        <v>2173</v>
      </c>
    </row>
    <row r="610" spans="1:6" x14ac:dyDescent="0.25">
      <c r="A610" s="16" t="s">
        <v>2174</v>
      </c>
      <c r="B610" s="17" t="s">
        <v>2175</v>
      </c>
      <c r="C610" s="17" t="s">
        <v>11</v>
      </c>
      <c r="D610" s="17" t="s">
        <v>32</v>
      </c>
      <c r="E610" s="17" t="s">
        <v>20</v>
      </c>
      <c r="F610" s="16" t="s">
        <v>2176</v>
      </c>
    </row>
    <row r="611" spans="1:6" x14ac:dyDescent="0.25">
      <c r="A611" s="16" t="s">
        <v>2177</v>
      </c>
      <c r="B611" s="17" t="s">
        <v>2178</v>
      </c>
      <c r="C611" s="17" t="s">
        <v>11</v>
      </c>
      <c r="D611" s="17" t="s">
        <v>80</v>
      </c>
      <c r="E611" s="17" t="s">
        <v>20</v>
      </c>
      <c r="F611" s="16" t="s">
        <v>2179</v>
      </c>
    </row>
    <row r="612" spans="1:6" x14ac:dyDescent="0.25">
      <c r="A612" s="16" t="s">
        <v>2180</v>
      </c>
      <c r="B612" s="17" t="s">
        <v>2181</v>
      </c>
      <c r="C612" s="17" t="s">
        <v>11</v>
      </c>
      <c r="D612" s="17" t="s">
        <v>12</v>
      </c>
      <c r="E612" s="17" t="s">
        <v>13</v>
      </c>
      <c r="F612" s="16" t="s">
        <v>2182</v>
      </c>
    </row>
    <row r="613" spans="1:6" x14ac:dyDescent="0.25">
      <c r="A613" s="16" t="s">
        <v>2183</v>
      </c>
      <c r="B613" s="17" t="s">
        <v>2184</v>
      </c>
      <c r="C613" s="17" t="s">
        <v>11</v>
      </c>
      <c r="D613" s="17" t="s">
        <v>32</v>
      </c>
      <c r="E613" s="17" t="s">
        <v>20</v>
      </c>
      <c r="F613" s="16" t="s">
        <v>2185</v>
      </c>
    </row>
    <row r="614" spans="1:6" x14ac:dyDescent="0.25">
      <c r="A614" s="16" t="s">
        <v>2186</v>
      </c>
      <c r="B614" s="17" t="s">
        <v>2187</v>
      </c>
      <c r="C614" s="17" t="s">
        <v>11</v>
      </c>
      <c r="D614" s="17" t="s">
        <v>26</v>
      </c>
      <c r="E614" s="17" t="s">
        <v>20</v>
      </c>
      <c r="F614" s="16" t="s">
        <v>2188</v>
      </c>
    </row>
    <row r="615" spans="1:6" x14ac:dyDescent="0.25">
      <c r="A615" s="16" t="s">
        <v>2189</v>
      </c>
      <c r="B615" s="17" t="s">
        <v>2190</v>
      </c>
      <c r="C615" s="17" t="s">
        <v>11</v>
      </c>
      <c r="D615" s="17" t="s">
        <v>32</v>
      </c>
      <c r="E615" s="17" t="s">
        <v>20</v>
      </c>
      <c r="F615" s="16" t="s">
        <v>2191</v>
      </c>
    </row>
    <row r="616" spans="1:6" x14ac:dyDescent="0.25">
      <c r="A616" s="16" t="s">
        <v>2192</v>
      </c>
      <c r="B616" s="17" t="s">
        <v>2193</v>
      </c>
      <c r="C616" s="17" t="s">
        <v>11</v>
      </c>
      <c r="D616" s="17" t="s">
        <v>32</v>
      </c>
      <c r="E616" s="17" t="s">
        <v>20</v>
      </c>
      <c r="F616" s="16" t="s">
        <v>2194</v>
      </c>
    </row>
    <row r="617" spans="1:6" x14ac:dyDescent="0.25">
      <c r="A617" s="16" t="s">
        <v>2195</v>
      </c>
      <c r="B617" s="17" t="s">
        <v>2196</v>
      </c>
      <c r="C617" s="17" t="s">
        <v>11</v>
      </c>
      <c r="D617" s="17" t="s">
        <v>148</v>
      </c>
      <c r="E617" s="17" t="s">
        <v>20</v>
      </c>
      <c r="F617" s="16" t="s">
        <v>2197</v>
      </c>
    </row>
    <row r="618" spans="1:6" x14ac:dyDescent="0.25">
      <c r="A618" s="16" t="s">
        <v>2198</v>
      </c>
      <c r="B618" s="17" t="s">
        <v>2199</v>
      </c>
      <c r="C618" s="17" t="s">
        <v>11</v>
      </c>
      <c r="D618" s="17" t="s">
        <v>250</v>
      </c>
      <c r="E618" s="17" t="s">
        <v>20</v>
      </c>
      <c r="F618" s="16" t="s">
        <v>2200</v>
      </c>
    </row>
    <row r="619" spans="1:6" x14ac:dyDescent="0.25">
      <c r="A619" s="16" t="s">
        <v>2201</v>
      </c>
      <c r="B619" s="17" t="s">
        <v>2202</v>
      </c>
      <c r="C619" s="17" t="s">
        <v>11</v>
      </c>
      <c r="D619" s="17" t="s">
        <v>32</v>
      </c>
      <c r="E619" s="17" t="s">
        <v>20</v>
      </c>
      <c r="F619" s="16" t="s">
        <v>2203</v>
      </c>
    </row>
    <row r="620" spans="1:6" x14ac:dyDescent="0.25">
      <c r="A620" s="16" t="s">
        <v>2204</v>
      </c>
      <c r="B620" s="17" t="s">
        <v>2205</v>
      </c>
      <c r="C620" s="17" t="s">
        <v>11</v>
      </c>
      <c r="D620" s="17" t="s">
        <v>32</v>
      </c>
      <c r="E620" s="17" t="s">
        <v>20</v>
      </c>
      <c r="F620" s="16" t="s">
        <v>2206</v>
      </c>
    </row>
    <row r="621" spans="1:6" x14ac:dyDescent="0.25">
      <c r="A621" s="16" t="s">
        <v>2207</v>
      </c>
      <c r="B621" s="17" t="s">
        <v>2208</v>
      </c>
      <c r="C621" s="17" t="s">
        <v>11</v>
      </c>
      <c r="D621" s="17" t="s">
        <v>32</v>
      </c>
      <c r="E621" s="17" t="s">
        <v>20</v>
      </c>
      <c r="F621" s="16" t="s">
        <v>2209</v>
      </c>
    </row>
    <row r="622" spans="1:6" x14ac:dyDescent="0.25">
      <c r="A622" s="16" t="s">
        <v>2210</v>
      </c>
      <c r="B622" s="17" t="s">
        <v>2211</v>
      </c>
      <c r="C622" s="17" t="s">
        <v>11</v>
      </c>
      <c r="D622" s="17" t="s">
        <v>32</v>
      </c>
      <c r="E622" s="17" t="s">
        <v>20</v>
      </c>
      <c r="F622" s="16" t="s">
        <v>2212</v>
      </c>
    </row>
    <row r="623" spans="1:6" x14ac:dyDescent="0.25">
      <c r="A623" s="16" t="s">
        <v>2213</v>
      </c>
      <c r="B623" s="17" t="s">
        <v>2214</v>
      </c>
      <c r="C623" s="17" t="s">
        <v>11</v>
      </c>
      <c r="D623" s="17" t="s">
        <v>148</v>
      </c>
      <c r="E623" s="17" t="s">
        <v>20</v>
      </c>
      <c r="F623" s="16" t="s">
        <v>2215</v>
      </c>
    </row>
    <row r="624" spans="1:6" x14ac:dyDescent="0.25">
      <c r="A624" s="16" t="s">
        <v>2216</v>
      </c>
      <c r="B624" s="17" t="s">
        <v>2217</v>
      </c>
      <c r="C624" s="17" t="s">
        <v>11</v>
      </c>
      <c r="D624" s="17" t="s">
        <v>83</v>
      </c>
      <c r="E624" s="17" t="s">
        <v>20</v>
      </c>
      <c r="F624" s="16" t="s">
        <v>2218</v>
      </c>
    </row>
    <row r="625" spans="1:6" x14ac:dyDescent="0.25">
      <c r="A625" s="16" t="s">
        <v>2219</v>
      </c>
      <c r="B625" s="17" t="s">
        <v>2220</v>
      </c>
      <c r="C625" s="17" t="s">
        <v>11</v>
      </c>
      <c r="D625" s="17" t="s">
        <v>32</v>
      </c>
      <c r="E625" s="17" t="s">
        <v>20</v>
      </c>
      <c r="F625" s="16" t="s">
        <v>2221</v>
      </c>
    </row>
    <row r="626" spans="1:6" x14ac:dyDescent="0.25">
      <c r="A626" s="16" t="s">
        <v>2222</v>
      </c>
      <c r="B626" s="17" t="s">
        <v>2223</v>
      </c>
      <c r="C626" s="17" t="s">
        <v>11</v>
      </c>
      <c r="D626" s="17" t="s">
        <v>83</v>
      </c>
      <c r="E626" s="17" t="s">
        <v>20</v>
      </c>
      <c r="F626" s="16" t="s">
        <v>2224</v>
      </c>
    </row>
    <row r="627" spans="1:6" x14ac:dyDescent="0.25">
      <c r="A627" s="16" t="s">
        <v>2225</v>
      </c>
      <c r="B627" s="17" t="s">
        <v>2226</v>
      </c>
      <c r="C627" s="17" t="s">
        <v>11</v>
      </c>
      <c r="D627" s="17" t="s">
        <v>32</v>
      </c>
      <c r="E627" s="17" t="s">
        <v>20</v>
      </c>
      <c r="F627" s="16" t="s">
        <v>2227</v>
      </c>
    </row>
    <row r="628" spans="1:6" x14ac:dyDescent="0.25">
      <c r="A628" s="16" t="s">
        <v>2228</v>
      </c>
      <c r="B628" s="17" t="s">
        <v>2229</v>
      </c>
      <c r="C628" s="17" t="s">
        <v>11</v>
      </c>
      <c r="D628" s="17" t="s">
        <v>26</v>
      </c>
      <c r="E628" s="17" t="s">
        <v>20</v>
      </c>
      <c r="F628" s="16" t="s">
        <v>2230</v>
      </c>
    </row>
    <row r="629" spans="1:6" x14ac:dyDescent="0.25">
      <c r="A629" s="16" t="s">
        <v>2231</v>
      </c>
      <c r="B629" s="17" t="s">
        <v>2232</v>
      </c>
      <c r="C629" s="17" t="s">
        <v>11</v>
      </c>
      <c r="D629" s="17" t="s">
        <v>182</v>
      </c>
      <c r="E629" s="17" t="s">
        <v>20</v>
      </c>
      <c r="F629" s="16" t="s">
        <v>2233</v>
      </c>
    </row>
    <row r="630" spans="1:6" x14ac:dyDescent="0.25">
      <c r="A630" s="16" t="s">
        <v>2234</v>
      </c>
      <c r="B630" s="17" t="s">
        <v>2235</v>
      </c>
      <c r="C630" s="17" t="s">
        <v>11</v>
      </c>
      <c r="D630" s="17" t="s">
        <v>250</v>
      </c>
      <c r="E630" s="17" t="s">
        <v>20</v>
      </c>
      <c r="F630" s="16" t="s">
        <v>2236</v>
      </c>
    </row>
    <row r="631" spans="1:6" x14ac:dyDescent="0.25">
      <c r="A631" s="16" t="s">
        <v>2237</v>
      </c>
      <c r="B631" s="17" t="s">
        <v>2238</v>
      </c>
      <c r="C631" s="17" t="s">
        <v>11</v>
      </c>
      <c r="D631" s="17" t="s">
        <v>83</v>
      </c>
      <c r="E631" s="17" t="s">
        <v>20</v>
      </c>
      <c r="F631" s="16" t="s">
        <v>2239</v>
      </c>
    </row>
    <row r="632" spans="1:6" x14ac:dyDescent="0.25">
      <c r="A632" s="16" t="s">
        <v>2240</v>
      </c>
      <c r="B632" s="17" t="s">
        <v>2241</v>
      </c>
      <c r="C632" s="17" t="s">
        <v>11</v>
      </c>
      <c r="D632" s="17" t="s">
        <v>1402</v>
      </c>
      <c r="E632" s="17" t="s">
        <v>13</v>
      </c>
      <c r="F632" s="16" t="s">
        <v>2242</v>
      </c>
    </row>
    <row r="633" spans="1:6" x14ac:dyDescent="0.25">
      <c r="A633" s="16" t="s">
        <v>2243</v>
      </c>
      <c r="B633" s="17" t="s">
        <v>2244</v>
      </c>
      <c r="C633" s="17" t="s">
        <v>11</v>
      </c>
      <c r="D633" s="17" t="s">
        <v>32</v>
      </c>
      <c r="E633" s="17" t="s">
        <v>20</v>
      </c>
      <c r="F633" s="16" t="s">
        <v>2245</v>
      </c>
    </row>
    <row r="634" spans="1:6" x14ac:dyDescent="0.25">
      <c r="A634" s="16" t="s">
        <v>2246</v>
      </c>
      <c r="B634" s="17" t="s">
        <v>2247</v>
      </c>
      <c r="C634" s="17" t="s">
        <v>11</v>
      </c>
      <c r="D634" s="17" t="s">
        <v>89</v>
      </c>
      <c r="E634" s="17" t="s">
        <v>20</v>
      </c>
      <c r="F634" s="16" t="s">
        <v>2248</v>
      </c>
    </row>
    <row r="635" spans="1:6" x14ac:dyDescent="0.25">
      <c r="A635" s="16" t="s">
        <v>2249</v>
      </c>
      <c r="B635" s="17" t="s">
        <v>2250</v>
      </c>
      <c r="C635" s="17" t="s">
        <v>11</v>
      </c>
      <c r="D635" s="17" t="s">
        <v>32</v>
      </c>
      <c r="E635" s="17" t="s">
        <v>20</v>
      </c>
      <c r="F635" s="16" t="s">
        <v>2251</v>
      </c>
    </row>
    <row r="636" spans="1:6" x14ac:dyDescent="0.25">
      <c r="A636" s="16" t="s">
        <v>2252</v>
      </c>
      <c r="B636" s="17" t="s">
        <v>2253</v>
      </c>
      <c r="C636" s="17" t="s">
        <v>11</v>
      </c>
      <c r="D636" s="17" t="s">
        <v>83</v>
      </c>
      <c r="E636" s="17" t="s">
        <v>20</v>
      </c>
      <c r="F636" s="16" t="s">
        <v>2254</v>
      </c>
    </row>
    <row r="637" spans="1:6" x14ac:dyDescent="0.25">
      <c r="A637" s="16" t="s">
        <v>2255</v>
      </c>
      <c r="B637" s="17" t="s">
        <v>2256</v>
      </c>
      <c r="C637" s="17" t="s">
        <v>11</v>
      </c>
      <c r="D637" s="17" t="s">
        <v>148</v>
      </c>
      <c r="E637" s="17" t="s">
        <v>20</v>
      </c>
      <c r="F637" s="16" t="s">
        <v>2257</v>
      </c>
    </row>
    <row r="638" spans="1:6" x14ac:dyDescent="0.25">
      <c r="A638" s="16" t="s">
        <v>2258</v>
      </c>
      <c r="B638" s="17" t="s">
        <v>2259</v>
      </c>
      <c r="C638" s="17" t="s">
        <v>11</v>
      </c>
      <c r="D638" s="17" t="s">
        <v>670</v>
      </c>
      <c r="E638" s="17" t="s">
        <v>20</v>
      </c>
      <c r="F638" s="16" t="s">
        <v>2260</v>
      </c>
    </row>
    <row r="639" spans="1:6" x14ac:dyDescent="0.25">
      <c r="A639" s="16" t="s">
        <v>2261</v>
      </c>
      <c r="B639" s="17" t="s">
        <v>2262</v>
      </c>
      <c r="C639" s="17" t="s">
        <v>11</v>
      </c>
      <c r="D639" s="17" t="s">
        <v>32</v>
      </c>
      <c r="E639" s="17" t="s">
        <v>20</v>
      </c>
      <c r="F639" s="16" t="s">
        <v>2263</v>
      </c>
    </row>
    <row r="640" spans="1:6" x14ac:dyDescent="0.25">
      <c r="A640" s="16" t="s">
        <v>2264</v>
      </c>
      <c r="B640" s="17" t="s">
        <v>2265</v>
      </c>
      <c r="C640" s="17" t="s">
        <v>11</v>
      </c>
      <c r="D640" s="17" t="s">
        <v>32</v>
      </c>
      <c r="E640" s="17" t="s">
        <v>20</v>
      </c>
      <c r="F640" s="16" t="s">
        <v>2266</v>
      </c>
    </row>
    <row r="641" spans="1:6" x14ac:dyDescent="0.25">
      <c r="A641" s="16" t="s">
        <v>2267</v>
      </c>
      <c r="B641" s="17" t="s">
        <v>2268</v>
      </c>
      <c r="C641" s="17" t="s">
        <v>11</v>
      </c>
      <c r="D641" s="17" t="s">
        <v>32</v>
      </c>
      <c r="E641" s="17" t="s">
        <v>20</v>
      </c>
      <c r="F641" s="16" t="s">
        <v>2269</v>
      </c>
    </row>
    <row r="642" spans="1:6" x14ac:dyDescent="0.25">
      <c r="A642" s="16" t="s">
        <v>2270</v>
      </c>
      <c r="B642" s="17" t="s">
        <v>2271</v>
      </c>
      <c r="C642" s="17" t="s">
        <v>11</v>
      </c>
      <c r="D642" s="17" t="s">
        <v>80</v>
      </c>
      <c r="E642" s="17" t="s">
        <v>20</v>
      </c>
      <c r="F642" s="16" t="s">
        <v>2272</v>
      </c>
    </row>
    <row r="643" spans="1:6" x14ac:dyDescent="0.25">
      <c r="A643" s="16" t="s">
        <v>2273</v>
      </c>
      <c r="B643" s="17" t="s">
        <v>2274</v>
      </c>
      <c r="C643" s="17" t="s">
        <v>11</v>
      </c>
      <c r="D643" s="17" t="s">
        <v>12</v>
      </c>
      <c r="E643" s="17" t="s">
        <v>13</v>
      </c>
      <c r="F643" s="16" t="s">
        <v>2275</v>
      </c>
    </row>
    <row r="644" spans="1:6" x14ac:dyDescent="0.25">
      <c r="A644" s="16" t="s">
        <v>2276</v>
      </c>
      <c r="B644" s="17" t="s">
        <v>2277</v>
      </c>
      <c r="C644" s="17" t="s">
        <v>11</v>
      </c>
      <c r="D644" s="17" t="s">
        <v>80</v>
      </c>
      <c r="E644" s="17" t="s">
        <v>20</v>
      </c>
      <c r="F644" s="16" t="s">
        <v>2278</v>
      </c>
    </row>
    <row r="645" spans="1:6" x14ac:dyDescent="0.25">
      <c r="A645" s="16" t="s">
        <v>2279</v>
      </c>
      <c r="B645" s="17" t="s">
        <v>2280</v>
      </c>
      <c r="C645" s="17" t="s">
        <v>11</v>
      </c>
      <c r="D645" s="17" t="s">
        <v>12</v>
      </c>
      <c r="E645" s="17" t="s">
        <v>13</v>
      </c>
      <c r="F645" s="16" t="s">
        <v>2281</v>
      </c>
    </row>
    <row r="646" spans="1:6" x14ac:dyDescent="0.25">
      <c r="A646" s="16" t="s">
        <v>2282</v>
      </c>
      <c r="B646" s="17" t="s">
        <v>2283</v>
      </c>
      <c r="C646" s="17" t="s">
        <v>11</v>
      </c>
      <c r="D646" s="17" t="s">
        <v>12</v>
      </c>
      <c r="E646" s="17" t="s">
        <v>13</v>
      </c>
      <c r="F646" s="16" t="s">
        <v>2284</v>
      </c>
    </row>
    <row r="647" spans="1:6" x14ac:dyDescent="0.25">
      <c r="A647" s="16" t="s">
        <v>2285</v>
      </c>
      <c r="B647" s="17" t="s">
        <v>2286</v>
      </c>
      <c r="C647" s="17" t="s">
        <v>11</v>
      </c>
      <c r="D647" s="17" t="s">
        <v>12</v>
      </c>
      <c r="E647" s="17" t="s">
        <v>13</v>
      </c>
      <c r="F647" s="16" t="s">
        <v>2287</v>
      </c>
    </row>
    <row r="648" spans="1:6" x14ac:dyDescent="0.25">
      <c r="A648" s="16" t="s">
        <v>2288</v>
      </c>
      <c r="B648" s="17" t="s">
        <v>2289</v>
      </c>
      <c r="C648" s="17" t="s">
        <v>11</v>
      </c>
      <c r="D648" s="17" t="s">
        <v>59</v>
      </c>
      <c r="E648" s="17" t="s">
        <v>13</v>
      </c>
      <c r="F648" s="16" t="s">
        <v>2290</v>
      </c>
    </row>
    <row r="649" spans="1:6" x14ac:dyDescent="0.25">
      <c r="A649" s="16" t="s">
        <v>2291</v>
      </c>
      <c r="B649" s="17" t="s">
        <v>2292</v>
      </c>
      <c r="C649" s="17" t="s">
        <v>11</v>
      </c>
      <c r="D649" s="17" t="s">
        <v>12</v>
      </c>
      <c r="E649" s="17" t="s">
        <v>13</v>
      </c>
      <c r="F649" s="16" t="s">
        <v>2293</v>
      </c>
    </row>
    <row r="650" spans="1:6" x14ac:dyDescent="0.25">
      <c r="A650" s="16" t="s">
        <v>2294</v>
      </c>
      <c r="B650" s="17" t="s">
        <v>2295</v>
      </c>
      <c r="C650" s="17" t="s">
        <v>11</v>
      </c>
      <c r="D650" s="17" t="s">
        <v>59</v>
      </c>
      <c r="E650" s="17" t="s">
        <v>13</v>
      </c>
      <c r="F650" s="16" t="s">
        <v>2296</v>
      </c>
    </row>
    <row r="651" spans="1:6" x14ac:dyDescent="0.25">
      <c r="A651" s="16" t="s">
        <v>2297</v>
      </c>
      <c r="B651" s="17" t="s">
        <v>2298</v>
      </c>
      <c r="C651" s="17" t="s">
        <v>11</v>
      </c>
      <c r="D651" s="17" t="s">
        <v>12</v>
      </c>
      <c r="E651" s="17" t="s">
        <v>13</v>
      </c>
      <c r="F651" s="16" t="s">
        <v>2299</v>
      </c>
    </row>
    <row r="652" spans="1:6" x14ac:dyDescent="0.25">
      <c r="A652" s="16" t="s">
        <v>2300</v>
      </c>
      <c r="B652" s="17" t="s">
        <v>2301</v>
      </c>
      <c r="C652" s="17" t="s">
        <v>11</v>
      </c>
      <c r="D652" s="17" t="s">
        <v>12</v>
      </c>
      <c r="E652" s="17" t="s">
        <v>13</v>
      </c>
      <c r="F652" s="16" t="s">
        <v>2302</v>
      </c>
    </row>
    <row r="653" spans="1:6" x14ac:dyDescent="0.25">
      <c r="A653" s="16" t="s">
        <v>2303</v>
      </c>
      <c r="B653" s="17" t="s">
        <v>2304</v>
      </c>
      <c r="C653" s="17" t="s">
        <v>11</v>
      </c>
      <c r="D653" s="17" t="s">
        <v>12</v>
      </c>
      <c r="E653" s="17" t="s">
        <v>13</v>
      </c>
      <c r="F653" s="16" t="s">
        <v>2305</v>
      </c>
    </row>
    <row r="654" spans="1:6" x14ac:dyDescent="0.25">
      <c r="A654" s="16" t="s">
        <v>2306</v>
      </c>
      <c r="B654" s="17" t="s">
        <v>2307</v>
      </c>
      <c r="C654" s="17" t="s">
        <v>11</v>
      </c>
      <c r="D654" s="17" t="s">
        <v>89</v>
      </c>
      <c r="E654" s="17" t="s">
        <v>20</v>
      </c>
      <c r="F654" s="16" t="s">
        <v>2308</v>
      </c>
    </row>
    <row r="655" spans="1:6" x14ac:dyDescent="0.25">
      <c r="A655" s="16" t="s">
        <v>2309</v>
      </c>
      <c r="B655" s="17" t="s">
        <v>2310</v>
      </c>
      <c r="C655" s="17" t="s">
        <v>11</v>
      </c>
      <c r="D655" s="17" t="s">
        <v>12</v>
      </c>
      <c r="E655" s="17" t="s">
        <v>13</v>
      </c>
      <c r="F655" s="16" t="s">
        <v>2311</v>
      </c>
    </row>
    <row r="656" spans="1:6" x14ac:dyDescent="0.25">
      <c r="A656" s="16" t="s">
        <v>2312</v>
      </c>
      <c r="B656" s="17" t="s">
        <v>2313</v>
      </c>
      <c r="C656" s="17" t="s">
        <v>11</v>
      </c>
      <c r="D656" s="17" t="s">
        <v>59</v>
      </c>
      <c r="E656" s="17" t="s">
        <v>13</v>
      </c>
      <c r="F656" s="16" t="s">
        <v>2314</v>
      </c>
    </row>
    <row r="657" spans="1:6" x14ac:dyDescent="0.25">
      <c r="A657" s="16" t="s">
        <v>2315</v>
      </c>
      <c r="B657" s="17" t="s">
        <v>2316</v>
      </c>
      <c r="C657" s="17" t="s">
        <v>11</v>
      </c>
      <c r="D657" s="17" t="s">
        <v>12</v>
      </c>
      <c r="E657" s="17" t="s">
        <v>13</v>
      </c>
      <c r="F657" s="16" t="s">
        <v>2317</v>
      </c>
    </row>
    <row r="658" spans="1:6" x14ac:dyDescent="0.25">
      <c r="A658" s="16" t="s">
        <v>2318</v>
      </c>
      <c r="B658" s="17" t="s">
        <v>2319</v>
      </c>
      <c r="C658" s="17" t="s">
        <v>11</v>
      </c>
      <c r="D658" s="17" t="s">
        <v>2320</v>
      </c>
      <c r="E658" s="17" t="s">
        <v>13</v>
      </c>
      <c r="F658" s="16" t="s">
        <v>2321</v>
      </c>
    </row>
    <row r="659" spans="1:6" x14ac:dyDescent="0.25">
      <c r="A659" s="16" t="s">
        <v>2322</v>
      </c>
      <c r="B659" s="17" t="s">
        <v>2323</v>
      </c>
      <c r="C659" s="17" t="s">
        <v>11</v>
      </c>
      <c r="D659" s="17" t="s">
        <v>12</v>
      </c>
      <c r="E659" s="17" t="s">
        <v>13</v>
      </c>
      <c r="F659" s="16" t="s">
        <v>2324</v>
      </c>
    </row>
    <row r="660" spans="1:6" x14ac:dyDescent="0.25">
      <c r="A660" s="16" t="s">
        <v>2325</v>
      </c>
      <c r="B660" s="17" t="s">
        <v>2326</v>
      </c>
      <c r="C660" s="17" t="s">
        <v>11</v>
      </c>
      <c r="D660" s="17" t="s">
        <v>32</v>
      </c>
      <c r="E660" s="17" t="s">
        <v>20</v>
      </c>
      <c r="F660" s="16" t="s">
        <v>2327</v>
      </c>
    </row>
    <row r="661" spans="1:6" x14ac:dyDescent="0.25">
      <c r="A661" s="16" t="s">
        <v>2328</v>
      </c>
      <c r="B661" s="17" t="s">
        <v>2329</v>
      </c>
      <c r="C661" s="17" t="s">
        <v>11</v>
      </c>
      <c r="D661" s="17" t="s">
        <v>12</v>
      </c>
      <c r="E661" s="17" t="s">
        <v>13</v>
      </c>
      <c r="F661" s="16" t="s">
        <v>2330</v>
      </c>
    </row>
    <row r="662" spans="1:6" x14ac:dyDescent="0.25">
      <c r="A662" s="16" t="s">
        <v>2331</v>
      </c>
      <c r="B662" s="17" t="s">
        <v>2332</v>
      </c>
      <c r="C662" s="17" t="s">
        <v>11</v>
      </c>
      <c r="D662" s="17" t="s">
        <v>182</v>
      </c>
      <c r="E662" s="17" t="s">
        <v>20</v>
      </c>
      <c r="F662" s="16" t="s">
        <v>2333</v>
      </c>
    </row>
    <row r="663" spans="1:6" x14ac:dyDescent="0.25">
      <c r="A663" s="16" t="s">
        <v>2334</v>
      </c>
      <c r="B663" s="17" t="s">
        <v>2335</v>
      </c>
      <c r="C663" s="17" t="s">
        <v>11</v>
      </c>
      <c r="D663" s="17" t="s">
        <v>182</v>
      </c>
      <c r="E663" s="17" t="s">
        <v>20</v>
      </c>
      <c r="F663" s="16" t="s">
        <v>2336</v>
      </c>
    </row>
    <row r="664" spans="1:6" x14ac:dyDescent="0.25">
      <c r="A664" s="16" t="s">
        <v>2337</v>
      </c>
      <c r="B664" s="17" t="s">
        <v>2338</v>
      </c>
      <c r="C664" s="17" t="s">
        <v>11</v>
      </c>
      <c r="D664" s="17" t="s">
        <v>12</v>
      </c>
      <c r="E664" s="17" t="s">
        <v>13</v>
      </c>
      <c r="F664" s="16" t="s">
        <v>2339</v>
      </c>
    </row>
    <row r="665" spans="1:6" x14ac:dyDescent="0.25">
      <c r="A665" s="16" t="s">
        <v>2340</v>
      </c>
      <c r="B665" s="17" t="s">
        <v>2341</v>
      </c>
      <c r="C665" s="17" t="s">
        <v>11</v>
      </c>
      <c r="D665" s="17" t="s">
        <v>80</v>
      </c>
      <c r="E665" s="17" t="s">
        <v>20</v>
      </c>
      <c r="F665" s="16" t="s">
        <v>2342</v>
      </c>
    </row>
    <row r="666" spans="1:6" x14ac:dyDescent="0.25">
      <c r="A666" s="16" t="s">
        <v>2343</v>
      </c>
      <c r="B666" s="17" t="s">
        <v>2344</v>
      </c>
      <c r="C666" s="17" t="s">
        <v>11</v>
      </c>
      <c r="D666" s="17" t="s">
        <v>12</v>
      </c>
      <c r="E666" s="17" t="s">
        <v>13</v>
      </c>
      <c r="F666" s="16" t="s">
        <v>2345</v>
      </c>
    </row>
    <row r="667" spans="1:6" x14ac:dyDescent="0.25">
      <c r="A667" s="16" t="s">
        <v>2346</v>
      </c>
      <c r="B667" s="17" t="s">
        <v>2347</v>
      </c>
      <c r="C667" s="17" t="s">
        <v>11</v>
      </c>
      <c r="D667" s="17" t="s">
        <v>12</v>
      </c>
      <c r="E667" s="17" t="s">
        <v>13</v>
      </c>
      <c r="F667" s="16" t="s">
        <v>2348</v>
      </c>
    </row>
    <row r="668" spans="1:6" x14ac:dyDescent="0.25">
      <c r="A668" s="16" t="s">
        <v>2349</v>
      </c>
      <c r="B668" s="17" t="s">
        <v>2350</v>
      </c>
      <c r="C668" s="17" t="s">
        <v>11</v>
      </c>
      <c r="D668" s="17" t="s">
        <v>12</v>
      </c>
      <c r="E668" s="17" t="s">
        <v>13</v>
      </c>
      <c r="F668" s="16" t="s">
        <v>2351</v>
      </c>
    </row>
    <row r="669" spans="1:6" x14ac:dyDescent="0.25">
      <c r="A669" s="16" t="s">
        <v>2352</v>
      </c>
      <c r="B669" s="17" t="s">
        <v>2353</v>
      </c>
      <c r="C669" s="17" t="s">
        <v>11</v>
      </c>
      <c r="D669" s="17" t="s">
        <v>250</v>
      </c>
      <c r="E669" s="17" t="s">
        <v>20</v>
      </c>
      <c r="F669" s="16" t="s">
        <v>2354</v>
      </c>
    </row>
    <row r="670" spans="1:6" x14ac:dyDescent="0.25">
      <c r="A670" s="16" t="s">
        <v>2355</v>
      </c>
      <c r="B670" s="17" t="s">
        <v>2356</v>
      </c>
      <c r="C670" s="17" t="s">
        <v>11</v>
      </c>
      <c r="D670" s="17" t="s">
        <v>12</v>
      </c>
      <c r="E670" s="17" t="s">
        <v>13</v>
      </c>
      <c r="F670" s="16" t="s">
        <v>2357</v>
      </c>
    </row>
    <row r="671" spans="1:6" x14ac:dyDescent="0.25">
      <c r="A671" s="16" t="s">
        <v>2358</v>
      </c>
      <c r="B671" s="17" t="s">
        <v>2359</v>
      </c>
      <c r="C671" s="17" t="s">
        <v>11</v>
      </c>
      <c r="D671" s="17" t="s">
        <v>12</v>
      </c>
      <c r="E671" s="17" t="s">
        <v>13</v>
      </c>
      <c r="F671" s="16" t="s">
        <v>2360</v>
      </c>
    </row>
    <row r="672" spans="1:6" x14ac:dyDescent="0.25">
      <c r="A672" s="16" t="s">
        <v>2361</v>
      </c>
      <c r="B672" s="17" t="s">
        <v>2362</v>
      </c>
      <c r="C672" s="17" t="s">
        <v>11</v>
      </c>
      <c r="D672" s="17" t="s">
        <v>12</v>
      </c>
      <c r="E672" s="17" t="s">
        <v>13</v>
      </c>
      <c r="F672" s="16" t="s">
        <v>2363</v>
      </c>
    </row>
    <row r="673" spans="1:6" x14ac:dyDescent="0.25">
      <c r="A673" s="16" t="s">
        <v>2364</v>
      </c>
      <c r="B673" s="17" t="s">
        <v>2365</v>
      </c>
      <c r="C673" s="17" t="s">
        <v>11</v>
      </c>
      <c r="D673" s="17" t="s">
        <v>12</v>
      </c>
      <c r="E673" s="17" t="s">
        <v>13</v>
      </c>
      <c r="F673" s="16" t="s">
        <v>2366</v>
      </c>
    </row>
    <row r="674" spans="1:6" x14ac:dyDescent="0.25">
      <c r="A674" s="16" t="s">
        <v>2367</v>
      </c>
      <c r="B674" s="17" t="s">
        <v>2368</v>
      </c>
      <c r="C674" s="17" t="s">
        <v>11</v>
      </c>
      <c r="D674" s="17" t="s">
        <v>12</v>
      </c>
      <c r="E674" s="17" t="s">
        <v>13</v>
      </c>
      <c r="F674" s="16" t="s">
        <v>2369</v>
      </c>
    </row>
    <row r="675" spans="1:6" x14ac:dyDescent="0.25">
      <c r="A675" s="16" t="s">
        <v>2370</v>
      </c>
      <c r="B675" s="17" t="s">
        <v>2371</v>
      </c>
      <c r="C675" s="17" t="s">
        <v>11</v>
      </c>
      <c r="D675" s="17" t="s">
        <v>12</v>
      </c>
      <c r="E675" s="17" t="s">
        <v>13</v>
      </c>
      <c r="F675" s="16" t="s">
        <v>2372</v>
      </c>
    </row>
    <row r="676" spans="1:6" x14ac:dyDescent="0.25">
      <c r="A676" s="16" t="s">
        <v>2373</v>
      </c>
      <c r="B676" s="17" t="s">
        <v>2374</v>
      </c>
      <c r="C676" s="17" t="s">
        <v>11</v>
      </c>
      <c r="D676" s="17" t="s">
        <v>12</v>
      </c>
      <c r="E676" s="17" t="s">
        <v>13</v>
      </c>
      <c r="F676" s="16" t="s">
        <v>2375</v>
      </c>
    </row>
    <row r="677" spans="1:6" x14ac:dyDescent="0.25">
      <c r="A677" s="16" t="s">
        <v>2376</v>
      </c>
      <c r="B677" s="17" t="s">
        <v>2377</v>
      </c>
      <c r="C677" s="17" t="s">
        <v>11</v>
      </c>
      <c r="D677" s="17" t="s">
        <v>12</v>
      </c>
      <c r="E677" s="17" t="s">
        <v>13</v>
      </c>
      <c r="F677" s="16" t="s">
        <v>2378</v>
      </c>
    </row>
    <row r="678" spans="1:6" x14ac:dyDescent="0.25">
      <c r="A678" s="16" t="s">
        <v>2379</v>
      </c>
      <c r="B678" s="17" t="s">
        <v>2380</v>
      </c>
      <c r="C678" s="17" t="s">
        <v>11</v>
      </c>
      <c r="D678" s="17" t="s">
        <v>12</v>
      </c>
      <c r="E678" s="17" t="s">
        <v>13</v>
      </c>
      <c r="F678" s="16" t="s">
        <v>2381</v>
      </c>
    </row>
    <row r="679" spans="1:6" x14ac:dyDescent="0.25">
      <c r="A679" s="16" t="s">
        <v>2382</v>
      </c>
      <c r="B679" s="17" t="s">
        <v>2383</v>
      </c>
      <c r="C679" s="17" t="s">
        <v>11</v>
      </c>
      <c r="D679" s="17" t="s">
        <v>32</v>
      </c>
      <c r="E679" s="17" t="s">
        <v>20</v>
      </c>
      <c r="F679" s="16" t="s">
        <v>2384</v>
      </c>
    </row>
    <row r="680" spans="1:6" x14ac:dyDescent="0.25">
      <c r="A680" s="16" t="s">
        <v>2385</v>
      </c>
      <c r="B680" s="17" t="s">
        <v>2386</v>
      </c>
      <c r="C680" s="17" t="s">
        <v>11</v>
      </c>
      <c r="D680" s="17" t="s">
        <v>32</v>
      </c>
      <c r="E680" s="17" t="s">
        <v>20</v>
      </c>
      <c r="F680" s="16" t="s">
        <v>2387</v>
      </c>
    </row>
    <row r="681" spans="1:6" x14ac:dyDescent="0.25">
      <c r="A681" s="16" t="s">
        <v>2388</v>
      </c>
      <c r="B681" s="17" t="s">
        <v>2389</v>
      </c>
      <c r="C681" s="17" t="s">
        <v>11</v>
      </c>
      <c r="D681" s="17" t="s">
        <v>250</v>
      </c>
      <c r="E681" s="17" t="s">
        <v>20</v>
      </c>
      <c r="F681" s="16" t="s">
        <v>2390</v>
      </c>
    </row>
    <row r="682" spans="1:6" x14ac:dyDescent="0.25">
      <c r="A682" s="16" t="s">
        <v>2391</v>
      </c>
      <c r="B682" s="17" t="s">
        <v>2392</v>
      </c>
      <c r="C682" s="17" t="s">
        <v>11</v>
      </c>
      <c r="D682" s="17" t="s">
        <v>12</v>
      </c>
      <c r="E682" s="17" t="s">
        <v>13</v>
      </c>
      <c r="F682" s="16" t="s">
        <v>2393</v>
      </c>
    </row>
    <row r="683" spans="1:6" x14ac:dyDescent="0.25">
      <c r="A683" s="16" t="s">
        <v>2394</v>
      </c>
      <c r="B683" s="17" t="s">
        <v>2395</v>
      </c>
      <c r="C683" s="17" t="s">
        <v>11</v>
      </c>
      <c r="D683" s="17" t="s">
        <v>32</v>
      </c>
      <c r="E683" s="17" t="s">
        <v>20</v>
      </c>
      <c r="F683" s="16" t="s">
        <v>2396</v>
      </c>
    </row>
    <row r="684" spans="1:6" x14ac:dyDescent="0.25">
      <c r="A684" s="16" t="s">
        <v>2397</v>
      </c>
      <c r="B684" s="17" t="s">
        <v>2398</v>
      </c>
      <c r="C684" s="17" t="s">
        <v>11</v>
      </c>
      <c r="D684" s="17" t="s">
        <v>12</v>
      </c>
      <c r="E684" s="17" t="s">
        <v>13</v>
      </c>
      <c r="F684" s="16" t="s">
        <v>2399</v>
      </c>
    </row>
    <row r="685" spans="1:6" x14ac:dyDescent="0.25">
      <c r="A685" s="16" t="s">
        <v>2400</v>
      </c>
      <c r="B685" s="17" t="s">
        <v>2401</v>
      </c>
      <c r="C685" s="17" t="s">
        <v>11</v>
      </c>
      <c r="D685" s="17" t="s">
        <v>12</v>
      </c>
      <c r="E685" s="17" t="s">
        <v>13</v>
      </c>
      <c r="F685" s="16" t="s">
        <v>2402</v>
      </c>
    </row>
    <row r="686" spans="1:6" x14ac:dyDescent="0.25">
      <c r="A686" s="16" t="s">
        <v>2403</v>
      </c>
      <c r="B686" s="17" t="s">
        <v>2404</v>
      </c>
      <c r="C686" s="17" t="s">
        <v>11</v>
      </c>
      <c r="D686" s="17" t="s">
        <v>32</v>
      </c>
      <c r="E686" s="17" t="s">
        <v>20</v>
      </c>
      <c r="F686" s="16" t="s">
        <v>2405</v>
      </c>
    </row>
    <row r="687" spans="1:6" x14ac:dyDescent="0.25">
      <c r="A687" s="16" t="s">
        <v>2406</v>
      </c>
      <c r="B687" s="17" t="s">
        <v>2407</v>
      </c>
      <c r="C687" s="17" t="s">
        <v>11</v>
      </c>
      <c r="D687" s="17" t="s">
        <v>12</v>
      </c>
      <c r="E687" s="17" t="s">
        <v>13</v>
      </c>
      <c r="F687" s="16" t="s">
        <v>2408</v>
      </c>
    </row>
    <row r="688" spans="1:6" x14ac:dyDescent="0.25">
      <c r="A688" s="16" t="s">
        <v>2409</v>
      </c>
      <c r="B688" s="17" t="s">
        <v>2410</v>
      </c>
      <c r="C688" s="17" t="s">
        <v>11</v>
      </c>
      <c r="D688" s="17" t="s">
        <v>32</v>
      </c>
      <c r="E688" s="17" t="s">
        <v>20</v>
      </c>
      <c r="F688" s="16" t="s">
        <v>2411</v>
      </c>
    </row>
    <row r="689" spans="1:6" x14ac:dyDescent="0.25">
      <c r="A689" s="16" t="s">
        <v>2412</v>
      </c>
      <c r="B689" s="17" t="s">
        <v>2413</v>
      </c>
      <c r="C689" s="17" t="s">
        <v>11</v>
      </c>
      <c r="D689" s="17" t="s">
        <v>186</v>
      </c>
      <c r="E689" s="17" t="s">
        <v>20</v>
      </c>
      <c r="F689" s="16" t="s">
        <v>2414</v>
      </c>
    </row>
    <row r="690" spans="1:6" x14ac:dyDescent="0.25">
      <c r="A690" s="16" t="s">
        <v>2415</v>
      </c>
      <c r="B690" s="17" t="s">
        <v>2416</v>
      </c>
      <c r="C690" s="17" t="s">
        <v>11</v>
      </c>
      <c r="D690" s="17" t="s">
        <v>12</v>
      </c>
      <c r="E690" s="17" t="s">
        <v>13</v>
      </c>
      <c r="F690" s="16" t="s">
        <v>2417</v>
      </c>
    </row>
    <row r="691" spans="1:6" x14ac:dyDescent="0.25">
      <c r="A691" s="16" t="s">
        <v>2418</v>
      </c>
      <c r="B691" s="17" t="s">
        <v>2419</v>
      </c>
      <c r="C691" s="17" t="s">
        <v>11</v>
      </c>
      <c r="D691" s="17" t="s">
        <v>12</v>
      </c>
      <c r="E691" s="17" t="s">
        <v>13</v>
      </c>
      <c r="F691" s="16" t="s">
        <v>2420</v>
      </c>
    </row>
    <row r="692" spans="1:6" x14ac:dyDescent="0.25">
      <c r="A692" s="16" t="s">
        <v>2421</v>
      </c>
      <c r="B692" s="17" t="s">
        <v>2422</v>
      </c>
      <c r="C692" s="17" t="s">
        <v>11</v>
      </c>
      <c r="D692" s="17" t="s">
        <v>12</v>
      </c>
      <c r="E692" s="17" t="s">
        <v>13</v>
      </c>
      <c r="F692" s="16" t="s">
        <v>2423</v>
      </c>
    </row>
    <row r="693" spans="1:6" x14ac:dyDescent="0.25">
      <c r="A693" s="16" t="s">
        <v>2424</v>
      </c>
      <c r="B693" s="17" t="s">
        <v>2425</v>
      </c>
      <c r="C693" s="17" t="s">
        <v>11</v>
      </c>
      <c r="D693" s="17" t="s">
        <v>12</v>
      </c>
      <c r="E693" s="17" t="s">
        <v>13</v>
      </c>
      <c r="F693" s="16" t="s">
        <v>2426</v>
      </c>
    </row>
    <row r="694" spans="1:6" x14ac:dyDescent="0.25">
      <c r="A694" s="16" t="s">
        <v>2427</v>
      </c>
      <c r="B694" s="17" t="s">
        <v>2428</v>
      </c>
      <c r="C694" s="17" t="s">
        <v>11</v>
      </c>
      <c r="D694" s="17" t="s">
        <v>12</v>
      </c>
      <c r="E694" s="17" t="s">
        <v>13</v>
      </c>
      <c r="F694" s="16" t="s">
        <v>2429</v>
      </c>
    </row>
    <row r="695" spans="1:6" x14ac:dyDescent="0.25">
      <c r="A695" s="16" t="s">
        <v>2430</v>
      </c>
      <c r="B695" s="17" t="s">
        <v>2431</v>
      </c>
      <c r="C695" s="17" t="s">
        <v>11</v>
      </c>
      <c r="D695" s="17" t="s">
        <v>59</v>
      </c>
      <c r="E695" s="17" t="s">
        <v>13</v>
      </c>
      <c r="F695" s="16" t="s">
        <v>2432</v>
      </c>
    </row>
    <row r="696" spans="1:6" x14ac:dyDescent="0.25">
      <c r="A696" s="16" t="s">
        <v>2433</v>
      </c>
      <c r="B696" s="17" t="s">
        <v>2434</v>
      </c>
      <c r="C696" s="17" t="s">
        <v>11</v>
      </c>
      <c r="D696" s="17" t="s">
        <v>32</v>
      </c>
      <c r="E696" s="17" t="s">
        <v>20</v>
      </c>
      <c r="F696" s="16" t="s">
        <v>2435</v>
      </c>
    </row>
    <row r="697" spans="1:6" x14ac:dyDescent="0.25">
      <c r="A697" s="16" t="s">
        <v>2436</v>
      </c>
      <c r="B697" s="17" t="s">
        <v>2437</v>
      </c>
      <c r="C697" s="17" t="s">
        <v>11</v>
      </c>
      <c r="D697" s="17" t="s">
        <v>250</v>
      </c>
      <c r="E697" s="17" t="s">
        <v>20</v>
      </c>
      <c r="F697" s="16" t="s">
        <v>2438</v>
      </c>
    </row>
    <row r="698" spans="1:6" x14ac:dyDescent="0.25">
      <c r="A698" s="16" t="s">
        <v>2439</v>
      </c>
      <c r="B698" s="17" t="s">
        <v>2440</v>
      </c>
      <c r="C698" s="17" t="s">
        <v>11</v>
      </c>
      <c r="D698" s="17" t="s">
        <v>59</v>
      </c>
      <c r="E698" s="17" t="s">
        <v>13</v>
      </c>
      <c r="F698" s="16" t="s">
        <v>2441</v>
      </c>
    </row>
    <row r="699" spans="1:6" x14ac:dyDescent="0.25">
      <c r="A699" s="16" t="s">
        <v>2442</v>
      </c>
      <c r="B699" s="17" t="s">
        <v>2443</v>
      </c>
      <c r="C699" s="17" t="s">
        <v>11</v>
      </c>
      <c r="D699" s="17" t="s">
        <v>12</v>
      </c>
      <c r="E699" s="17" t="s">
        <v>13</v>
      </c>
      <c r="F699" s="16" t="s">
        <v>2444</v>
      </c>
    </row>
    <row r="700" spans="1:6" x14ac:dyDescent="0.25">
      <c r="A700" s="16" t="s">
        <v>2445</v>
      </c>
      <c r="B700" s="17" t="s">
        <v>2446</v>
      </c>
      <c r="C700" s="17" t="s">
        <v>11</v>
      </c>
      <c r="D700" s="17" t="s">
        <v>12</v>
      </c>
      <c r="E700" s="17" t="s">
        <v>13</v>
      </c>
      <c r="F700" s="16" t="s">
        <v>2447</v>
      </c>
    </row>
    <row r="701" spans="1:6" x14ac:dyDescent="0.25">
      <c r="A701" s="16" t="s">
        <v>2448</v>
      </c>
      <c r="B701" s="17" t="s">
        <v>2449</v>
      </c>
      <c r="C701" s="17" t="s">
        <v>11</v>
      </c>
      <c r="D701" s="17" t="s">
        <v>12</v>
      </c>
      <c r="E701" s="17" t="s">
        <v>13</v>
      </c>
      <c r="F701" s="16" t="s">
        <v>2450</v>
      </c>
    </row>
    <row r="702" spans="1:6" x14ac:dyDescent="0.25">
      <c r="A702" s="16" t="s">
        <v>2451</v>
      </c>
      <c r="B702" s="17" t="s">
        <v>2452</v>
      </c>
      <c r="C702" s="17" t="s">
        <v>11</v>
      </c>
      <c r="D702" s="17" t="s">
        <v>59</v>
      </c>
      <c r="E702" s="17" t="s">
        <v>13</v>
      </c>
      <c r="F702" s="16" t="s">
        <v>2453</v>
      </c>
    </row>
    <row r="703" spans="1:6" x14ac:dyDescent="0.25">
      <c r="A703" s="16" t="s">
        <v>2454</v>
      </c>
      <c r="B703" s="17" t="s">
        <v>2455</v>
      </c>
      <c r="C703" s="17" t="s">
        <v>11</v>
      </c>
      <c r="D703" s="17" t="s">
        <v>12</v>
      </c>
      <c r="E703" s="17" t="s">
        <v>13</v>
      </c>
      <c r="F703" s="16" t="s">
        <v>2456</v>
      </c>
    </row>
    <row r="704" spans="1:6" x14ac:dyDescent="0.25">
      <c r="A704" s="16" t="s">
        <v>2457</v>
      </c>
      <c r="B704" s="17" t="s">
        <v>2458</v>
      </c>
      <c r="C704" s="17" t="s">
        <v>11</v>
      </c>
      <c r="D704" s="17" t="s">
        <v>12</v>
      </c>
      <c r="E704" s="17" t="s">
        <v>13</v>
      </c>
      <c r="F704" s="16" t="s">
        <v>2459</v>
      </c>
    </row>
    <row r="705" spans="1:6" x14ac:dyDescent="0.25">
      <c r="A705" s="16" t="s">
        <v>2460</v>
      </c>
      <c r="B705" s="17" t="s">
        <v>2461</v>
      </c>
      <c r="C705" s="17" t="s">
        <v>11</v>
      </c>
      <c r="D705" s="17" t="s">
        <v>32</v>
      </c>
      <c r="E705" s="17" t="s">
        <v>20</v>
      </c>
      <c r="F705" s="16" t="s">
        <v>2462</v>
      </c>
    </row>
    <row r="706" spans="1:6" x14ac:dyDescent="0.25">
      <c r="A706" s="16" t="s">
        <v>2463</v>
      </c>
      <c r="B706" s="17" t="s">
        <v>2464</v>
      </c>
      <c r="C706" s="17" t="s">
        <v>11</v>
      </c>
      <c r="D706" s="17" t="s">
        <v>32</v>
      </c>
      <c r="E706" s="17" t="s">
        <v>20</v>
      </c>
      <c r="F706" s="16" t="s">
        <v>2465</v>
      </c>
    </row>
    <row r="707" spans="1:6" x14ac:dyDescent="0.25">
      <c r="A707" s="16" t="s">
        <v>2466</v>
      </c>
      <c r="B707" s="17" t="s">
        <v>2467</v>
      </c>
      <c r="C707" s="17" t="s">
        <v>11</v>
      </c>
      <c r="D707" s="17" t="s">
        <v>12</v>
      </c>
      <c r="E707" s="17" t="s">
        <v>13</v>
      </c>
      <c r="F707" s="16" t="s">
        <v>2468</v>
      </c>
    </row>
    <row r="708" spans="1:6" x14ac:dyDescent="0.25">
      <c r="A708" s="16" t="s">
        <v>2469</v>
      </c>
      <c r="B708" s="17" t="s">
        <v>2470</v>
      </c>
      <c r="C708" s="17" t="s">
        <v>11</v>
      </c>
      <c r="D708" s="17" t="s">
        <v>80</v>
      </c>
      <c r="E708" s="17" t="s">
        <v>20</v>
      </c>
      <c r="F708" s="16" t="s">
        <v>2471</v>
      </c>
    </row>
    <row r="709" spans="1:6" x14ac:dyDescent="0.25">
      <c r="A709" s="16" t="s">
        <v>2472</v>
      </c>
      <c r="B709" s="17" t="s">
        <v>2473</v>
      </c>
      <c r="C709" s="17" t="s">
        <v>11</v>
      </c>
      <c r="D709" s="17" t="s">
        <v>12</v>
      </c>
      <c r="E709" s="17" t="s">
        <v>13</v>
      </c>
      <c r="F709" s="16" t="s">
        <v>2474</v>
      </c>
    </row>
    <row r="710" spans="1:6" x14ac:dyDescent="0.25">
      <c r="A710" s="16" t="s">
        <v>2475</v>
      </c>
      <c r="B710" s="17" t="s">
        <v>2476</v>
      </c>
      <c r="C710" s="17" t="s">
        <v>11</v>
      </c>
      <c r="D710" s="17" t="s">
        <v>12</v>
      </c>
      <c r="E710" s="17" t="s">
        <v>13</v>
      </c>
      <c r="F710" s="16" t="s">
        <v>2477</v>
      </c>
    </row>
    <row r="711" spans="1:6" x14ac:dyDescent="0.25">
      <c r="A711" s="16" t="s">
        <v>2478</v>
      </c>
      <c r="B711" s="17" t="s">
        <v>2479</v>
      </c>
      <c r="C711" s="17" t="s">
        <v>11</v>
      </c>
      <c r="D711" s="17" t="s">
        <v>32</v>
      </c>
      <c r="E711" s="17" t="s">
        <v>20</v>
      </c>
      <c r="F711" s="16" t="s">
        <v>2480</v>
      </c>
    </row>
    <row r="712" spans="1:6" x14ac:dyDescent="0.25">
      <c r="A712" s="16" t="s">
        <v>2481</v>
      </c>
      <c r="B712" s="17" t="s">
        <v>2482</v>
      </c>
      <c r="C712" s="17" t="s">
        <v>11</v>
      </c>
      <c r="D712" s="17" t="s">
        <v>12</v>
      </c>
      <c r="E712" s="17" t="s">
        <v>13</v>
      </c>
      <c r="F712" s="16" t="s">
        <v>2483</v>
      </c>
    </row>
    <row r="713" spans="1:6" x14ac:dyDescent="0.25">
      <c r="A713" s="16" t="s">
        <v>2484</v>
      </c>
      <c r="B713" s="17" t="s">
        <v>2485</v>
      </c>
      <c r="C713" s="17" t="s">
        <v>11</v>
      </c>
      <c r="D713" s="17" t="s">
        <v>12</v>
      </c>
      <c r="E713" s="17" t="s">
        <v>13</v>
      </c>
      <c r="F713" s="16" t="s">
        <v>2486</v>
      </c>
    </row>
    <row r="714" spans="1:6" x14ac:dyDescent="0.25">
      <c r="A714" s="16" t="s">
        <v>2487</v>
      </c>
      <c r="B714" s="17" t="s">
        <v>2488</v>
      </c>
      <c r="C714" s="17" t="s">
        <v>11</v>
      </c>
      <c r="D714" s="17" t="s">
        <v>12</v>
      </c>
      <c r="E714" s="17" t="s">
        <v>13</v>
      </c>
      <c r="F714" s="16" t="s">
        <v>2489</v>
      </c>
    </row>
    <row r="715" spans="1:6" x14ac:dyDescent="0.25">
      <c r="A715" s="16" t="s">
        <v>2490</v>
      </c>
      <c r="B715" s="17" t="s">
        <v>2491</v>
      </c>
      <c r="C715" s="17" t="s">
        <v>11</v>
      </c>
      <c r="D715" s="17" t="s">
        <v>59</v>
      </c>
      <c r="E715" s="17" t="s">
        <v>13</v>
      </c>
      <c r="F715" s="16" t="s">
        <v>2492</v>
      </c>
    </row>
    <row r="716" spans="1:6" x14ac:dyDescent="0.25">
      <c r="A716" s="16" t="s">
        <v>2493</v>
      </c>
      <c r="B716" s="17" t="s">
        <v>2494</v>
      </c>
      <c r="C716" s="17" t="s">
        <v>11</v>
      </c>
      <c r="D716" s="17" t="s">
        <v>12</v>
      </c>
      <c r="E716" s="17" t="s">
        <v>13</v>
      </c>
      <c r="F716" s="16" t="s">
        <v>2495</v>
      </c>
    </row>
    <row r="717" spans="1:6" x14ac:dyDescent="0.25">
      <c r="A717" s="16" t="s">
        <v>2496</v>
      </c>
      <c r="B717" s="17" t="s">
        <v>2497</v>
      </c>
      <c r="C717" s="17" t="s">
        <v>11</v>
      </c>
      <c r="D717" s="17" t="s">
        <v>12</v>
      </c>
      <c r="E717" s="17" t="s">
        <v>13</v>
      </c>
      <c r="F717" s="16" t="s">
        <v>2498</v>
      </c>
    </row>
    <row r="718" spans="1:6" x14ac:dyDescent="0.25">
      <c r="A718" s="16" t="s">
        <v>2499</v>
      </c>
      <c r="B718" s="17" t="s">
        <v>2500</v>
      </c>
      <c r="C718" s="17" t="s">
        <v>11</v>
      </c>
      <c r="D718" s="17" t="s">
        <v>12</v>
      </c>
      <c r="E718" s="17" t="s">
        <v>13</v>
      </c>
      <c r="F718" s="16" t="s">
        <v>2501</v>
      </c>
    </row>
    <row r="719" spans="1:6" x14ac:dyDescent="0.25">
      <c r="A719" s="16" t="s">
        <v>2502</v>
      </c>
      <c r="B719" s="17" t="s">
        <v>2503</v>
      </c>
      <c r="C719" s="17" t="s">
        <v>11</v>
      </c>
      <c r="D719" s="17" t="s">
        <v>670</v>
      </c>
      <c r="E719" s="17" t="s">
        <v>20</v>
      </c>
      <c r="F719" s="16" t="s">
        <v>2504</v>
      </c>
    </row>
    <row r="720" spans="1:6" x14ac:dyDescent="0.25">
      <c r="A720" s="16" t="s">
        <v>2505</v>
      </c>
      <c r="B720" s="17" t="s">
        <v>2506</v>
      </c>
      <c r="C720" s="17" t="s">
        <v>11</v>
      </c>
      <c r="D720" s="17" t="s">
        <v>32</v>
      </c>
      <c r="E720" s="17" t="s">
        <v>20</v>
      </c>
      <c r="F720" s="16" t="s">
        <v>2507</v>
      </c>
    </row>
    <row r="721" spans="1:6" x14ac:dyDescent="0.25">
      <c r="A721" s="16" t="s">
        <v>2508</v>
      </c>
      <c r="B721" s="17" t="s">
        <v>2509</v>
      </c>
      <c r="C721" s="17" t="s">
        <v>11</v>
      </c>
      <c r="D721" s="17" t="s">
        <v>12</v>
      </c>
      <c r="E721" s="17" t="s">
        <v>13</v>
      </c>
      <c r="F721" s="16" t="s">
        <v>2510</v>
      </c>
    </row>
    <row r="722" spans="1:6" x14ac:dyDescent="0.25">
      <c r="A722" s="16" t="s">
        <v>2511</v>
      </c>
      <c r="B722" s="17" t="s">
        <v>2512</v>
      </c>
      <c r="C722" s="17" t="s">
        <v>11</v>
      </c>
      <c r="D722" s="17" t="s">
        <v>68</v>
      </c>
      <c r="E722" s="17" t="s">
        <v>20</v>
      </c>
      <c r="F722" s="16" t="s">
        <v>2513</v>
      </c>
    </row>
    <row r="723" spans="1:6" x14ac:dyDescent="0.25">
      <c r="A723" s="16" t="s">
        <v>2514</v>
      </c>
      <c r="B723" s="17" t="s">
        <v>2515</v>
      </c>
      <c r="C723" s="17" t="s">
        <v>11</v>
      </c>
      <c r="D723" s="17" t="s">
        <v>12</v>
      </c>
      <c r="E723" s="17" t="s">
        <v>13</v>
      </c>
      <c r="F723" s="16" t="s">
        <v>2516</v>
      </c>
    </row>
    <row r="724" spans="1:6" x14ac:dyDescent="0.25">
      <c r="A724" s="16" t="s">
        <v>2517</v>
      </c>
      <c r="B724" s="17" t="s">
        <v>2518</v>
      </c>
      <c r="C724" s="17" t="s">
        <v>11</v>
      </c>
      <c r="D724" s="17" t="s">
        <v>12</v>
      </c>
      <c r="E724" s="17" t="s">
        <v>13</v>
      </c>
      <c r="F724" s="16" t="s">
        <v>2519</v>
      </c>
    </row>
    <row r="725" spans="1:6" x14ac:dyDescent="0.25">
      <c r="A725" s="16" t="s">
        <v>2520</v>
      </c>
      <c r="B725" s="17" t="s">
        <v>2521</v>
      </c>
      <c r="C725" s="17" t="s">
        <v>11</v>
      </c>
      <c r="D725" s="17" t="s">
        <v>26</v>
      </c>
      <c r="E725" s="17" t="s">
        <v>20</v>
      </c>
      <c r="F725" s="16" t="s">
        <v>2522</v>
      </c>
    </row>
    <row r="726" spans="1:6" x14ac:dyDescent="0.25">
      <c r="A726" s="16" t="s">
        <v>2523</v>
      </c>
      <c r="B726" s="17" t="s">
        <v>2524</v>
      </c>
      <c r="C726" s="17" t="s">
        <v>11</v>
      </c>
      <c r="D726" s="17" t="s">
        <v>80</v>
      </c>
      <c r="E726" s="17" t="s">
        <v>20</v>
      </c>
      <c r="F726" s="16" t="s">
        <v>2525</v>
      </c>
    </row>
    <row r="727" spans="1:6" x14ac:dyDescent="0.25">
      <c r="A727" s="16" t="s">
        <v>2526</v>
      </c>
      <c r="B727" s="17" t="s">
        <v>2527</v>
      </c>
      <c r="C727" s="17" t="s">
        <v>11</v>
      </c>
      <c r="D727" s="17" t="s">
        <v>12</v>
      </c>
      <c r="E727" s="17" t="s">
        <v>13</v>
      </c>
      <c r="F727" s="16" t="s">
        <v>2528</v>
      </c>
    </row>
    <row r="728" spans="1:6" x14ac:dyDescent="0.25">
      <c r="A728" s="16" t="s">
        <v>2529</v>
      </c>
      <c r="B728" s="17" t="s">
        <v>2530</v>
      </c>
      <c r="C728" s="17" t="s">
        <v>11</v>
      </c>
      <c r="D728" s="17" t="s">
        <v>12</v>
      </c>
      <c r="E728" s="17" t="s">
        <v>13</v>
      </c>
      <c r="F728" s="16" t="s">
        <v>2531</v>
      </c>
    </row>
    <row r="729" spans="1:6" x14ac:dyDescent="0.25">
      <c r="A729" s="16" t="s">
        <v>2532</v>
      </c>
      <c r="B729" s="17" t="s">
        <v>2533</v>
      </c>
      <c r="C729" s="17" t="s">
        <v>11</v>
      </c>
      <c r="D729" s="17" t="s">
        <v>12</v>
      </c>
      <c r="E729" s="17" t="s">
        <v>13</v>
      </c>
      <c r="F729" s="16" t="s">
        <v>2534</v>
      </c>
    </row>
    <row r="730" spans="1:6" x14ac:dyDescent="0.25">
      <c r="A730" s="16" t="s">
        <v>2535</v>
      </c>
      <c r="B730" s="17" t="s">
        <v>2536</v>
      </c>
      <c r="C730" s="17" t="s">
        <v>11</v>
      </c>
      <c r="D730" s="17" t="s">
        <v>12</v>
      </c>
      <c r="E730" s="17" t="s">
        <v>13</v>
      </c>
      <c r="F730" s="16" t="s">
        <v>2537</v>
      </c>
    </row>
    <row r="731" spans="1:6" x14ac:dyDescent="0.25">
      <c r="A731" s="16" t="s">
        <v>2538</v>
      </c>
      <c r="B731" s="17" t="s">
        <v>2539</v>
      </c>
      <c r="C731" s="17" t="s">
        <v>11</v>
      </c>
      <c r="D731" s="17" t="s">
        <v>12</v>
      </c>
      <c r="E731" s="17" t="s">
        <v>13</v>
      </c>
      <c r="F731" s="16" t="s">
        <v>2540</v>
      </c>
    </row>
    <row r="732" spans="1:6" x14ac:dyDescent="0.25">
      <c r="A732" s="16" t="s">
        <v>2541</v>
      </c>
      <c r="B732" s="17" t="s">
        <v>2542</v>
      </c>
      <c r="C732" s="17" t="s">
        <v>11</v>
      </c>
      <c r="D732" s="17" t="s">
        <v>83</v>
      </c>
      <c r="E732" s="17" t="s">
        <v>20</v>
      </c>
      <c r="F732" s="16" t="s">
        <v>2543</v>
      </c>
    </row>
    <row r="733" spans="1:6" x14ac:dyDescent="0.25">
      <c r="A733" s="16" t="s">
        <v>2544</v>
      </c>
      <c r="B733" s="17" t="s">
        <v>2545</v>
      </c>
      <c r="C733" s="17" t="s">
        <v>11</v>
      </c>
      <c r="D733" s="17" t="s">
        <v>12</v>
      </c>
      <c r="E733" s="17" t="s">
        <v>13</v>
      </c>
      <c r="F733" s="16" t="s">
        <v>2546</v>
      </c>
    </row>
    <row r="734" spans="1:6" x14ac:dyDescent="0.25">
      <c r="A734" s="16" t="s">
        <v>2547</v>
      </c>
      <c r="B734" s="17" t="s">
        <v>2548</v>
      </c>
      <c r="C734" s="17" t="s">
        <v>11</v>
      </c>
      <c r="D734" s="17" t="s">
        <v>12</v>
      </c>
      <c r="E734" s="17" t="s">
        <v>13</v>
      </c>
      <c r="F734" s="16" t="s">
        <v>2549</v>
      </c>
    </row>
    <row r="735" spans="1:6" x14ac:dyDescent="0.25">
      <c r="A735" s="16" t="s">
        <v>2550</v>
      </c>
      <c r="B735" s="17" t="s">
        <v>2551</v>
      </c>
      <c r="C735" s="17" t="s">
        <v>11</v>
      </c>
      <c r="D735" s="17" t="s">
        <v>12</v>
      </c>
      <c r="E735" s="17" t="s">
        <v>13</v>
      </c>
      <c r="F735" s="16" t="s">
        <v>2552</v>
      </c>
    </row>
    <row r="736" spans="1:6" x14ac:dyDescent="0.25">
      <c r="A736" s="16" t="s">
        <v>2553</v>
      </c>
      <c r="B736" s="17" t="s">
        <v>2554</v>
      </c>
      <c r="C736" s="17" t="s">
        <v>11</v>
      </c>
      <c r="D736" s="17" t="s">
        <v>12</v>
      </c>
      <c r="E736" s="17" t="s">
        <v>13</v>
      </c>
      <c r="F736" s="16" t="s">
        <v>2555</v>
      </c>
    </row>
    <row r="737" spans="1:6" x14ac:dyDescent="0.25">
      <c r="A737" s="16" t="s">
        <v>2556</v>
      </c>
      <c r="B737" s="17" t="s">
        <v>2557</v>
      </c>
      <c r="C737" s="17" t="s">
        <v>11</v>
      </c>
      <c r="D737" s="17" t="s">
        <v>811</v>
      </c>
      <c r="E737" s="17" t="s">
        <v>20</v>
      </c>
      <c r="F737" s="16" t="s">
        <v>2558</v>
      </c>
    </row>
    <row r="738" spans="1:6" x14ac:dyDescent="0.25">
      <c r="A738" s="16" t="s">
        <v>2559</v>
      </c>
      <c r="B738" s="17" t="s">
        <v>2560</v>
      </c>
      <c r="C738" s="17" t="s">
        <v>11</v>
      </c>
      <c r="D738" s="17" t="s">
        <v>12</v>
      </c>
      <c r="E738" s="17" t="s">
        <v>13</v>
      </c>
      <c r="F738" s="16" t="s">
        <v>2561</v>
      </c>
    </row>
    <row r="739" spans="1:6" x14ac:dyDescent="0.25">
      <c r="A739" s="16" t="s">
        <v>2562</v>
      </c>
      <c r="B739" s="17" t="s">
        <v>2563</v>
      </c>
      <c r="C739" s="17" t="s">
        <v>11</v>
      </c>
      <c r="D739" s="17" t="s">
        <v>12</v>
      </c>
      <c r="E739" s="17" t="s">
        <v>13</v>
      </c>
      <c r="F739" s="16" t="s">
        <v>2564</v>
      </c>
    </row>
    <row r="740" spans="1:6" x14ac:dyDescent="0.25">
      <c r="A740" s="16" t="s">
        <v>2565</v>
      </c>
      <c r="B740" s="17" t="s">
        <v>2566</v>
      </c>
      <c r="C740" s="17" t="s">
        <v>11</v>
      </c>
      <c r="D740" s="17" t="s">
        <v>182</v>
      </c>
      <c r="E740" s="17" t="s">
        <v>20</v>
      </c>
      <c r="F740" s="16" t="s">
        <v>2567</v>
      </c>
    </row>
    <row r="741" spans="1:6" x14ac:dyDescent="0.25">
      <c r="A741" s="16" t="s">
        <v>2568</v>
      </c>
      <c r="B741" s="17" t="s">
        <v>2569</v>
      </c>
      <c r="C741" s="17" t="s">
        <v>11</v>
      </c>
      <c r="D741" s="17" t="s">
        <v>12</v>
      </c>
      <c r="E741" s="17" t="s">
        <v>13</v>
      </c>
      <c r="F741" s="16" t="s">
        <v>2570</v>
      </c>
    </row>
    <row r="742" spans="1:6" x14ac:dyDescent="0.25">
      <c r="A742" s="16" t="s">
        <v>2571</v>
      </c>
      <c r="B742" s="17" t="s">
        <v>2572</v>
      </c>
      <c r="C742" s="17" t="s">
        <v>11</v>
      </c>
      <c r="D742" s="17" t="s">
        <v>12</v>
      </c>
      <c r="E742" s="17" t="s">
        <v>13</v>
      </c>
      <c r="F742" s="16" t="s">
        <v>2573</v>
      </c>
    </row>
    <row r="743" spans="1:6" x14ac:dyDescent="0.25">
      <c r="A743" s="16" t="s">
        <v>2574</v>
      </c>
      <c r="B743" s="17" t="s">
        <v>2575</v>
      </c>
      <c r="C743" s="17" t="s">
        <v>11</v>
      </c>
      <c r="D743" s="17" t="s">
        <v>12</v>
      </c>
      <c r="E743" s="17" t="s">
        <v>13</v>
      </c>
      <c r="F743" s="16" t="s">
        <v>2576</v>
      </c>
    </row>
    <row r="744" spans="1:6" x14ac:dyDescent="0.25">
      <c r="A744" s="16" t="s">
        <v>2577</v>
      </c>
      <c r="B744" s="17" t="s">
        <v>2578</v>
      </c>
      <c r="C744" s="17" t="s">
        <v>11</v>
      </c>
      <c r="D744" s="17" t="s">
        <v>59</v>
      </c>
      <c r="E744" s="17" t="s">
        <v>13</v>
      </c>
      <c r="F744" s="16" t="s">
        <v>2579</v>
      </c>
    </row>
    <row r="745" spans="1:6" x14ac:dyDescent="0.25">
      <c r="A745" s="16" t="s">
        <v>2580</v>
      </c>
      <c r="B745" s="17" t="s">
        <v>2581</v>
      </c>
      <c r="C745" s="17" t="s">
        <v>11</v>
      </c>
      <c r="D745" s="17" t="s">
        <v>12</v>
      </c>
      <c r="E745" s="17" t="s">
        <v>13</v>
      </c>
      <c r="F745" s="16" t="s">
        <v>2582</v>
      </c>
    </row>
    <row r="746" spans="1:6" x14ac:dyDescent="0.25">
      <c r="A746" s="16" t="s">
        <v>2583</v>
      </c>
      <c r="B746" s="17" t="s">
        <v>2584</v>
      </c>
      <c r="C746" s="17" t="s">
        <v>11</v>
      </c>
      <c r="D746" s="17" t="s">
        <v>83</v>
      </c>
      <c r="E746" s="17" t="s">
        <v>20</v>
      </c>
      <c r="F746" s="16" t="s">
        <v>2585</v>
      </c>
    </row>
    <row r="747" spans="1:6" x14ac:dyDescent="0.25">
      <c r="A747" s="16" t="s">
        <v>2586</v>
      </c>
      <c r="B747" s="17" t="s">
        <v>2587</v>
      </c>
      <c r="C747" s="17" t="s">
        <v>11</v>
      </c>
      <c r="D747" s="17" t="s">
        <v>12</v>
      </c>
      <c r="E747" s="17" t="s">
        <v>13</v>
      </c>
      <c r="F747" s="16" t="s">
        <v>2588</v>
      </c>
    </row>
    <row r="748" spans="1:6" x14ac:dyDescent="0.25">
      <c r="A748" s="16" t="s">
        <v>2589</v>
      </c>
      <c r="B748" s="17" t="s">
        <v>2590</v>
      </c>
      <c r="C748" s="17" t="s">
        <v>11</v>
      </c>
      <c r="D748" s="17" t="s">
        <v>59</v>
      </c>
      <c r="E748" s="17" t="s">
        <v>13</v>
      </c>
      <c r="F748" s="16" t="s">
        <v>2591</v>
      </c>
    </row>
    <row r="749" spans="1:6" x14ac:dyDescent="0.25">
      <c r="A749" s="16" t="s">
        <v>2592</v>
      </c>
      <c r="B749" s="17" t="s">
        <v>2593</v>
      </c>
      <c r="C749" s="17" t="s">
        <v>11</v>
      </c>
      <c r="D749" s="17" t="s">
        <v>12</v>
      </c>
      <c r="E749" s="17" t="s">
        <v>13</v>
      </c>
      <c r="F749" s="16" t="s">
        <v>2594</v>
      </c>
    </row>
    <row r="750" spans="1:6" x14ac:dyDescent="0.25">
      <c r="A750" s="16" t="s">
        <v>2595</v>
      </c>
      <c r="B750" s="17" t="s">
        <v>2596</v>
      </c>
      <c r="C750" s="17" t="s">
        <v>11</v>
      </c>
      <c r="D750" s="17" t="s">
        <v>12</v>
      </c>
      <c r="E750" s="17" t="s">
        <v>13</v>
      </c>
      <c r="F750" s="16" t="s">
        <v>2597</v>
      </c>
    </row>
    <row r="751" spans="1:6" x14ac:dyDescent="0.25">
      <c r="A751" s="16" t="s">
        <v>2598</v>
      </c>
      <c r="B751" s="17" t="s">
        <v>2599</v>
      </c>
      <c r="C751" s="17" t="s">
        <v>11</v>
      </c>
      <c r="D751" s="17" t="s">
        <v>12</v>
      </c>
      <c r="E751" s="17" t="s">
        <v>13</v>
      </c>
      <c r="F751" s="16" t="s">
        <v>2600</v>
      </c>
    </row>
    <row r="752" spans="1:6" x14ac:dyDescent="0.25">
      <c r="A752" s="16" t="s">
        <v>2601</v>
      </c>
      <c r="B752" s="17" t="s">
        <v>2602</v>
      </c>
      <c r="C752" s="17" t="s">
        <v>11</v>
      </c>
      <c r="D752" s="17" t="s">
        <v>83</v>
      </c>
      <c r="E752" s="17" t="s">
        <v>20</v>
      </c>
      <c r="F752" s="16" t="s">
        <v>2603</v>
      </c>
    </row>
    <row r="753" spans="1:6" x14ac:dyDescent="0.25">
      <c r="A753" s="16" t="s">
        <v>2604</v>
      </c>
      <c r="B753" s="17" t="s">
        <v>2605</v>
      </c>
      <c r="C753" s="17" t="s">
        <v>11</v>
      </c>
      <c r="D753" s="17" t="s">
        <v>12</v>
      </c>
      <c r="E753" s="17" t="s">
        <v>13</v>
      </c>
      <c r="F753" s="16" t="s">
        <v>2606</v>
      </c>
    </row>
    <row r="754" spans="1:6" x14ac:dyDescent="0.25">
      <c r="A754" s="16" t="s">
        <v>2607</v>
      </c>
      <c r="B754" s="17" t="s">
        <v>2608</v>
      </c>
      <c r="C754" s="17" t="s">
        <v>11</v>
      </c>
      <c r="D754" s="17" t="s">
        <v>12</v>
      </c>
      <c r="E754" s="17" t="s">
        <v>13</v>
      </c>
      <c r="F754" s="16" t="s">
        <v>2609</v>
      </c>
    </row>
    <row r="755" spans="1:6" x14ac:dyDescent="0.25">
      <c r="A755" s="16" t="s">
        <v>2610</v>
      </c>
      <c r="B755" s="17" t="s">
        <v>2611</v>
      </c>
      <c r="C755" s="17" t="s">
        <v>11</v>
      </c>
      <c r="D755" s="17" t="s">
        <v>12</v>
      </c>
      <c r="E755" s="17" t="s">
        <v>13</v>
      </c>
      <c r="F755" s="16" t="s">
        <v>2612</v>
      </c>
    </row>
    <row r="756" spans="1:6" x14ac:dyDescent="0.25">
      <c r="A756" s="16" t="s">
        <v>2613</v>
      </c>
      <c r="B756" s="17" t="s">
        <v>2614</v>
      </c>
      <c r="C756" s="17" t="s">
        <v>11</v>
      </c>
      <c r="D756" s="17" t="s">
        <v>1402</v>
      </c>
      <c r="E756" s="17" t="s">
        <v>13</v>
      </c>
      <c r="F756" s="16" t="s">
        <v>2615</v>
      </c>
    </row>
    <row r="757" spans="1:6" x14ac:dyDescent="0.25">
      <c r="A757" s="16" t="s">
        <v>2616</v>
      </c>
      <c r="B757" s="17" t="s">
        <v>2617</v>
      </c>
      <c r="C757" s="17" t="s">
        <v>11</v>
      </c>
      <c r="D757" s="17" t="s">
        <v>12</v>
      </c>
      <c r="E757" s="17" t="s">
        <v>13</v>
      </c>
      <c r="F757" s="16" t="s">
        <v>2618</v>
      </c>
    </row>
    <row r="758" spans="1:6" x14ac:dyDescent="0.25">
      <c r="A758" s="16" t="s">
        <v>2619</v>
      </c>
      <c r="B758" s="17" t="s">
        <v>2620</v>
      </c>
      <c r="C758" s="17" t="s">
        <v>11</v>
      </c>
      <c r="D758" s="17" t="s">
        <v>80</v>
      </c>
      <c r="E758" s="17" t="s">
        <v>20</v>
      </c>
      <c r="F758" s="16" t="s">
        <v>2621</v>
      </c>
    </row>
    <row r="759" spans="1:6" x14ac:dyDescent="0.25">
      <c r="A759" s="16" t="s">
        <v>2622</v>
      </c>
      <c r="B759" s="17" t="s">
        <v>2623</v>
      </c>
      <c r="C759" s="17" t="s">
        <v>11</v>
      </c>
      <c r="D759" s="17" t="s">
        <v>59</v>
      </c>
      <c r="E759" s="17" t="s">
        <v>13</v>
      </c>
      <c r="F759" s="16" t="s">
        <v>2624</v>
      </c>
    </row>
    <row r="760" spans="1:6" x14ac:dyDescent="0.25">
      <c r="A760" s="16" t="s">
        <v>2625</v>
      </c>
      <c r="B760" s="17" t="s">
        <v>2626</v>
      </c>
      <c r="C760" s="17" t="s">
        <v>11</v>
      </c>
      <c r="D760" s="17" t="s">
        <v>12</v>
      </c>
      <c r="E760" s="17" t="s">
        <v>13</v>
      </c>
      <c r="F760" s="16" t="s">
        <v>2627</v>
      </c>
    </row>
    <row r="761" spans="1:6" x14ac:dyDescent="0.25">
      <c r="A761" s="16" t="s">
        <v>2628</v>
      </c>
      <c r="B761" s="17" t="s">
        <v>2629</v>
      </c>
      <c r="C761" s="17" t="s">
        <v>11</v>
      </c>
      <c r="D761" s="17" t="s">
        <v>32</v>
      </c>
      <c r="E761" s="17" t="s">
        <v>20</v>
      </c>
      <c r="F761" s="16" t="s">
        <v>2630</v>
      </c>
    </row>
    <row r="762" spans="1:6" x14ac:dyDescent="0.25">
      <c r="A762" s="16" t="s">
        <v>2631</v>
      </c>
      <c r="B762" s="17" t="s">
        <v>2632</v>
      </c>
      <c r="C762" s="17" t="s">
        <v>11</v>
      </c>
      <c r="D762" s="17" t="s">
        <v>12</v>
      </c>
      <c r="E762" s="17" t="s">
        <v>13</v>
      </c>
      <c r="F762" s="16" t="s">
        <v>2633</v>
      </c>
    </row>
    <row r="763" spans="1:6" x14ac:dyDescent="0.25">
      <c r="A763" s="16" t="s">
        <v>2634</v>
      </c>
      <c r="B763" s="17" t="s">
        <v>2635</v>
      </c>
      <c r="C763" s="17" t="s">
        <v>11</v>
      </c>
      <c r="D763" s="17" t="s">
        <v>12</v>
      </c>
      <c r="E763" s="17" t="s">
        <v>13</v>
      </c>
      <c r="F763" s="16" t="s">
        <v>2636</v>
      </c>
    </row>
    <row r="764" spans="1:6" x14ac:dyDescent="0.25">
      <c r="A764" s="16" t="s">
        <v>2637</v>
      </c>
      <c r="B764" s="17" t="s">
        <v>2638</v>
      </c>
      <c r="C764" s="17" t="s">
        <v>11</v>
      </c>
      <c r="D764" s="17" t="s">
        <v>12</v>
      </c>
      <c r="E764" s="17" t="s">
        <v>13</v>
      </c>
      <c r="F764" s="16" t="s">
        <v>2639</v>
      </c>
    </row>
    <row r="765" spans="1:6" x14ac:dyDescent="0.25">
      <c r="A765" s="16" t="s">
        <v>2640</v>
      </c>
      <c r="B765" s="17" t="s">
        <v>2641</v>
      </c>
      <c r="C765" s="17" t="s">
        <v>11</v>
      </c>
      <c r="D765" s="17" t="s">
        <v>83</v>
      </c>
      <c r="E765" s="17" t="s">
        <v>20</v>
      </c>
      <c r="F765" s="16" t="s">
        <v>2642</v>
      </c>
    </row>
    <row r="766" spans="1:6" x14ac:dyDescent="0.25">
      <c r="A766" s="16" t="s">
        <v>2643</v>
      </c>
      <c r="B766" s="17" t="s">
        <v>2644</v>
      </c>
      <c r="C766" s="17" t="s">
        <v>11</v>
      </c>
      <c r="D766" s="17" t="s">
        <v>12</v>
      </c>
      <c r="E766" s="17" t="s">
        <v>13</v>
      </c>
      <c r="F766" s="16" t="s">
        <v>2645</v>
      </c>
    </row>
    <row r="767" spans="1:6" x14ac:dyDescent="0.25">
      <c r="A767" s="16" t="s">
        <v>2646</v>
      </c>
      <c r="B767" s="17" t="s">
        <v>2647</v>
      </c>
      <c r="C767" s="17" t="s">
        <v>11</v>
      </c>
      <c r="D767" s="17" t="s">
        <v>12</v>
      </c>
      <c r="E767" s="17" t="s">
        <v>13</v>
      </c>
      <c r="F767" s="16" t="s">
        <v>2648</v>
      </c>
    </row>
    <row r="768" spans="1:6" x14ac:dyDescent="0.25">
      <c r="A768" s="16" t="s">
        <v>2649</v>
      </c>
      <c r="B768" s="17" t="s">
        <v>2650</v>
      </c>
      <c r="C768" s="17" t="s">
        <v>11</v>
      </c>
      <c r="D768" s="17" t="s">
        <v>59</v>
      </c>
      <c r="E768" s="17" t="s">
        <v>13</v>
      </c>
      <c r="F768" s="16" t="s">
        <v>2651</v>
      </c>
    </row>
    <row r="769" spans="1:6" x14ac:dyDescent="0.25">
      <c r="A769" s="16" t="s">
        <v>2652</v>
      </c>
      <c r="B769" s="17" t="s">
        <v>2653</v>
      </c>
      <c r="C769" s="17" t="s">
        <v>11</v>
      </c>
      <c r="D769" s="17" t="s">
        <v>12</v>
      </c>
      <c r="E769" s="17" t="s">
        <v>13</v>
      </c>
      <c r="F769" s="16" t="s">
        <v>2654</v>
      </c>
    </row>
    <row r="770" spans="1:6" x14ac:dyDescent="0.25">
      <c r="A770" s="16" t="s">
        <v>2655</v>
      </c>
      <c r="B770" s="17" t="s">
        <v>2656</v>
      </c>
      <c r="C770" s="17" t="s">
        <v>11</v>
      </c>
      <c r="D770" s="17" t="s">
        <v>12</v>
      </c>
      <c r="E770" s="17" t="s">
        <v>13</v>
      </c>
      <c r="F770" s="16" t="s">
        <v>2657</v>
      </c>
    </row>
    <row r="771" spans="1:6" x14ac:dyDescent="0.25">
      <c r="A771" s="16" t="s">
        <v>2658</v>
      </c>
      <c r="B771" s="17" t="s">
        <v>2659</v>
      </c>
      <c r="C771" s="17" t="s">
        <v>11</v>
      </c>
      <c r="D771" s="17" t="s">
        <v>36</v>
      </c>
      <c r="E771" s="17" t="s">
        <v>20</v>
      </c>
      <c r="F771" s="16" t="s">
        <v>2660</v>
      </c>
    </row>
    <row r="772" spans="1:6" x14ac:dyDescent="0.25">
      <c r="A772" s="16" t="s">
        <v>2661</v>
      </c>
      <c r="B772" s="17" t="s">
        <v>2662</v>
      </c>
      <c r="C772" s="17" t="s">
        <v>11</v>
      </c>
      <c r="D772" s="17" t="s">
        <v>80</v>
      </c>
      <c r="E772" s="17" t="s">
        <v>20</v>
      </c>
      <c r="F772" s="16" t="s">
        <v>2663</v>
      </c>
    </row>
    <row r="773" spans="1:6" x14ac:dyDescent="0.25">
      <c r="A773" s="16" t="s">
        <v>2664</v>
      </c>
      <c r="B773" s="17" t="s">
        <v>2665</v>
      </c>
      <c r="C773" s="17" t="s">
        <v>11</v>
      </c>
      <c r="D773" s="17" t="s">
        <v>12</v>
      </c>
      <c r="E773" s="17" t="s">
        <v>13</v>
      </c>
      <c r="F773" s="16" t="s">
        <v>2666</v>
      </c>
    </row>
    <row r="774" spans="1:6" x14ac:dyDescent="0.25">
      <c r="A774" s="16" t="s">
        <v>2667</v>
      </c>
      <c r="B774" s="17" t="s">
        <v>2668</v>
      </c>
      <c r="C774" s="17" t="s">
        <v>11</v>
      </c>
      <c r="D774" s="17" t="s">
        <v>12</v>
      </c>
      <c r="E774" s="17" t="s">
        <v>13</v>
      </c>
      <c r="F774" s="16" t="s">
        <v>2669</v>
      </c>
    </row>
    <row r="775" spans="1:6" x14ac:dyDescent="0.25">
      <c r="A775" s="16" t="s">
        <v>2670</v>
      </c>
      <c r="B775" s="17" t="s">
        <v>2671</v>
      </c>
      <c r="C775" s="17" t="s">
        <v>11</v>
      </c>
      <c r="D775" s="17" t="s">
        <v>12</v>
      </c>
      <c r="E775" s="17" t="s">
        <v>13</v>
      </c>
      <c r="F775" s="16" t="s">
        <v>2672</v>
      </c>
    </row>
    <row r="776" spans="1:6" x14ac:dyDescent="0.25">
      <c r="A776" s="16" t="s">
        <v>2673</v>
      </c>
      <c r="B776" s="17" t="s">
        <v>2674</v>
      </c>
      <c r="C776" s="17" t="s">
        <v>11</v>
      </c>
      <c r="D776" s="17" t="s">
        <v>12</v>
      </c>
      <c r="E776" s="17" t="s">
        <v>13</v>
      </c>
      <c r="F776" s="16" t="s">
        <v>2675</v>
      </c>
    </row>
    <row r="777" spans="1:6" x14ac:dyDescent="0.25">
      <c r="A777" s="16" t="s">
        <v>2676</v>
      </c>
      <c r="B777" s="17" t="s">
        <v>2677</v>
      </c>
      <c r="C777" s="17" t="s">
        <v>11</v>
      </c>
      <c r="D777" s="17" t="s">
        <v>19</v>
      </c>
      <c r="E777" s="17" t="s">
        <v>20</v>
      </c>
      <c r="F777" s="16" t="s">
        <v>2678</v>
      </c>
    </row>
    <row r="778" spans="1:6" x14ac:dyDescent="0.25">
      <c r="A778" s="16" t="s">
        <v>2679</v>
      </c>
      <c r="B778" s="17" t="s">
        <v>2680</v>
      </c>
      <c r="C778" s="17" t="s">
        <v>11</v>
      </c>
      <c r="D778" s="17" t="s">
        <v>32</v>
      </c>
      <c r="E778" s="17" t="s">
        <v>20</v>
      </c>
      <c r="F778" s="16" t="s">
        <v>2681</v>
      </c>
    </row>
    <row r="779" spans="1:6" x14ac:dyDescent="0.25">
      <c r="A779" s="16" t="s">
        <v>2682</v>
      </c>
      <c r="B779" s="17" t="s">
        <v>2683</v>
      </c>
      <c r="C779" s="17" t="s">
        <v>11</v>
      </c>
      <c r="D779" s="17" t="s">
        <v>80</v>
      </c>
      <c r="E779" s="17" t="s">
        <v>20</v>
      </c>
      <c r="F779" s="16" t="s">
        <v>2684</v>
      </c>
    </row>
    <row r="780" spans="1:6" x14ac:dyDescent="0.25">
      <c r="A780" s="16" t="s">
        <v>2685</v>
      </c>
      <c r="B780" s="17" t="s">
        <v>2686</v>
      </c>
      <c r="C780" s="17" t="s">
        <v>11</v>
      </c>
      <c r="D780" s="17" t="s">
        <v>32</v>
      </c>
      <c r="E780" s="17" t="s">
        <v>20</v>
      </c>
      <c r="F780" s="16" t="s">
        <v>2687</v>
      </c>
    </row>
    <row r="781" spans="1:6" x14ac:dyDescent="0.25">
      <c r="A781" s="16" t="s">
        <v>2688</v>
      </c>
      <c r="B781" s="17" t="s">
        <v>2689</v>
      </c>
      <c r="C781" s="17" t="s">
        <v>11</v>
      </c>
      <c r="D781" s="17" t="s">
        <v>12</v>
      </c>
      <c r="E781" s="17" t="s">
        <v>13</v>
      </c>
      <c r="F781" s="16" t="s">
        <v>2690</v>
      </c>
    </row>
    <row r="782" spans="1:6" x14ac:dyDescent="0.25">
      <c r="A782" s="16" t="s">
        <v>2691</v>
      </c>
      <c r="B782" s="17" t="s">
        <v>2692</v>
      </c>
      <c r="C782" s="17" t="s">
        <v>11</v>
      </c>
      <c r="D782" s="17" t="s">
        <v>12</v>
      </c>
      <c r="E782" s="17" t="s">
        <v>13</v>
      </c>
      <c r="F782" s="16" t="s">
        <v>2693</v>
      </c>
    </row>
    <row r="783" spans="1:6" x14ac:dyDescent="0.25">
      <c r="A783" s="16" t="s">
        <v>2694</v>
      </c>
      <c r="B783" s="17" t="s">
        <v>2695</v>
      </c>
      <c r="C783" s="17" t="s">
        <v>11</v>
      </c>
      <c r="D783" s="17" t="s">
        <v>59</v>
      </c>
      <c r="E783" s="17" t="s">
        <v>13</v>
      </c>
      <c r="F783" s="16" t="s">
        <v>2696</v>
      </c>
    </row>
    <row r="784" spans="1:6" x14ac:dyDescent="0.25">
      <c r="A784" s="16" t="s">
        <v>2697</v>
      </c>
      <c r="B784" s="17" t="s">
        <v>2698</v>
      </c>
      <c r="C784" s="17" t="s">
        <v>11</v>
      </c>
      <c r="D784" s="17" t="s">
        <v>59</v>
      </c>
      <c r="E784" s="17" t="s">
        <v>13</v>
      </c>
      <c r="F784" s="16" t="s">
        <v>2699</v>
      </c>
    </row>
    <row r="785" spans="1:6" x14ac:dyDescent="0.25">
      <c r="A785" s="16" t="s">
        <v>2700</v>
      </c>
      <c r="B785" s="17" t="s">
        <v>2701</v>
      </c>
      <c r="C785" s="17" t="s">
        <v>11</v>
      </c>
      <c r="D785" s="17" t="s">
        <v>12</v>
      </c>
      <c r="E785" s="17" t="s">
        <v>13</v>
      </c>
      <c r="F785" s="16" t="s">
        <v>2702</v>
      </c>
    </row>
    <row r="786" spans="1:6" x14ac:dyDescent="0.25">
      <c r="A786" s="16" t="s">
        <v>2703</v>
      </c>
      <c r="B786" s="17" t="s">
        <v>2704</v>
      </c>
      <c r="C786" s="17" t="s">
        <v>11</v>
      </c>
      <c r="D786" s="17" t="s">
        <v>12</v>
      </c>
      <c r="E786" s="17" t="s">
        <v>13</v>
      </c>
      <c r="F786" s="16" t="s">
        <v>2705</v>
      </c>
    </row>
    <row r="787" spans="1:6" x14ac:dyDescent="0.25">
      <c r="A787" s="16" t="s">
        <v>2706</v>
      </c>
      <c r="B787" s="17" t="s">
        <v>2707</v>
      </c>
      <c r="C787" s="17" t="s">
        <v>11</v>
      </c>
      <c r="D787" s="17" t="s">
        <v>12</v>
      </c>
      <c r="E787" s="17" t="s">
        <v>13</v>
      </c>
      <c r="F787" s="16" t="s">
        <v>2708</v>
      </c>
    </row>
    <row r="788" spans="1:6" x14ac:dyDescent="0.25">
      <c r="A788" s="16" t="s">
        <v>2709</v>
      </c>
      <c r="B788" s="17" t="s">
        <v>2710</v>
      </c>
      <c r="C788" s="17" t="s">
        <v>11</v>
      </c>
      <c r="D788" s="17" t="s">
        <v>12</v>
      </c>
      <c r="E788" s="17" t="s">
        <v>13</v>
      </c>
      <c r="F788" s="16" t="s">
        <v>2711</v>
      </c>
    </row>
    <row r="789" spans="1:6" x14ac:dyDescent="0.25">
      <c r="A789" s="16" t="s">
        <v>2712</v>
      </c>
      <c r="B789" s="17" t="s">
        <v>2713</v>
      </c>
      <c r="C789" s="17" t="s">
        <v>11</v>
      </c>
      <c r="D789" s="17" t="s">
        <v>32</v>
      </c>
      <c r="E789" s="17" t="s">
        <v>20</v>
      </c>
      <c r="F789" s="16" t="s">
        <v>2714</v>
      </c>
    </row>
    <row r="790" spans="1:6" x14ac:dyDescent="0.25">
      <c r="A790" s="16" t="s">
        <v>2715</v>
      </c>
      <c r="B790" s="17" t="s">
        <v>2716</v>
      </c>
      <c r="C790" s="17" t="s">
        <v>11</v>
      </c>
      <c r="D790" s="17" t="s">
        <v>12</v>
      </c>
      <c r="E790" s="17" t="s">
        <v>13</v>
      </c>
      <c r="F790" s="16" t="s">
        <v>2717</v>
      </c>
    </row>
    <row r="791" spans="1:6" x14ac:dyDescent="0.25">
      <c r="A791" s="16" t="s">
        <v>2718</v>
      </c>
      <c r="B791" s="17" t="s">
        <v>2719</v>
      </c>
      <c r="C791" s="17" t="s">
        <v>11</v>
      </c>
      <c r="D791" s="17" t="s">
        <v>12</v>
      </c>
      <c r="E791" s="17" t="s">
        <v>13</v>
      </c>
      <c r="F791" s="16" t="s">
        <v>2720</v>
      </c>
    </row>
    <row r="792" spans="1:6" x14ac:dyDescent="0.25">
      <c r="A792" s="16" t="s">
        <v>2721</v>
      </c>
      <c r="B792" s="17" t="s">
        <v>2722</v>
      </c>
      <c r="C792" s="17" t="s">
        <v>11</v>
      </c>
      <c r="D792" s="17" t="s">
        <v>59</v>
      </c>
      <c r="E792" s="17" t="s">
        <v>13</v>
      </c>
      <c r="F792" s="16" t="s">
        <v>2723</v>
      </c>
    </row>
    <row r="793" spans="1:6" x14ac:dyDescent="0.25">
      <c r="A793" s="16" t="s">
        <v>2724</v>
      </c>
      <c r="B793" s="17" t="s">
        <v>2725</v>
      </c>
      <c r="C793" s="17" t="s">
        <v>11</v>
      </c>
      <c r="D793" s="17" t="s">
        <v>233</v>
      </c>
      <c r="E793" s="17" t="s">
        <v>20</v>
      </c>
      <c r="F793" s="16" t="s">
        <v>2726</v>
      </c>
    </row>
    <row r="794" spans="1:6" x14ac:dyDescent="0.25">
      <c r="A794" s="16" t="s">
        <v>2727</v>
      </c>
      <c r="B794" s="17" t="s">
        <v>2728</v>
      </c>
      <c r="C794" s="17" t="s">
        <v>11</v>
      </c>
      <c r="D794" s="17" t="s">
        <v>12</v>
      </c>
      <c r="E794" s="17" t="s">
        <v>13</v>
      </c>
      <c r="F794" s="16" t="s">
        <v>2729</v>
      </c>
    </row>
    <row r="795" spans="1:6" x14ac:dyDescent="0.25">
      <c r="A795" s="16" t="s">
        <v>2730</v>
      </c>
      <c r="B795" s="17" t="s">
        <v>2731</v>
      </c>
      <c r="C795" s="17" t="s">
        <v>11</v>
      </c>
      <c r="D795" s="17" t="s">
        <v>12</v>
      </c>
      <c r="E795" s="17" t="s">
        <v>13</v>
      </c>
      <c r="F795" s="16" t="s">
        <v>2732</v>
      </c>
    </row>
    <row r="796" spans="1:6" x14ac:dyDescent="0.25">
      <c r="A796" s="16" t="s">
        <v>2733</v>
      </c>
      <c r="B796" s="17" t="s">
        <v>2734</v>
      </c>
      <c r="C796" s="17" t="s">
        <v>11</v>
      </c>
      <c r="D796" s="17" t="s">
        <v>12</v>
      </c>
      <c r="E796" s="17" t="s">
        <v>13</v>
      </c>
      <c r="F796" s="16" t="s">
        <v>2735</v>
      </c>
    </row>
    <row r="797" spans="1:6" x14ac:dyDescent="0.25">
      <c r="A797" s="16" t="s">
        <v>2736</v>
      </c>
      <c r="B797" s="17" t="s">
        <v>2737</v>
      </c>
      <c r="C797" s="17" t="s">
        <v>11</v>
      </c>
      <c r="D797" s="17" t="s">
        <v>74</v>
      </c>
      <c r="E797" s="17" t="s">
        <v>20</v>
      </c>
      <c r="F797" s="16" t="s">
        <v>2738</v>
      </c>
    </row>
    <row r="798" spans="1:6" x14ac:dyDescent="0.25">
      <c r="A798" s="16" t="s">
        <v>2739</v>
      </c>
      <c r="B798" s="17" t="s">
        <v>2740</v>
      </c>
      <c r="C798" s="17" t="s">
        <v>11</v>
      </c>
      <c r="D798" s="17" t="s">
        <v>89</v>
      </c>
      <c r="E798" s="17" t="s">
        <v>20</v>
      </c>
      <c r="F798" s="16" t="s">
        <v>2741</v>
      </c>
    </row>
    <row r="799" spans="1:6" x14ac:dyDescent="0.25">
      <c r="A799" s="16" t="s">
        <v>2742</v>
      </c>
      <c r="B799" s="17" t="s">
        <v>2743</v>
      </c>
      <c r="C799" s="17" t="s">
        <v>11</v>
      </c>
      <c r="D799" s="17" t="s">
        <v>59</v>
      </c>
      <c r="E799" s="17" t="s">
        <v>13</v>
      </c>
      <c r="F799" s="16" t="s">
        <v>2744</v>
      </c>
    </row>
    <row r="800" spans="1:6" x14ac:dyDescent="0.25">
      <c r="A800" s="16" t="s">
        <v>2745</v>
      </c>
      <c r="B800" s="17" t="s">
        <v>2746</v>
      </c>
      <c r="C800" s="17" t="s">
        <v>11</v>
      </c>
      <c r="D800" s="17" t="s">
        <v>649</v>
      </c>
      <c r="E800" s="17" t="s">
        <v>20</v>
      </c>
      <c r="F800" s="16" t="s">
        <v>2747</v>
      </c>
    </row>
    <row r="801" spans="1:6" x14ac:dyDescent="0.25">
      <c r="A801" s="16" t="s">
        <v>2748</v>
      </c>
      <c r="B801" s="17" t="s">
        <v>2749</v>
      </c>
      <c r="C801" s="17" t="s">
        <v>11</v>
      </c>
      <c r="D801" s="17" t="s">
        <v>12</v>
      </c>
      <c r="E801" s="17" t="s">
        <v>13</v>
      </c>
      <c r="F801" s="16" t="s">
        <v>2750</v>
      </c>
    </row>
    <row r="802" spans="1:6" x14ac:dyDescent="0.25">
      <c r="A802" s="16" t="s">
        <v>2751</v>
      </c>
      <c r="B802" s="17" t="s">
        <v>2752</v>
      </c>
      <c r="C802" s="17" t="s">
        <v>11</v>
      </c>
      <c r="D802" s="17" t="s">
        <v>83</v>
      </c>
      <c r="E802" s="17" t="s">
        <v>20</v>
      </c>
      <c r="F802" s="16" t="s">
        <v>2753</v>
      </c>
    </row>
    <row r="803" spans="1:6" x14ac:dyDescent="0.25">
      <c r="A803" s="16" t="s">
        <v>2754</v>
      </c>
      <c r="B803" s="17" t="s">
        <v>2755</v>
      </c>
      <c r="C803" s="17" t="s">
        <v>11</v>
      </c>
      <c r="D803" s="17" t="s">
        <v>80</v>
      </c>
      <c r="E803" s="17" t="s">
        <v>20</v>
      </c>
      <c r="F803" s="16" t="s">
        <v>2756</v>
      </c>
    </row>
    <row r="804" spans="1:6" x14ac:dyDescent="0.25">
      <c r="A804" s="16" t="s">
        <v>2757</v>
      </c>
      <c r="B804" s="17" t="s">
        <v>2758</v>
      </c>
      <c r="C804" s="17" t="s">
        <v>11</v>
      </c>
      <c r="D804" s="17" t="s">
        <v>12</v>
      </c>
      <c r="E804" s="17" t="s">
        <v>13</v>
      </c>
      <c r="F804" s="16" t="s">
        <v>2759</v>
      </c>
    </row>
    <row r="805" spans="1:6" x14ac:dyDescent="0.25">
      <c r="A805" s="16" t="s">
        <v>2760</v>
      </c>
      <c r="B805" s="17" t="s">
        <v>2761</v>
      </c>
      <c r="C805" s="17" t="s">
        <v>11</v>
      </c>
      <c r="D805" s="17" t="s">
        <v>12</v>
      </c>
      <c r="E805" s="17" t="s">
        <v>13</v>
      </c>
      <c r="F805" s="16" t="s">
        <v>2762</v>
      </c>
    </row>
    <row r="806" spans="1:6" x14ac:dyDescent="0.25">
      <c r="A806" s="16" t="s">
        <v>2763</v>
      </c>
      <c r="B806" s="17" t="s">
        <v>2764</v>
      </c>
      <c r="C806" s="17" t="s">
        <v>11</v>
      </c>
      <c r="D806" s="17" t="s">
        <v>12</v>
      </c>
      <c r="E806" s="17" t="s">
        <v>13</v>
      </c>
      <c r="F806" s="16" t="s">
        <v>2765</v>
      </c>
    </row>
    <row r="807" spans="1:6" x14ac:dyDescent="0.25">
      <c r="A807" s="16" t="s">
        <v>2766</v>
      </c>
      <c r="B807" s="17" t="s">
        <v>2767</v>
      </c>
      <c r="C807" s="17" t="s">
        <v>11</v>
      </c>
      <c r="D807" s="17" t="s">
        <v>12</v>
      </c>
      <c r="E807" s="17" t="s">
        <v>13</v>
      </c>
      <c r="F807" s="16" t="s">
        <v>2768</v>
      </c>
    </row>
    <row r="808" spans="1:6" x14ac:dyDescent="0.25">
      <c r="A808" s="16" t="s">
        <v>2769</v>
      </c>
      <c r="B808" s="17" t="s">
        <v>2770</v>
      </c>
      <c r="C808" s="17" t="s">
        <v>11</v>
      </c>
      <c r="D808" s="17" t="s">
        <v>83</v>
      </c>
      <c r="E808" s="17" t="s">
        <v>20</v>
      </c>
      <c r="F808" s="16" t="s">
        <v>2771</v>
      </c>
    </row>
    <row r="809" spans="1:6" x14ac:dyDescent="0.25">
      <c r="A809" s="16" t="s">
        <v>2772</v>
      </c>
      <c r="B809" s="17" t="s">
        <v>2773</v>
      </c>
      <c r="C809" s="17" t="s">
        <v>11</v>
      </c>
      <c r="D809" s="17" t="s">
        <v>12</v>
      </c>
      <c r="E809" s="17" t="s">
        <v>13</v>
      </c>
      <c r="F809" s="16" t="s">
        <v>2774</v>
      </c>
    </row>
    <row r="810" spans="1:6" x14ac:dyDescent="0.25">
      <c r="A810" s="16" t="s">
        <v>2775</v>
      </c>
      <c r="B810" s="17" t="s">
        <v>2776</v>
      </c>
      <c r="C810" s="17" t="s">
        <v>11</v>
      </c>
      <c r="D810" s="17" t="s">
        <v>59</v>
      </c>
      <c r="E810" s="17" t="s">
        <v>13</v>
      </c>
      <c r="F810" s="16" t="s">
        <v>2777</v>
      </c>
    </row>
    <row r="811" spans="1:6" x14ac:dyDescent="0.25">
      <c r="A811" s="16" t="s">
        <v>2778</v>
      </c>
      <c r="B811" s="17" t="s">
        <v>2779</v>
      </c>
      <c r="C811" s="17" t="s">
        <v>11</v>
      </c>
      <c r="D811" s="17" t="s">
        <v>74</v>
      </c>
      <c r="E811" s="17" t="s">
        <v>20</v>
      </c>
      <c r="F811" s="16" t="s">
        <v>2780</v>
      </c>
    </row>
    <row r="812" spans="1:6" x14ac:dyDescent="0.25">
      <c r="A812" s="16" t="s">
        <v>2781</v>
      </c>
      <c r="B812" s="17" t="s">
        <v>2782</v>
      </c>
      <c r="C812" s="17" t="s">
        <v>11</v>
      </c>
      <c r="D812" s="17" t="s">
        <v>12</v>
      </c>
      <c r="E812" s="17" t="s">
        <v>13</v>
      </c>
      <c r="F812" s="16" t="s">
        <v>2783</v>
      </c>
    </row>
    <row r="813" spans="1:6" x14ac:dyDescent="0.25">
      <c r="A813" s="16" t="s">
        <v>2784</v>
      </c>
      <c r="B813" s="17" t="s">
        <v>2785</v>
      </c>
      <c r="C813" s="17" t="s">
        <v>11</v>
      </c>
      <c r="D813" s="17" t="s">
        <v>12</v>
      </c>
      <c r="E813" s="17" t="s">
        <v>13</v>
      </c>
      <c r="F813" s="16" t="s">
        <v>2786</v>
      </c>
    </row>
    <row r="814" spans="1:6" x14ac:dyDescent="0.25">
      <c r="A814" s="16" t="s">
        <v>2787</v>
      </c>
      <c r="B814" s="17" t="s">
        <v>2788</v>
      </c>
      <c r="C814" s="17" t="s">
        <v>11</v>
      </c>
      <c r="D814" s="17" t="s">
        <v>12</v>
      </c>
      <c r="E814" s="17" t="s">
        <v>13</v>
      </c>
      <c r="F814" s="16" t="s">
        <v>2789</v>
      </c>
    </row>
    <row r="815" spans="1:6" x14ac:dyDescent="0.25">
      <c r="A815" s="16" t="s">
        <v>2790</v>
      </c>
      <c r="B815" s="17" t="s">
        <v>2791</v>
      </c>
      <c r="C815" s="17" t="s">
        <v>11</v>
      </c>
      <c r="D815" s="17" t="s">
        <v>12</v>
      </c>
      <c r="E815" s="17" t="s">
        <v>13</v>
      </c>
      <c r="F815" s="16" t="s">
        <v>2792</v>
      </c>
    </row>
    <row r="816" spans="1:6" x14ac:dyDescent="0.25">
      <c r="A816" s="16" t="s">
        <v>2793</v>
      </c>
      <c r="B816" s="17" t="s">
        <v>2794</v>
      </c>
      <c r="C816" s="17" t="s">
        <v>11</v>
      </c>
      <c r="D816" s="17" t="s">
        <v>12</v>
      </c>
      <c r="E816" s="17" t="s">
        <v>13</v>
      </c>
      <c r="F816" s="16" t="s">
        <v>2795</v>
      </c>
    </row>
    <row r="817" spans="1:6" x14ac:dyDescent="0.25">
      <c r="A817" s="16" t="s">
        <v>2796</v>
      </c>
      <c r="B817" s="17" t="s">
        <v>2797</v>
      </c>
      <c r="C817" s="17" t="s">
        <v>11</v>
      </c>
      <c r="D817" s="17" t="s">
        <v>12</v>
      </c>
      <c r="E817" s="17" t="s">
        <v>13</v>
      </c>
      <c r="F817" s="16" t="s">
        <v>2798</v>
      </c>
    </row>
    <row r="818" spans="1:6" x14ac:dyDescent="0.25">
      <c r="A818" s="16" t="s">
        <v>2799</v>
      </c>
      <c r="B818" s="17" t="s">
        <v>2800</v>
      </c>
      <c r="C818" s="17" t="s">
        <v>11</v>
      </c>
      <c r="D818" s="17" t="s">
        <v>12</v>
      </c>
      <c r="E818" s="17" t="s">
        <v>13</v>
      </c>
      <c r="F818" s="16" t="s">
        <v>2801</v>
      </c>
    </row>
    <row r="819" spans="1:6" x14ac:dyDescent="0.25">
      <c r="A819" s="16" t="s">
        <v>2802</v>
      </c>
      <c r="B819" s="17" t="s">
        <v>2803</v>
      </c>
      <c r="C819" s="17" t="s">
        <v>11</v>
      </c>
      <c r="D819" s="17" t="s">
        <v>12</v>
      </c>
      <c r="E819" s="17" t="s">
        <v>13</v>
      </c>
      <c r="F819" s="16" t="s">
        <v>2804</v>
      </c>
    </row>
    <row r="820" spans="1:6" x14ac:dyDescent="0.25">
      <c r="A820" s="16" t="s">
        <v>2805</v>
      </c>
      <c r="B820" s="17" t="s">
        <v>2806</v>
      </c>
      <c r="C820" s="17" t="s">
        <v>11</v>
      </c>
      <c r="D820" s="17" t="s">
        <v>12</v>
      </c>
      <c r="E820" s="17" t="s">
        <v>13</v>
      </c>
      <c r="F820" s="16" t="s">
        <v>2807</v>
      </c>
    </row>
    <row r="821" spans="1:6" x14ac:dyDescent="0.25">
      <c r="A821" s="16" t="s">
        <v>2808</v>
      </c>
      <c r="B821" s="17" t="s">
        <v>2809</v>
      </c>
      <c r="C821" s="17" t="s">
        <v>11</v>
      </c>
      <c r="D821" s="17" t="s">
        <v>32</v>
      </c>
      <c r="E821" s="17" t="s">
        <v>20</v>
      </c>
      <c r="F821" s="16" t="s">
        <v>2810</v>
      </c>
    </row>
    <row r="822" spans="1:6" x14ac:dyDescent="0.25">
      <c r="A822" s="16" t="s">
        <v>2811</v>
      </c>
      <c r="B822" s="17" t="s">
        <v>2812</v>
      </c>
      <c r="C822" s="17" t="s">
        <v>11</v>
      </c>
      <c r="D822" s="17" t="s">
        <v>12</v>
      </c>
      <c r="E822" s="17" t="s">
        <v>13</v>
      </c>
      <c r="F822" s="16" t="s">
        <v>2813</v>
      </c>
    </row>
    <row r="823" spans="1:6" x14ac:dyDescent="0.25">
      <c r="A823" s="16" t="s">
        <v>2814</v>
      </c>
      <c r="B823" s="17" t="s">
        <v>2815</v>
      </c>
      <c r="C823" s="17" t="s">
        <v>11</v>
      </c>
      <c r="D823" s="17" t="s">
        <v>12</v>
      </c>
      <c r="E823" s="17" t="s">
        <v>13</v>
      </c>
      <c r="F823" s="16" t="s">
        <v>2816</v>
      </c>
    </row>
    <row r="824" spans="1:6" x14ac:dyDescent="0.25">
      <c r="A824" s="16" t="s">
        <v>2817</v>
      </c>
      <c r="B824" s="17" t="s">
        <v>2818</v>
      </c>
      <c r="C824" s="17" t="s">
        <v>11</v>
      </c>
      <c r="D824" s="17" t="s">
        <v>19</v>
      </c>
      <c r="E824" s="17" t="s">
        <v>20</v>
      </c>
      <c r="F824" s="16" t="s">
        <v>2819</v>
      </c>
    </row>
    <row r="825" spans="1:6" x14ac:dyDescent="0.25">
      <c r="A825" s="16" t="s">
        <v>2820</v>
      </c>
      <c r="B825" s="17" t="s">
        <v>2821</v>
      </c>
      <c r="C825" s="17" t="s">
        <v>11</v>
      </c>
      <c r="D825" s="17" t="s">
        <v>12</v>
      </c>
      <c r="E825" s="17" t="s">
        <v>13</v>
      </c>
      <c r="F825" s="16" t="s">
        <v>2822</v>
      </c>
    </row>
    <row r="826" spans="1:6" x14ac:dyDescent="0.25">
      <c r="A826" s="16" t="s">
        <v>2823</v>
      </c>
      <c r="B826" s="17" t="s">
        <v>2824</v>
      </c>
      <c r="C826" s="17" t="s">
        <v>11</v>
      </c>
      <c r="D826" s="17" t="s">
        <v>32</v>
      </c>
      <c r="E826" s="17" t="s">
        <v>20</v>
      </c>
      <c r="F826" s="16" t="s">
        <v>2825</v>
      </c>
    </row>
    <row r="827" spans="1:6" x14ac:dyDescent="0.25">
      <c r="A827" s="16" t="s">
        <v>2826</v>
      </c>
      <c r="B827" s="17" t="s">
        <v>2827</v>
      </c>
      <c r="C827" s="17" t="s">
        <v>11</v>
      </c>
      <c r="D827" s="17" t="s">
        <v>12</v>
      </c>
      <c r="E827" s="17" t="s">
        <v>13</v>
      </c>
      <c r="F827" s="16" t="s">
        <v>2828</v>
      </c>
    </row>
    <row r="828" spans="1:6" x14ac:dyDescent="0.25">
      <c r="A828" s="16" t="s">
        <v>2829</v>
      </c>
      <c r="B828" s="17" t="s">
        <v>2830</v>
      </c>
      <c r="C828" s="17" t="s">
        <v>11</v>
      </c>
      <c r="D828" s="17" t="s">
        <v>12</v>
      </c>
      <c r="E828" s="17" t="s">
        <v>13</v>
      </c>
      <c r="F828" s="16" t="s">
        <v>2831</v>
      </c>
    </row>
    <row r="829" spans="1:6" x14ac:dyDescent="0.25">
      <c r="A829" s="16" t="s">
        <v>2832</v>
      </c>
      <c r="B829" s="17" t="s">
        <v>2833</v>
      </c>
      <c r="C829" s="17" t="s">
        <v>11</v>
      </c>
      <c r="D829" s="17" t="s">
        <v>32</v>
      </c>
      <c r="E829" s="17" t="s">
        <v>20</v>
      </c>
      <c r="F829" s="16" t="s">
        <v>2834</v>
      </c>
    </row>
    <row r="830" spans="1:6" x14ac:dyDescent="0.25">
      <c r="A830" s="16" t="s">
        <v>2835</v>
      </c>
      <c r="B830" s="17" t="s">
        <v>2836</v>
      </c>
      <c r="C830" s="17" t="s">
        <v>11</v>
      </c>
      <c r="D830" s="17" t="s">
        <v>12</v>
      </c>
      <c r="E830" s="17" t="s">
        <v>13</v>
      </c>
      <c r="F830" s="16" t="s">
        <v>2837</v>
      </c>
    </row>
    <row r="831" spans="1:6" x14ac:dyDescent="0.25">
      <c r="A831" s="16" t="s">
        <v>2838</v>
      </c>
      <c r="B831" s="17" t="s">
        <v>2839</v>
      </c>
      <c r="C831" s="17" t="s">
        <v>11</v>
      </c>
      <c r="D831" s="17" t="s">
        <v>32</v>
      </c>
      <c r="E831" s="17" t="s">
        <v>20</v>
      </c>
      <c r="F831" s="16" t="s">
        <v>2840</v>
      </c>
    </row>
    <row r="832" spans="1:6" x14ac:dyDescent="0.25">
      <c r="A832" s="16" t="s">
        <v>2841</v>
      </c>
      <c r="B832" s="17" t="s">
        <v>2842</v>
      </c>
      <c r="C832" s="17" t="s">
        <v>11</v>
      </c>
      <c r="D832" s="17" t="s">
        <v>83</v>
      </c>
      <c r="E832" s="17" t="s">
        <v>20</v>
      </c>
      <c r="F832" s="16" t="s">
        <v>2843</v>
      </c>
    </row>
    <row r="833" spans="1:6" x14ac:dyDescent="0.25">
      <c r="A833" s="16" t="s">
        <v>2844</v>
      </c>
      <c r="B833" s="17" t="s">
        <v>2845</v>
      </c>
      <c r="C833" s="17" t="s">
        <v>11</v>
      </c>
      <c r="D833" s="17" t="s">
        <v>250</v>
      </c>
      <c r="E833" s="17" t="s">
        <v>20</v>
      </c>
      <c r="F833" s="16" t="s">
        <v>2846</v>
      </c>
    </row>
    <row r="834" spans="1:6" x14ac:dyDescent="0.25">
      <c r="A834" s="16" t="s">
        <v>2847</v>
      </c>
      <c r="B834" s="17" t="s">
        <v>2848</v>
      </c>
      <c r="C834" s="17" t="s">
        <v>11</v>
      </c>
      <c r="D834" s="17" t="s">
        <v>12</v>
      </c>
      <c r="E834" s="17" t="s">
        <v>13</v>
      </c>
      <c r="F834" s="16" t="s">
        <v>2849</v>
      </c>
    </row>
    <row r="835" spans="1:6" x14ac:dyDescent="0.25">
      <c r="A835" s="16" t="s">
        <v>2850</v>
      </c>
      <c r="B835" s="17" t="s">
        <v>2851</v>
      </c>
      <c r="C835" s="17" t="s">
        <v>11</v>
      </c>
      <c r="D835" s="17" t="s">
        <v>12</v>
      </c>
      <c r="E835" s="17" t="s">
        <v>13</v>
      </c>
      <c r="F835" s="16" t="s">
        <v>2852</v>
      </c>
    </row>
    <row r="836" spans="1:6" x14ac:dyDescent="0.25">
      <c r="A836" s="16" t="s">
        <v>2853</v>
      </c>
      <c r="B836" s="17" t="s">
        <v>2854</v>
      </c>
      <c r="C836" s="17" t="s">
        <v>11</v>
      </c>
      <c r="D836" s="17" t="s">
        <v>12</v>
      </c>
      <c r="E836" s="17" t="s">
        <v>13</v>
      </c>
      <c r="F836" s="16" t="s">
        <v>2855</v>
      </c>
    </row>
    <row r="837" spans="1:6" x14ac:dyDescent="0.25">
      <c r="A837" s="16" t="s">
        <v>2856</v>
      </c>
      <c r="B837" s="17" t="s">
        <v>2857</v>
      </c>
      <c r="C837" s="17" t="s">
        <v>11</v>
      </c>
      <c r="D837" s="17" t="s">
        <v>12</v>
      </c>
      <c r="E837" s="17" t="s">
        <v>13</v>
      </c>
      <c r="F837" s="16" t="s">
        <v>2858</v>
      </c>
    </row>
    <row r="838" spans="1:6" x14ac:dyDescent="0.25">
      <c r="A838" s="16" t="s">
        <v>2859</v>
      </c>
      <c r="B838" s="17" t="s">
        <v>2860</v>
      </c>
      <c r="C838" s="17" t="s">
        <v>11</v>
      </c>
      <c r="D838" s="17" t="s">
        <v>83</v>
      </c>
      <c r="E838" s="17" t="s">
        <v>20</v>
      </c>
      <c r="F838" s="16" t="s">
        <v>2861</v>
      </c>
    </row>
    <row r="839" spans="1:6" x14ac:dyDescent="0.25">
      <c r="A839" s="16" t="s">
        <v>2862</v>
      </c>
      <c r="B839" s="17" t="s">
        <v>2863</v>
      </c>
      <c r="C839" s="17" t="s">
        <v>11</v>
      </c>
      <c r="D839" s="17" t="s">
        <v>182</v>
      </c>
      <c r="E839" s="17" t="s">
        <v>20</v>
      </c>
      <c r="F839" s="16" t="s">
        <v>2864</v>
      </c>
    </row>
    <row r="840" spans="1:6" x14ac:dyDescent="0.25">
      <c r="A840" s="16" t="s">
        <v>2865</v>
      </c>
      <c r="B840" s="17" t="s">
        <v>2866</v>
      </c>
      <c r="C840" s="17" t="s">
        <v>11</v>
      </c>
      <c r="D840" s="17" t="s">
        <v>32</v>
      </c>
      <c r="E840" s="17" t="s">
        <v>20</v>
      </c>
      <c r="F840" s="16" t="s">
        <v>2867</v>
      </c>
    </row>
    <row r="841" spans="1:6" x14ac:dyDescent="0.25">
      <c r="A841" s="16" t="s">
        <v>2868</v>
      </c>
      <c r="B841" s="17" t="s">
        <v>2869</v>
      </c>
      <c r="C841" s="17" t="s">
        <v>11</v>
      </c>
      <c r="D841" s="17" t="s">
        <v>74</v>
      </c>
      <c r="E841" s="17" t="s">
        <v>20</v>
      </c>
      <c r="F841" s="16" t="s">
        <v>2870</v>
      </c>
    </row>
    <row r="842" spans="1:6" x14ac:dyDescent="0.25">
      <c r="A842" s="16" t="s">
        <v>2871</v>
      </c>
      <c r="B842" s="17" t="s">
        <v>2872</v>
      </c>
      <c r="C842" s="17" t="s">
        <v>11</v>
      </c>
      <c r="D842" s="17" t="s">
        <v>32</v>
      </c>
      <c r="E842" s="17" t="s">
        <v>20</v>
      </c>
      <c r="F842" s="16" t="s">
        <v>2873</v>
      </c>
    </row>
    <row r="843" spans="1:6" x14ac:dyDescent="0.25">
      <c r="A843" s="16" t="s">
        <v>2874</v>
      </c>
      <c r="B843" s="17" t="s">
        <v>2875</v>
      </c>
      <c r="C843" s="17" t="s">
        <v>11</v>
      </c>
      <c r="D843" s="17" t="s">
        <v>89</v>
      </c>
      <c r="E843" s="17" t="s">
        <v>20</v>
      </c>
      <c r="F843" s="16" t="s">
        <v>2876</v>
      </c>
    </row>
    <row r="844" spans="1:6" x14ac:dyDescent="0.25">
      <c r="A844" s="16" t="s">
        <v>2877</v>
      </c>
      <c r="B844" s="17" t="s">
        <v>2878</v>
      </c>
      <c r="C844" s="17" t="s">
        <v>11</v>
      </c>
      <c r="D844" s="17" t="s">
        <v>32</v>
      </c>
      <c r="E844" s="17" t="s">
        <v>20</v>
      </c>
      <c r="F844" s="16" t="s">
        <v>2879</v>
      </c>
    </row>
    <row r="845" spans="1:6" x14ac:dyDescent="0.25">
      <c r="A845" s="16" t="s">
        <v>2880</v>
      </c>
      <c r="B845" s="17" t="s">
        <v>2881</v>
      </c>
      <c r="C845" s="17" t="s">
        <v>11</v>
      </c>
      <c r="D845" s="17" t="s">
        <v>12</v>
      </c>
      <c r="E845" s="17" t="s">
        <v>13</v>
      </c>
      <c r="F845" s="16" t="s">
        <v>2882</v>
      </c>
    </row>
    <row r="846" spans="1:6" x14ac:dyDescent="0.25">
      <c r="A846" s="16" t="s">
        <v>2883</v>
      </c>
      <c r="B846" s="17" t="s">
        <v>2884</v>
      </c>
      <c r="C846" s="17" t="s">
        <v>11</v>
      </c>
      <c r="D846" s="17" t="s">
        <v>12</v>
      </c>
      <c r="E846" s="17" t="s">
        <v>13</v>
      </c>
      <c r="F846" s="16" t="s">
        <v>2885</v>
      </c>
    </row>
    <row r="847" spans="1:6" x14ac:dyDescent="0.25">
      <c r="A847" s="16" t="s">
        <v>2886</v>
      </c>
      <c r="B847" s="17" t="s">
        <v>2887</v>
      </c>
      <c r="C847" s="17" t="s">
        <v>11</v>
      </c>
      <c r="D847" s="17" t="s">
        <v>83</v>
      </c>
      <c r="E847" s="17" t="s">
        <v>20</v>
      </c>
      <c r="F847" s="16" t="s">
        <v>2888</v>
      </c>
    </row>
    <row r="848" spans="1:6" x14ac:dyDescent="0.25">
      <c r="A848" s="16" t="s">
        <v>2889</v>
      </c>
      <c r="B848" s="17" t="s">
        <v>2890</v>
      </c>
      <c r="C848" s="17" t="s">
        <v>11</v>
      </c>
      <c r="D848" s="17" t="s">
        <v>171</v>
      </c>
      <c r="E848" s="17" t="s">
        <v>13</v>
      </c>
      <c r="F848" s="16" t="s">
        <v>2891</v>
      </c>
    </row>
    <row r="849" spans="1:6" x14ac:dyDescent="0.25">
      <c r="A849" s="16" t="s">
        <v>2892</v>
      </c>
      <c r="B849" s="17" t="s">
        <v>2893</v>
      </c>
      <c r="C849" s="17" t="s">
        <v>11</v>
      </c>
      <c r="D849" s="17" t="s">
        <v>12</v>
      </c>
      <c r="E849" s="17" t="s">
        <v>13</v>
      </c>
      <c r="F849" s="16" t="s">
        <v>2894</v>
      </c>
    </row>
    <row r="850" spans="1:6" x14ac:dyDescent="0.25">
      <c r="A850" s="16" t="s">
        <v>2895</v>
      </c>
      <c r="B850" s="17" t="s">
        <v>2896</v>
      </c>
      <c r="C850" s="17" t="s">
        <v>11</v>
      </c>
      <c r="D850" s="17" t="s">
        <v>32</v>
      </c>
      <c r="E850" s="17" t="s">
        <v>20</v>
      </c>
      <c r="F850" s="16" t="s">
        <v>2897</v>
      </c>
    </row>
    <row r="851" spans="1:6" x14ac:dyDescent="0.25">
      <c r="A851" s="16" t="s">
        <v>2898</v>
      </c>
      <c r="B851" s="17" t="s">
        <v>2899</v>
      </c>
      <c r="C851" s="17" t="s">
        <v>11</v>
      </c>
      <c r="D851" s="17" t="s">
        <v>32</v>
      </c>
      <c r="E851" s="17" t="s">
        <v>20</v>
      </c>
      <c r="F851" s="16" t="s">
        <v>2900</v>
      </c>
    </row>
    <row r="852" spans="1:6" x14ac:dyDescent="0.25">
      <c r="A852" s="16" t="s">
        <v>2901</v>
      </c>
      <c r="B852" s="17" t="s">
        <v>2902</v>
      </c>
      <c r="C852" s="17" t="s">
        <v>11</v>
      </c>
      <c r="D852" s="17" t="s">
        <v>12</v>
      </c>
      <c r="E852" s="17" t="s">
        <v>13</v>
      </c>
      <c r="F852" s="16" t="s">
        <v>2903</v>
      </c>
    </row>
    <row r="853" spans="1:6" x14ac:dyDescent="0.25">
      <c r="A853" s="16" t="s">
        <v>2904</v>
      </c>
      <c r="B853" s="17" t="s">
        <v>2905</v>
      </c>
      <c r="C853" s="17" t="s">
        <v>11</v>
      </c>
      <c r="D853" s="17" t="s">
        <v>12</v>
      </c>
      <c r="E853" s="17" t="s">
        <v>13</v>
      </c>
      <c r="F853" s="16" t="s">
        <v>2906</v>
      </c>
    </row>
    <row r="854" spans="1:6" x14ac:dyDescent="0.25">
      <c r="A854" s="16" t="s">
        <v>2907</v>
      </c>
      <c r="B854" s="17" t="s">
        <v>2908</v>
      </c>
      <c r="C854" s="17" t="s">
        <v>11</v>
      </c>
      <c r="D854" s="17" t="s">
        <v>171</v>
      </c>
      <c r="E854" s="17" t="s">
        <v>13</v>
      </c>
      <c r="F854" s="16" t="s">
        <v>2909</v>
      </c>
    </row>
    <row r="855" spans="1:6" x14ac:dyDescent="0.25">
      <c r="A855" s="16" t="s">
        <v>2910</v>
      </c>
      <c r="B855" s="17" t="s">
        <v>2911</v>
      </c>
      <c r="C855" s="17" t="s">
        <v>11</v>
      </c>
      <c r="D855" s="17" t="s">
        <v>12</v>
      </c>
      <c r="E855" s="17" t="s">
        <v>13</v>
      </c>
      <c r="F855" s="16" t="s">
        <v>2912</v>
      </c>
    </row>
    <row r="856" spans="1:6" x14ac:dyDescent="0.25">
      <c r="A856" s="16" t="s">
        <v>2913</v>
      </c>
      <c r="B856" s="17" t="s">
        <v>2914</v>
      </c>
      <c r="C856" s="17" t="s">
        <v>11</v>
      </c>
      <c r="D856" s="17" t="s">
        <v>12</v>
      </c>
      <c r="E856" s="17" t="s">
        <v>13</v>
      </c>
      <c r="F856" s="16" t="s">
        <v>2915</v>
      </c>
    </row>
    <row r="857" spans="1:6" x14ac:dyDescent="0.25">
      <c r="A857" s="16" t="s">
        <v>2916</v>
      </c>
      <c r="B857" s="17" t="s">
        <v>2917</v>
      </c>
      <c r="C857" s="17" t="s">
        <v>11</v>
      </c>
      <c r="D857" s="17" t="s">
        <v>12</v>
      </c>
      <c r="E857" s="17" t="s">
        <v>13</v>
      </c>
      <c r="F857" s="16" t="s">
        <v>2918</v>
      </c>
    </row>
    <row r="858" spans="1:6" x14ac:dyDescent="0.25">
      <c r="A858" s="16" t="s">
        <v>2919</v>
      </c>
      <c r="B858" s="17" t="s">
        <v>2920</v>
      </c>
      <c r="C858" s="17" t="s">
        <v>11</v>
      </c>
      <c r="D858" s="17" t="s">
        <v>12</v>
      </c>
      <c r="E858" s="17" t="s">
        <v>13</v>
      </c>
      <c r="F858" s="16" t="s">
        <v>2921</v>
      </c>
    </row>
    <row r="859" spans="1:6" x14ac:dyDescent="0.25">
      <c r="A859" s="16" t="s">
        <v>2922</v>
      </c>
      <c r="B859" s="17" t="s">
        <v>2923</v>
      </c>
      <c r="C859" s="17" t="s">
        <v>11</v>
      </c>
      <c r="D859" s="17" t="s">
        <v>12</v>
      </c>
      <c r="E859" s="17" t="s">
        <v>13</v>
      </c>
      <c r="F859" s="16" t="s">
        <v>2924</v>
      </c>
    </row>
    <row r="860" spans="1:6" x14ac:dyDescent="0.25">
      <c r="A860" s="16" t="s">
        <v>2925</v>
      </c>
      <c r="B860" s="17" t="s">
        <v>2926</v>
      </c>
      <c r="C860" s="17" t="s">
        <v>11</v>
      </c>
      <c r="D860" s="17" t="s">
        <v>12</v>
      </c>
      <c r="E860" s="17" t="s">
        <v>13</v>
      </c>
      <c r="F860" s="16" t="s">
        <v>2927</v>
      </c>
    </row>
    <row r="861" spans="1:6" x14ac:dyDescent="0.25">
      <c r="A861" s="16" t="s">
        <v>2928</v>
      </c>
      <c r="B861" s="17" t="s">
        <v>2929</v>
      </c>
      <c r="C861" s="17" t="s">
        <v>11</v>
      </c>
      <c r="D861" s="17" t="s">
        <v>12</v>
      </c>
      <c r="E861" s="17" t="s">
        <v>13</v>
      </c>
      <c r="F861" s="16" t="s">
        <v>2930</v>
      </c>
    </row>
    <row r="862" spans="1:6" x14ac:dyDescent="0.25">
      <c r="A862" s="16" t="s">
        <v>2931</v>
      </c>
      <c r="B862" s="17" t="s">
        <v>2932</v>
      </c>
      <c r="C862" s="17" t="s">
        <v>11</v>
      </c>
      <c r="D862" s="17" t="s">
        <v>12</v>
      </c>
      <c r="E862" s="17" t="s">
        <v>13</v>
      </c>
      <c r="F862" s="16" t="s">
        <v>2933</v>
      </c>
    </row>
    <row r="863" spans="1:6" x14ac:dyDescent="0.25">
      <c r="A863" s="16" t="s">
        <v>2934</v>
      </c>
      <c r="B863" s="17" t="s">
        <v>2935</v>
      </c>
      <c r="C863" s="17" t="s">
        <v>11</v>
      </c>
      <c r="D863" s="17" t="s">
        <v>32</v>
      </c>
      <c r="E863" s="17" t="s">
        <v>20</v>
      </c>
      <c r="F863" s="16" t="s">
        <v>2936</v>
      </c>
    </row>
    <row r="864" spans="1:6" x14ac:dyDescent="0.25">
      <c r="A864" s="16" t="s">
        <v>2937</v>
      </c>
      <c r="B864" s="17" t="s">
        <v>2938</v>
      </c>
      <c r="C864" s="17" t="s">
        <v>11</v>
      </c>
      <c r="D864" s="17" t="s">
        <v>12</v>
      </c>
      <c r="E864" s="17" t="s">
        <v>13</v>
      </c>
      <c r="F864" s="16" t="s">
        <v>2939</v>
      </c>
    </row>
    <row r="865" spans="1:6" x14ac:dyDescent="0.25">
      <c r="A865" s="16" t="s">
        <v>2940</v>
      </c>
      <c r="B865" s="17" t="s">
        <v>2941</v>
      </c>
      <c r="C865" s="17" t="s">
        <v>11</v>
      </c>
      <c r="D865" s="17" t="s">
        <v>1402</v>
      </c>
      <c r="E865" s="17" t="s">
        <v>13</v>
      </c>
      <c r="F865" s="16" t="s">
        <v>2942</v>
      </c>
    </row>
    <row r="866" spans="1:6" x14ac:dyDescent="0.25">
      <c r="A866" s="16" t="s">
        <v>2943</v>
      </c>
      <c r="B866" s="17" t="s">
        <v>2944</v>
      </c>
      <c r="C866" s="17" t="s">
        <v>11</v>
      </c>
      <c r="D866" s="17" t="s">
        <v>32</v>
      </c>
      <c r="E866" s="17" t="s">
        <v>20</v>
      </c>
      <c r="F866" s="16" t="s">
        <v>2945</v>
      </c>
    </row>
    <row r="867" spans="1:6" x14ac:dyDescent="0.25">
      <c r="A867" s="16" t="s">
        <v>2946</v>
      </c>
      <c r="B867" s="17" t="s">
        <v>2947</v>
      </c>
      <c r="C867" s="17" t="s">
        <v>11</v>
      </c>
      <c r="D867" s="17" t="s">
        <v>12</v>
      </c>
      <c r="E867" s="17" t="s">
        <v>13</v>
      </c>
      <c r="F867" s="16" t="s">
        <v>2948</v>
      </c>
    </row>
    <row r="868" spans="1:6" x14ac:dyDescent="0.25">
      <c r="A868" s="16" t="s">
        <v>2949</v>
      </c>
      <c r="B868" s="17" t="s">
        <v>2950</v>
      </c>
      <c r="C868" s="17" t="s">
        <v>11</v>
      </c>
      <c r="D868" s="17" t="s">
        <v>12</v>
      </c>
      <c r="E868" s="17" t="s">
        <v>13</v>
      </c>
      <c r="F868" s="16" t="s">
        <v>2951</v>
      </c>
    </row>
    <row r="869" spans="1:6" x14ac:dyDescent="0.25">
      <c r="A869" s="16" t="s">
        <v>2952</v>
      </c>
      <c r="B869" s="17" t="s">
        <v>2953</v>
      </c>
      <c r="C869" s="17" t="s">
        <v>11</v>
      </c>
      <c r="D869" s="17" t="s">
        <v>12</v>
      </c>
      <c r="E869" s="17" t="s">
        <v>13</v>
      </c>
      <c r="F869" s="16" t="s">
        <v>2954</v>
      </c>
    </row>
    <row r="870" spans="1:6" x14ac:dyDescent="0.25">
      <c r="A870" s="16" t="s">
        <v>2955</v>
      </c>
      <c r="B870" s="17" t="s">
        <v>2956</v>
      </c>
      <c r="C870" s="17" t="s">
        <v>11</v>
      </c>
      <c r="D870" s="17" t="s">
        <v>12</v>
      </c>
      <c r="E870" s="17" t="s">
        <v>13</v>
      </c>
      <c r="F870" s="16" t="s">
        <v>2957</v>
      </c>
    </row>
    <row r="871" spans="1:6" x14ac:dyDescent="0.25">
      <c r="A871" s="16" t="s">
        <v>2958</v>
      </c>
      <c r="B871" s="17" t="s">
        <v>2959</v>
      </c>
      <c r="C871" s="17" t="s">
        <v>11</v>
      </c>
      <c r="D871" s="17" t="s">
        <v>1318</v>
      </c>
      <c r="E871" s="17" t="s">
        <v>20</v>
      </c>
      <c r="F871" s="16" t="s">
        <v>2960</v>
      </c>
    </row>
    <row r="872" spans="1:6" x14ac:dyDescent="0.25">
      <c r="A872" s="16" t="s">
        <v>2961</v>
      </c>
      <c r="B872" s="17" t="s">
        <v>2962</v>
      </c>
      <c r="C872" s="17" t="s">
        <v>11</v>
      </c>
      <c r="D872" s="17" t="s">
        <v>12</v>
      </c>
      <c r="E872" s="17" t="s">
        <v>13</v>
      </c>
      <c r="F872" s="16" t="s">
        <v>2963</v>
      </c>
    </row>
    <row r="873" spans="1:6" x14ac:dyDescent="0.25">
      <c r="A873" s="16" t="s">
        <v>2964</v>
      </c>
      <c r="B873" s="17" t="s">
        <v>2965</v>
      </c>
      <c r="C873" s="17" t="s">
        <v>11</v>
      </c>
      <c r="D873" s="17" t="s">
        <v>12</v>
      </c>
      <c r="E873" s="17" t="s">
        <v>13</v>
      </c>
      <c r="F873" s="16" t="s">
        <v>2966</v>
      </c>
    </row>
    <row r="874" spans="1:6" x14ac:dyDescent="0.25">
      <c r="A874" s="16" t="s">
        <v>2967</v>
      </c>
      <c r="B874" s="17" t="s">
        <v>2968</v>
      </c>
      <c r="C874" s="17" t="s">
        <v>11</v>
      </c>
      <c r="D874" s="17" t="s">
        <v>250</v>
      </c>
      <c r="E874" s="17" t="s">
        <v>20</v>
      </c>
      <c r="F874" s="16" t="s">
        <v>2969</v>
      </c>
    </row>
    <row r="875" spans="1:6" x14ac:dyDescent="0.25">
      <c r="A875" s="16" t="s">
        <v>2970</v>
      </c>
      <c r="B875" s="17" t="s">
        <v>2971</v>
      </c>
      <c r="C875" s="17" t="s">
        <v>11</v>
      </c>
      <c r="D875" s="17" t="s">
        <v>26</v>
      </c>
      <c r="E875" s="17" t="s">
        <v>20</v>
      </c>
      <c r="F875" s="16" t="s">
        <v>2972</v>
      </c>
    </row>
    <row r="876" spans="1:6" x14ac:dyDescent="0.25">
      <c r="A876" s="16" t="s">
        <v>2973</v>
      </c>
      <c r="B876" s="17" t="s">
        <v>2974</v>
      </c>
      <c r="C876" s="17" t="s">
        <v>11</v>
      </c>
      <c r="D876" s="17" t="s">
        <v>12</v>
      </c>
      <c r="E876" s="17" t="s">
        <v>13</v>
      </c>
      <c r="F876" s="16" t="s">
        <v>2975</v>
      </c>
    </row>
    <row r="877" spans="1:6" x14ac:dyDescent="0.25">
      <c r="A877" s="16" t="s">
        <v>2976</v>
      </c>
      <c r="B877" s="17" t="s">
        <v>2977</v>
      </c>
      <c r="C877" s="17" t="s">
        <v>11</v>
      </c>
      <c r="D877" s="17" t="s">
        <v>12</v>
      </c>
      <c r="E877" s="17" t="s">
        <v>13</v>
      </c>
      <c r="F877" s="16" t="s">
        <v>2978</v>
      </c>
    </row>
    <row r="878" spans="1:6" x14ac:dyDescent="0.25">
      <c r="A878" s="16" t="s">
        <v>2979</v>
      </c>
      <c r="B878" s="17" t="s">
        <v>2980</v>
      </c>
      <c r="C878" s="17" t="s">
        <v>11</v>
      </c>
      <c r="D878" s="17" t="s">
        <v>32</v>
      </c>
      <c r="E878" s="17" t="s">
        <v>20</v>
      </c>
      <c r="F878" s="16" t="s">
        <v>2981</v>
      </c>
    </row>
    <row r="879" spans="1:6" x14ac:dyDescent="0.25">
      <c r="A879" s="16" t="s">
        <v>2982</v>
      </c>
      <c r="B879" s="17" t="s">
        <v>2983</v>
      </c>
      <c r="C879" s="17" t="s">
        <v>11</v>
      </c>
      <c r="D879" s="17" t="s">
        <v>12</v>
      </c>
      <c r="E879" s="17" t="s">
        <v>13</v>
      </c>
      <c r="F879" s="16" t="s">
        <v>2984</v>
      </c>
    </row>
    <row r="880" spans="1:6" x14ac:dyDescent="0.25">
      <c r="A880" s="16" t="s">
        <v>2985</v>
      </c>
      <c r="B880" s="17" t="s">
        <v>2986</v>
      </c>
      <c r="C880" s="17" t="s">
        <v>11</v>
      </c>
      <c r="D880" s="17" t="s">
        <v>12</v>
      </c>
      <c r="E880" s="17" t="s">
        <v>13</v>
      </c>
      <c r="F880" s="16" t="s">
        <v>2987</v>
      </c>
    </row>
    <row r="881" spans="1:6" x14ac:dyDescent="0.25">
      <c r="A881" s="16" t="s">
        <v>2988</v>
      </c>
      <c r="B881" s="17" t="s">
        <v>2989</v>
      </c>
      <c r="C881" s="17" t="s">
        <v>11</v>
      </c>
      <c r="D881" s="17" t="s">
        <v>12</v>
      </c>
      <c r="E881" s="17" t="s">
        <v>13</v>
      </c>
      <c r="F881" s="16" t="s">
        <v>2990</v>
      </c>
    </row>
    <row r="882" spans="1:6" x14ac:dyDescent="0.25">
      <c r="A882" s="16" t="s">
        <v>2991</v>
      </c>
      <c r="B882" s="17" t="s">
        <v>2992</v>
      </c>
      <c r="C882" s="17" t="s">
        <v>11</v>
      </c>
      <c r="D882" s="17" t="s">
        <v>12</v>
      </c>
      <c r="E882" s="17" t="s">
        <v>13</v>
      </c>
      <c r="F882" s="16" t="s">
        <v>2993</v>
      </c>
    </row>
    <row r="883" spans="1:6" x14ac:dyDescent="0.25">
      <c r="A883" s="16" t="s">
        <v>2994</v>
      </c>
      <c r="B883" s="17" t="s">
        <v>2995</v>
      </c>
      <c r="C883" s="17" t="s">
        <v>11</v>
      </c>
      <c r="D883" s="17" t="s">
        <v>12</v>
      </c>
      <c r="E883" s="17" t="s">
        <v>13</v>
      </c>
      <c r="F883" s="16" t="s">
        <v>2996</v>
      </c>
    </row>
    <row r="884" spans="1:6" x14ac:dyDescent="0.25">
      <c r="A884" s="16" t="s">
        <v>2997</v>
      </c>
      <c r="B884" s="17" t="s">
        <v>2998</v>
      </c>
      <c r="C884" s="17" t="s">
        <v>11</v>
      </c>
      <c r="D884" s="17" t="s">
        <v>1402</v>
      </c>
      <c r="E884" s="17" t="s">
        <v>13</v>
      </c>
      <c r="F884" s="16" t="s">
        <v>2999</v>
      </c>
    </row>
    <row r="885" spans="1:6" x14ac:dyDescent="0.25">
      <c r="A885" s="16" t="s">
        <v>3000</v>
      </c>
      <c r="B885" s="17" t="s">
        <v>3001</v>
      </c>
      <c r="C885" s="17" t="s">
        <v>11</v>
      </c>
      <c r="D885" s="17" t="s">
        <v>182</v>
      </c>
      <c r="E885" s="17" t="s">
        <v>20</v>
      </c>
      <c r="F885" s="16" t="s">
        <v>3002</v>
      </c>
    </row>
    <row r="886" spans="1:6" x14ac:dyDescent="0.25">
      <c r="A886" s="16" t="s">
        <v>3003</v>
      </c>
      <c r="B886" s="17" t="s">
        <v>3004</v>
      </c>
      <c r="C886" s="17" t="s">
        <v>11</v>
      </c>
      <c r="D886" s="17" t="s">
        <v>148</v>
      </c>
      <c r="E886" s="17" t="s">
        <v>20</v>
      </c>
      <c r="F886" s="16" t="s">
        <v>3005</v>
      </c>
    </row>
    <row r="887" spans="1:6" x14ac:dyDescent="0.25">
      <c r="A887" s="16" t="s">
        <v>3006</v>
      </c>
      <c r="B887" s="17" t="s">
        <v>3007</v>
      </c>
      <c r="C887" s="17" t="s">
        <v>11</v>
      </c>
      <c r="D887" s="17" t="s">
        <v>32</v>
      </c>
      <c r="E887" s="17" t="s">
        <v>20</v>
      </c>
      <c r="F887" s="16" t="s">
        <v>3008</v>
      </c>
    </row>
    <row r="888" spans="1:6" x14ac:dyDescent="0.25">
      <c r="A888" s="16" t="s">
        <v>3009</v>
      </c>
      <c r="B888" s="17" t="s">
        <v>3010</v>
      </c>
      <c r="C888" s="17" t="s">
        <v>11</v>
      </c>
      <c r="D888" s="17" t="s">
        <v>74</v>
      </c>
      <c r="E888" s="17" t="s">
        <v>20</v>
      </c>
      <c r="F888" s="16" t="s">
        <v>3011</v>
      </c>
    </row>
    <row r="889" spans="1:6" x14ac:dyDescent="0.25">
      <c r="A889" s="16" t="s">
        <v>3012</v>
      </c>
      <c r="B889" s="17" t="s">
        <v>3013</v>
      </c>
      <c r="C889" s="17" t="s">
        <v>11</v>
      </c>
      <c r="D889" s="17" t="s">
        <v>291</v>
      </c>
      <c r="E889" s="17" t="s">
        <v>20</v>
      </c>
      <c r="F889" s="16" t="s">
        <v>3014</v>
      </c>
    </row>
    <row r="890" spans="1:6" x14ac:dyDescent="0.25">
      <c r="A890" s="16" t="s">
        <v>3015</v>
      </c>
      <c r="B890" s="17" t="s">
        <v>3016</v>
      </c>
      <c r="C890" s="17" t="s">
        <v>11</v>
      </c>
      <c r="D890" s="17" t="s">
        <v>74</v>
      </c>
      <c r="E890" s="17" t="s">
        <v>20</v>
      </c>
      <c r="F890" s="16" t="s">
        <v>3017</v>
      </c>
    </row>
    <row r="891" spans="1:6" x14ac:dyDescent="0.25">
      <c r="A891" s="16" t="s">
        <v>3018</v>
      </c>
      <c r="B891" s="17" t="s">
        <v>3019</v>
      </c>
      <c r="C891" s="17" t="s">
        <v>11</v>
      </c>
      <c r="D891" s="17" t="s">
        <v>26</v>
      </c>
      <c r="E891" s="17" t="s">
        <v>20</v>
      </c>
      <c r="F891" s="16" t="s">
        <v>3020</v>
      </c>
    </row>
    <row r="892" spans="1:6" x14ac:dyDescent="0.25">
      <c r="A892" s="16" t="s">
        <v>3021</v>
      </c>
      <c r="B892" s="17" t="s">
        <v>3022</v>
      </c>
      <c r="C892" s="17" t="s">
        <v>11</v>
      </c>
      <c r="D892" s="17" t="s">
        <v>26</v>
      </c>
      <c r="E892" s="17" t="s">
        <v>20</v>
      </c>
      <c r="F892" s="16" t="s">
        <v>3023</v>
      </c>
    </row>
    <row r="893" spans="1:6" x14ac:dyDescent="0.25">
      <c r="A893" s="16" t="s">
        <v>3024</v>
      </c>
      <c r="B893" s="17" t="s">
        <v>3025</v>
      </c>
      <c r="C893" s="17" t="s">
        <v>11</v>
      </c>
      <c r="D893" s="17" t="s">
        <v>12</v>
      </c>
      <c r="E893" s="17" t="s">
        <v>13</v>
      </c>
      <c r="F893" s="16" t="s">
        <v>3026</v>
      </c>
    </row>
    <row r="894" spans="1:6" x14ac:dyDescent="0.25">
      <c r="A894" s="16" t="s">
        <v>3027</v>
      </c>
      <c r="B894" s="17" t="s">
        <v>3028</v>
      </c>
      <c r="C894" s="17" t="s">
        <v>11</v>
      </c>
      <c r="D894" s="17" t="s">
        <v>12</v>
      </c>
      <c r="E894" s="17" t="s">
        <v>13</v>
      </c>
      <c r="F894" s="16" t="s">
        <v>3029</v>
      </c>
    </row>
    <row r="895" spans="1:6" x14ac:dyDescent="0.25">
      <c r="A895" s="16" t="s">
        <v>3030</v>
      </c>
      <c r="B895" s="17" t="s">
        <v>3031</v>
      </c>
      <c r="C895" s="17" t="s">
        <v>11</v>
      </c>
      <c r="D895" s="17" t="s">
        <v>12</v>
      </c>
      <c r="E895" s="17" t="s">
        <v>13</v>
      </c>
      <c r="F895" s="16" t="s">
        <v>3032</v>
      </c>
    </row>
    <row r="896" spans="1:6" x14ac:dyDescent="0.25">
      <c r="A896" s="16" t="s">
        <v>3033</v>
      </c>
      <c r="B896" s="17" t="s">
        <v>3034</v>
      </c>
      <c r="C896" s="17" t="s">
        <v>11</v>
      </c>
      <c r="D896" s="17" t="s">
        <v>83</v>
      </c>
      <c r="E896" s="17" t="s">
        <v>20</v>
      </c>
      <c r="F896" s="16" t="s">
        <v>3035</v>
      </c>
    </row>
    <row r="897" spans="1:6" x14ac:dyDescent="0.25">
      <c r="A897" s="16" t="s">
        <v>3036</v>
      </c>
      <c r="B897" s="17" t="s">
        <v>3037</v>
      </c>
      <c r="C897" s="17" t="s">
        <v>11</v>
      </c>
      <c r="D897" s="17" t="s">
        <v>80</v>
      </c>
      <c r="E897" s="17" t="s">
        <v>20</v>
      </c>
      <c r="F897" s="16" t="s">
        <v>3038</v>
      </c>
    </row>
    <row r="898" spans="1:6" x14ac:dyDescent="0.25">
      <c r="A898" s="16" t="s">
        <v>3039</v>
      </c>
      <c r="B898" s="17" t="s">
        <v>3040</v>
      </c>
      <c r="C898" s="17" t="s">
        <v>11</v>
      </c>
      <c r="D898" s="17" t="s">
        <v>12</v>
      </c>
      <c r="E898" s="17" t="s">
        <v>13</v>
      </c>
      <c r="F898" s="16" t="s">
        <v>3041</v>
      </c>
    </row>
    <row r="899" spans="1:6" x14ac:dyDescent="0.25">
      <c r="A899" s="16" t="s">
        <v>3042</v>
      </c>
      <c r="B899" s="17" t="s">
        <v>3043</v>
      </c>
      <c r="C899" s="17" t="s">
        <v>11</v>
      </c>
      <c r="D899" s="17" t="s">
        <v>12</v>
      </c>
      <c r="E899" s="17" t="s">
        <v>13</v>
      </c>
      <c r="F899" s="16" t="s">
        <v>3044</v>
      </c>
    </row>
    <row r="900" spans="1:6" x14ac:dyDescent="0.25">
      <c r="A900" s="16" t="s">
        <v>3045</v>
      </c>
      <c r="B900" s="17" t="s">
        <v>3046</v>
      </c>
      <c r="C900" s="17" t="s">
        <v>11</v>
      </c>
      <c r="D900" s="17" t="s">
        <v>12</v>
      </c>
      <c r="E900" s="17" t="s">
        <v>13</v>
      </c>
      <c r="F900" s="16" t="s">
        <v>3047</v>
      </c>
    </row>
    <row r="901" spans="1:6" x14ac:dyDescent="0.25">
      <c r="A901" s="16" t="s">
        <v>3048</v>
      </c>
      <c r="B901" s="17" t="s">
        <v>3049</v>
      </c>
      <c r="C901" s="17" t="s">
        <v>11</v>
      </c>
      <c r="D901" s="17" t="s">
        <v>12</v>
      </c>
      <c r="E901" s="17" t="s">
        <v>13</v>
      </c>
      <c r="F901" s="16" t="s">
        <v>3050</v>
      </c>
    </row>
    <row r="902" spans="1:6" x14ac:dyDescent="0.25">
      <c r="A902" s="16" t="s">
        <v>3051</v>
      </c>
      <c r="B902" s="17" t="s">
        <v>3052</v>
      </c>
      <c r="C902" s="17" t="s">
        <v>11</v>
      </c>
      <c r="D902" s="17" t="s">
        <v>80</v>
      </c>
      <c r="E902" s="17" t="s">
        <v>20</v>
      </c>
      <c r="F902" s="16" t="s">
        <v>3053</v>
      </c>
    </row>
    <row r="903" spans="1:6" x14ac:dyDescent="0.25">
      <c r="A903" s="16" t="s">
        <v>3054</v>
      </c>
      <c r="B903" s="17" t="s">
        <v>3055</v>
      </c>
      <c r="C903" s="17" t="s">
        <v>11</v>
      </c>
      <c r="D903" s="17" t="s">
        <v>80</v>
      </c>
      <c r="E903" s="17" t="s">
        <v>20</v>
      </c>
      <c r="F903" s="16" t="s">
        <v>3056</v>
      </c>
    </row>
    <row r="904" spans="1:6" x14ac:dyDescent="0.25">
      <c r="A904" s="16" t="s">
        <v>3057</v>
      </c>
      <c r="B904" s="17" t="s">
        <v>3058</v>
      </c>
      <c r="C904" s="17" t="s">
        <v>11</v>
      </c>
      <c r="D904" s="17" t="s">
        <v>12</v>
      </c>
      <c r="E904" s="17" t="s">
        <v>13</v>
      </c>
      <c r="F904" s="16" t="s">
        <v>3059</v>
      </c>
    </row>
    <row r="905" spans="1:6" x14ac:dyDescent="0.25">
      <c r="A905" s="16" t="s">
        <v>3060</v>
      </c>
      <c r="B905" s="17" t="s">
        <v>3061</v>
      </c>
      <c r="C905" s="17" t="s">
        <v>11</v>
      </c>
      <c r="D905" s="17" t="s">
        <v>12</v>
      </c>
      <c r="E905" s="17" t="s">
        <v>13</v>
      </c>
      <c r="F905" s="16" t="s">
        <v>3062</v>
      </c>
    </row>
    <row r="906" spans="1:6" x14ac:dyDescent="0.25">
      <c r="A906" s="16" t="s">
        <v>3063</v>
      </c>
      <c r="B906" s="17" t="s">
        <v>3064</v>
      </c>
      <c r="C906" s="17" t="s">
        <v>11</v>
      </c>
      <c r="D906" s="17" t="s">
        <v>12</v>
      </c>
      <c r="E906" s="17" t="s">
        <v>13</v>
      </c>
      <c r="F906" s="16" t="s">
        <v>3065</v>
      </c>
    </row>
    <row r="907" spans="1:6" x14ac:dyDescent="0.25">
      <c r="A907" s="16" t="s">
        <v>3066</v>
      </c>
      <c r="B907" s="17" t="s">
        <v>3067</v>
      </c>
      <c r="C907" s="17" t="s">
        <v>11</v>
      </c>
      <c r="D907" s="17" t="s">
        <v>182</v>
      </c>
      <c r="E907" s="17" t="s">
        <v>20</v>
      </c>
      <c r="F907" s="16" t="s">
        <v>3068</v>
      </c>
    </row>
    <row r="908" spans="1:6" x14ac:dyDescent="0.25">
      <c r="A908" s="16" t="s">
        <v>3069</v>
      </c>
      <c r="B908" s="17" t="s">
        <v>3070</v>
      </c>
      <c r="C908" s="17" t="s">
        <v>11</v>
      </c>
      <c r="D908" s="17" t="s">
        <v>80</v>
      </c>
      <c r="E908" s="17" t="s">
        <v>20</v>
      </c>
      <c r="F908" s="16" t="s">
        <v>3071</v>
      </c>
    </row>
    <row r="909" spans="1:6" x14ac:dyDescent="0.25">
      <c r="A909" s="16" t="s">
        <v>3072</v>
      </c>
      <c r="B909" s="17" t="s">
        <v>3073</v>
      </c>
      <c r="C909" s="17" t="s">
        <v>11</v>
      </c>
      <c r="D909" s="17" t="s">
        <v>186</v>
      </c>
      <c r="E909" s="17" t="s">
        <v>20</v>
      </c>
      <c r="F909" s="16" t="s">
        <v>3074</v>
      </c>
    </row>
    <row r="910" spans="1:6" x14ac:dyDescent="0.25">
      <c r="A910" s="16" t="s">
        <v>3075</v>
      </c>
      <c r="B910" s="17" t="s">
        <v>3076</v>
      </c>
      <c r="C910" s="17" t="s">
        <v>11</v>
      </c>
      <c r="D910" s="17" t="s">
        <v>182</v>
      </c>
      <c r="E910" s="17" t="s">
        <v>20</v>
      </c>
      <c r="F910" s="16" t="s">
        <v>3077</v>
      </c>
    </row>
    <row r="911" spans="1:6" x14ac:dyDescent="0.25">
      <c r="A911" s="16" t="s">
        <v>3078</v>
      </c>
      <c r="B911" s="17" t="s">
        <v>3079</v>
      </c>
      <c r="C911" s="17" t="s">
        <v>11</v>
      </c>
      <c r="D911" s="17" t="s">
        <v>32</v>
      </c>
      <c r="E911" s="17" t="s">
        <v>20</v>
      </c>
      <c r="F911" s="16" t="s">
        <v>3080</v>
      </c>
    </row>
    <row r="912" spans="1:6" x14ac:dyDescent="0.25">
      <c r="A912" s="16" t="s">
        <v>3081</v>
      </c>
      <c r="B912" s="17" t="s">
        <v>3082</v>
      </c>
      <c r="C912" s="17" t="s">
        <v>11</v>
      </c>
      <c r="D912" s="17" t="s">
        <v>250</v>
      </c>
      <c r="E912" s="17" t="s">
        <v>20</v>
      </c>
      <c r="F912" s="16" t="s">
        <v>3083</v>
      </c>
    </row>
    <row r="913" spans="1:6" x14ac:dyDescent="0.25">
      <c r="A913" s="16" t="s">
        <v>3084</v>
      </c>
      <c r="B913" s="17" t="s">
        <v>3085</v>
      </c>
      <c r="C913" s="17" t="s">
        <v>11</v>
      </c>
      <c r="D913" s="17" t="s">
        <v>570</v>
      </c>
      <c r="E913" s="17" t="s">
        <v>20</v>
      </c>
      <c r="F913" s="16" t="s">
        <v>3086</v>
      </c>
    </row>
    <row r="914" spans="1:6" x14ac:dyDescent="0.25">
      <c r="A914" s="16" t="s">
        <v>3087</v>
      </c>
      <c r="B914" s="17" t="s">
        <v>3088</v>
      </c>
      <c r="C914" s="17" t="s">
        <v>11</v>
      </c>
      <c r="D914" s="17" t="s">
        <v>59</v>
      </c>
      <c r="E914" s="17" t="s">
        <v>13</v>
      </c>
      <c r="F914" s="16" t="s">
        <v>3089</v>
      </c>
    </row>
    <row r="915" spans="1:6" x14ac:dyDescent="0.25">
      <c r="A915" s="16" t="s">
        <v>3090</v>
      </c>
      <c r="B915" s="17" t="s">
        <v>3091</v>
      </c>
      <c r="C915" s="17" t="s">
        <v>11</v>
      </c>
      <c r="D915" s="17" t="s">
        <v>74</v>
      </c>
      <c r="E915" s="17" t="s">
        <v>20</v>
      </c>
      <c r="F915" s="16" t="s">
        <v>3092</v>
      </c>
    </row>
    <row r="916" spans="1:6" x14ac:dyDescent="0.25">
      <c r="A916" s="16" t="s">
        <v>3093</v>
      </c>
      <c r="B916" s="17" t="s">
        <v>3094</v>
      </c>
      <c r="C916" s="17" t="s">
        <v>11</v>
      </c>
      <c r="D916" s="17" t="s">
        <v>32</v>
      </c>
      <c r="E916" s="17" t="s">
        <v>20</v>
      </c>
      <c r="F916" s="16" t="s">
        <v>3095</v>
      </c>
    </row>
    <row r="917" spans="1:6" x14ac:dyDescent="0.25">
      <c r="A917" s="16" t="s">
        <v>3096</v>
      </c>
      <c r="B917" s="17" t="s">
        <v>3097</v>
      </c>
      <c r="C917" s="17" t="s">
        <v>11</v>
      </c>
      <c r="D917" s="17" t="s">
        <v>12</v>
      </c>
      <c r="E917" s="17" t="s">
        <v>13</v>
      </c>
      <c r="F917" s="16" t="s">
        <v>3098</v>
      </c>
    </row>
    <row r="918" spans="1:6" x14ac:dyDescent="0.25">
      <c r="A918" s="16" t="s">
        <v>3099</v>
      </c>
      <c r="B918" s="17" t="s">
        <v>3100</v>
      </c>
      <c r="C918" s="17" t="s">
        <v>11</v>
      </c>
      <c r="D918" s="17" t="s">
        <v>250</v>
      </c>
      <c r="E918" s="17" t="s">
        <v>20</v>
      </c>
      <c r="F918" s="16" t="s">
        <v>3101</v>
      </c>
    </row>
    <row r="919" spans="1:6" x14ac:dyDescent="0.25">
      <c r="A919" s="16" t="s">
        <v>3102</v>
      </c>
      <c r="B919" s="17" t="s">
        <v>3103</v>
      </c>
      <c r="C919" s="17" t="s">
        <v>11</v>
      </c>
      <c r="D919" s="17" t="s">
        <v>32</v>
      </c>
      <c r="E919" s="17" t="s">
        <v>20</v>
      </c>
      <c r="F919" s="16" t="s">
        <v>3104</v>
      </c>
    </row>
    <row r="920" spans="1:6" x14ac:dyDescent="0.25">
      <c r="A920" s="16" t="s">
        <v>3105</v>
      </c>
      <c r="B920" s="17" t="s">
        <v>3106</v>
      </c>
      <c r="C920" s="17" t="s">
        <v>11</v>
      </c>
      <c r="D920" s="17" t="s">
        <v>12</v>
      </c>
      <c r="E920" s="17" t="s">
        <v>13</v>
      </c>
      <c r="F920" s="16" t="s">
        <v>3107</v>
      </c>
    </row>
    <row r="921" spans="1:6" x14ac:dyDescent="0.25">
      <c r="A921" s="16" t="s">
        <v>3108</v>
      </c>
      <c r="B921" s="17" t="s">
        <v>3109</v>
      </c>
      <c r="C921" s="17" t="s">
        <v>11</v>
      </c>
      <c r="D921" s="17" t="s">
        <v>83</v>
      </c>
      <c r="E921" s="17" t="s">
        <v>20</v>
      </c>
      <c r="F921" s="16" t="s">
        <v>3110</v>
      </c>
    </row>
    <row r="922" spans="1:6" x14ac:dyDescent="0.25">
      <c r="A922" s="16" t="s">
        <v>3111</v>
      </c>
      <c r="B922" s="17" t="s">
        <v>3112</v>
      </c>
      <c r="C922" s="17" t="s">
        <v>11</v>
      </c>
      <c r="D922" s="17" t="s">
        <v>182</v>
      </c>
      <c r="E922" s="17" t="s">
        <v>20</v>
      </c>
      <c r="F922" s="16" t="s">
        <v>3113</v>
      </c>
    </row>
    <row r="923" spans="1:6" x14ac:dyDescent="0.25">
      <c r="A923" s="16" t="s">
        <v>3114</v>
      </c>
      <c r="B923" s="17" t="s">
        <v>3115</v>
      </c>
      <c r="C923" s="17" t="s">
        <v>11</v>
      </c>
      <c r="D923" s="17" t="s">
        <v>12</v>
      </c>
      <c r="E923" s="17" t="s">
        <v>13</v>
      </c>
      <c r="F923" s="16" t="s">
        <v>3116</v>
      </c>
    </row>
    <row r="924" spans="1:6" x14ac:dyDescent="0.25">
      <c r="A924" s="16" t="s">
        <v>3117</v>
      </c>
      <c r="B924" s="17" t="s">
        <v>3118</v>
      </c>
      <c r="C924" s="17" t="s">
        <v>11</v>
      </c>
      <c r="D924" s="17" t="s">
        <v>32</v>
      </c>
      <c r="E924" s="17" t="s">
        <v>20</v>
      </c>
      <c r="F924" s="16" t="s">
        <v>3119</v>
      </c>
    </row>
    <row r="925" spans="1:6" x14ac:dyDescent="0.25">
      <c r="A925" s="16" t="s">
        <v>3120</v>
      </c>
      <c r="B925" s="17" t="s">
        <v>3121</v>
      </c>
      <c r="C925" s="17" t="s">
        <v>11</v>
      </c>
      <c r="D925" s="17" t="s">
        <v>182</v>
      </c>
      <c r="E925" s="17" t="s">
        <v>20</v>
      </c>
      <c r="F925" s="16" t="s">
        <v>3122</v>
      </c>
    </row>
    <row r="926" spans="1:6" x14ac:dyDescent="0.25">
      <c r="A926" s="16" t="s">
        <v>3123</v>
      </c>
      <c r="B926" s="17" t="s">
        <v>3124</v>
      </c>
      <c r="C926" s="17" t="s">
        <v>11</v>
      </c>
      <c r="D926" s="17" t="s">
        <v>68</v>
      </c>
      <c r="E926" s="17" t="s">
        <v>20</v>
      </c>
      <c r="F926" s="16" t="s">
        <v>3125</v>
      </c>
    </row>
    <row r="927" spans="1:6" x14ac:dyDescent="0.25">
      <c r="A927" s="16" t="s">
        <v>3126</v>
      </c>
      <c r="B927" s="17" t="s">
        <v>3127</v>
      </c>
      <c r="C927" s="17" t="s">
        <v>11</v>
      </c>
      <c r="D927" s="17" t="s">
        <v>649</v>
      </c>
      <c r="E927" s="17" t="s">
        <v>20</v>
      </c>
      <c r="F927" s="16" t="s">
        <v>3128</v>
      </c>
    </row>
    <row r="928" spans="1:6" x14ac:dyDescent="0.25">
      <c r="A928" s="16" t="s">
        <v>3129</v>
      </c>
      <c r="B928" s="17" t="s">
        <v>3130</v>
      </c>
      <c r="C928" s="17" t="s">
        <v>11</v>
      </c>
      <c r="D928" s="17" t="s">
        <v>186</v>
      </c>
      <c r="E928" s="17" t="s">
        <v>20</v>
      </c>
      <c r="F928" s="16" t="s">
        <v>3131</v>
      </c>
    </row>
    <row r="929" spans="1:6" x14ac:dyDescent="0.25">
      <c r="A929" s="16" t="s">
        <v>3132</v>
      </c>
      <c r="B929" s="17" t="s">
        <v>3133</v>
      </c>
      <c r="C929" s="17" t="s">
        <v>11</v>
      </c>
      <c r="D929" s="17" t="s">
        <v>36</v>
      </c>
      <c r="E929" s="17" t="s">
        <v>20</v>
      </c>
      <c r="F929" s="16" t="s">
        <v>3134</v>
      </c>
    </row>
    <row r="930" spans="1:6" x14ac:dyDescent="0.25">
      <c r="A930" s="16" t="s">
        <v>3135</v>
      </c>
      <c r="B930" s="17" t="s">
        <v>3136</v>
      </c>
      <c r="C930" s="17" t="s">
        <v>11</v>
      </c>
      <c r="D930" s="17" t="s">
        <v>74</v>
      </c>
      <c r="E930" s="17" t="s">
        <v>20</v>
      </c>
      <c r="F930" s="16" t="s">
        <v>3137</v>
      </c>
    </row>
    <row r="931" spans="1:6" x14ac:dyDescent="0.25">
      <c r="A931" s="16" t="s">
        <v>3138</v>
      </c>
      <c r="B931" s="17" t="s">
        <v>3139</v>
      </c>
      <c r="C931" s="17" t="s">
        <v>11</v>
      </c>
      <c r="D931" s="17" t="s">
        <v>12</v>
      </c>
      <c r="E931" s="17" t="s">
        <v>13</v>
      </c>
      <c r="F931" s="16" t="s">
        <v>3140</v>
      </c>
    </row>
    <row r="932" spans="1:6" x14ac:dyDescent="0.25">
      <c r="A932" s="16" t="s">
        <v>3141</v>
      </c>
      <c r="B932" s="17" t="s">
        <v>3142</v>
      </c>
      <c r="C932" s="17" t="s">
        <v>11</v>
      </c>
      <c r="D932" s="17" t="s">
        <v>182</v>
      </c>
      <c r="E932" s="17" t="s">
        <v>20</v>
      </c>
      <c r="F932" s="16" t="s">
        <v>3143</v>
      </c>
    </row>
    <row r="933" spans="1:6" x14ac:dyDescent="0.25">
      <c r="A933" s="16" t="s">
        <v>3144</v>
      </c>
      <c r="B933" s="17" t="s">
        <v>3145</v>
      </c>
      <c r="C933" s="17" t="s">
        <v>11</v>
      </c>
      <c r="D933" s="17" t="s">
        <v>12</v>
      </c>
      <c r="E933" s="17" t="s">
        <v>13</v>
      </c>
      <c r="F933" s="16" t="s">
        <v>3146</v>
      </c>
    </row>
    <row r="934" spans="1:6" x14ac:dyDescent="0.25">
      <c r="A934" s="16" t="s">
        <v>3147</v>
      </c>
      <c r="B934" s="17" t="s">
        <v>3148</v>
      </c>
      <c r="C934" s="17" t="s">
        <v>11</v>
      </c>
      <c r="D934" s="17" t="s">
        <v>83</v>
      </c>
      <c r="E934" s="17" t="s">
        <v>20</v>
      </c>
      <c r="F934" s="16" t="s">
        <v>3149</v>
      </c>
    </row>
    <row r="935" spans="1:6" x14ac:dyDescent="0.25">
      <c r="A935" s="16" t="s">
        <v>3150</v>
      </c>
      <c r="B935" s="17" t="s">
        <v>3151</v>
      </c>
      <c r="C935" s="17" t="s">
        <v>11</v>
      </c>
      <c r="D935" s="17" t="s">
        <v>59</v>
      </c>
      <c r="E935" s="17" t="s">
        <v>13</v>
      </c>
      <c r="F935" s="16" t="s">
        <v>3152</v>
      </c>
    </row>
    <row r="936" spans="1:6" x14ac:dyDescent="0.25">
      <c r="A936" s="16" t="s">
        <v>3153</v>
      </c>
      <c r="B936" s="17" t="s">
        <v>3154</v>
      </c>
      <c r="C936" s="17" t="s">
        <v>11</v>
      </c>
      <c r="D936" s="17" t="s">
        <v>12</v>
      </c>
      <c r="E936" s="17" t="s">
        <v>13</v>
      </c>
      <c r="F936" s="16" t="s">
        <v>3155</v>
      </c>
    </row>
    <row r="937" spans="1:6" x14ac:dyDescent="0.25">
      <c r="A937" s="16" t="s">
        <v>3156</v>
      </c>
      <c r="B937" s="17" t="s">
        <v>3157</v>
      </c>
      <c r="C937" s="17" t="s">
        <v>11</v>
      </c>
      <c r="D937" s="17" t="s">
        <v>570</v>
      </c>
      <c r="E937" s="17" t="s">
        <v>20</v>
      </c>
      <c r="F937" s="16" t="s">
        <v>3158</v>
      </c>
    </row>
    <row r="938" spans="1:6" x14ac:dyDescent="0.25">
      <c r="A938" s="16" t="s">
        <v>3159</v>
      </c>
      <c r="B938" s="17" t="s">
        <v>3160</v>
      </c>
      <c r="C938" s="17" t="s">
        <v>11</v>
      </c>
      <c r="D938" s="17" t="s">
        <v>12</v>
      </c>
      <c r="E938" s="17" t="s">
        <v>13</v>
      </c>
      <c r="F938" s="16" t="s">
        <v>3161</v>
      </c>
    </row>
    <row r="939" spans="1:6" x14ac:dyDescent="0.25">
      <c r="A939" s="16" t="s">
        <v>3162</v>
      </c>
      <c r="B939" s="17" t="s">
        <v>3163</v>
      </c>
      <c r="C939" s="17" t="s">
        <v>11</v>
      </c>
      <c r="D939" s="17" t="s">
        <v>250</v>
      </c>
      <c r="E939" s="17" t="s">
        <v>20</v>
      </c>
      <c r="F939" s="16" t="s">
        <v>3164</v>
      </c>
    </row>
    <row r="940" spans="1:6" x14ac:dyDescent="0.25">
      <c r="A940" s="16" t="s">
        <v>3165</v>
      </c>
      <c r="B940" s="17" t="s">
        <v>3166</v>
      </c>
      <c r="C940" s="17" t="s">
        <v>11</v>
      </c>
      <c r="D940" s="17" t="s">
        <v>12</v>
      </c>
      <c r="E940" s="17" t="s">
        <v>13</v>
      </c>
      <c r="F940" s="16" t="s">
        <v>3167</v>
      </c>
    </row>
    <row r="941" spans="1:6" x14ac:dyDescent="0.25">
      <c r="A941" s="16" t="s">
        <v>3168</v>
      </c>
      <c r="B941" s="17" t="s">
        <v>3169</v>
      </c>
      <c r="C941" s="17" t="s">
        <v>11</v>
      </c>
      <c r="D941" s="17" t="s">
        <v>12</v>
      </c>
      <c r="E941" s="17" t="s">
        <v>13</v>
      </c>
      <c r="F941" s="16" t="s">
        <v>3170</v>
      </c>
    </row>
    <row r="942" spans="1:6" x14ac:dyDescent="0.25">
      <c r="A942" s="16" t="s">
        <v>3171</v>
      </c>
      <c r="B942" s="17" t="s">
        <v>3172</v>
      </c>
      <c r="C942" s="17" t="s">
        <v>11</v>
      </c>
      <c r="D942" s="17" t="s">
        <v>3173</v>
      </c>
      <c r="E942" s="17" t="s">
        <v>20</v>
      </c>
      <c r="F942" s="16" t="s">
        <v>3174</v>
      </c>
    </row>
    <row r="943" spans="1:6" x14ac:dyDescent="0.25">
      <c r="A943" s="16" t="s">
        <v>3175</v>
      </c>
      <c r="B943" s="17" t="s">
        <v>3176</v>
      </c>
      <c r="C943" s="17" t="s">
        <v>11</v>
      </c>
      <c r="D943" s="17" t="s">
        <v>811</v>
      </c>
      <c r="E943" s="17" t="s">
        <v>20</v>
      </c>
      <c r="F943" s="16" t="s">
        <v>3177</v>
      </c>
    </row>
    <row r="944" spans="1:6" x14ac:dyDescent="0.25">
      <c r="A944" s="16" t="s">
        <v>3178</v>
      </c>
      <c r="B944" s="17" t="s">
        <v>3179</v>
      </c>
      <c r="C944" s="17" t="s">
        <v>359</v>
      </c>
      <c r="D944" s="17" t="s">
        <v>32</v>
      </c>
      <c r="E944" s="17" t="s">
        <v>20</v>
      </c>
      <c r="F944" s="16" t="s">
        <v>3180</v>
      </c>
    </row>
    <row r="945" spans="1:6" x14ac:dyDescent="0.25">
      <c r="A945" s="16" t="s">
        <v>3181</v>
      </c>
      <c r="B945" s="17" t="s">
        <v>3182</v>
      </c>
      <c r="C945" s="17" t="s">
        <v>11</v>
      </c>
      <c r="D945" s="17" t="s">
        <v>233</v>
      </c>
      <c r="E945" s="17" t="s">
        <v>20</v>
      </c>
      <c r="F945" s="16" t="s">
        <v>3183</v>
      </c>
    </row>
    <row r="946" spans="1:6" x14ac:dyDescent="0.25">
      <c r="A946" s="16" t="s">
        <v>3184</v>
      </c>
      <c r="B946" s="17" t="s">
        <v>3185</v>
      </c>
      <c r="C946" s="17" t="s">
        <v>11</v>
      </c>
      <c r="D946" s="17" t="s">
        <v>32</v>
      </c>
      <c r="E946" s="17" t="s">
        <v>20</v>
      </c>
      <c r="F946" s="16" t="s">
        <v>3186</v>
      </c>
    </row>
    <row r="947" spans="1:6" x14ac:dyDescent="0.25">
      <c r="A947" s="16" t="s">
        <v>3187</v>
      </c>
      <c r="B947" s="17" t="s">
        <v>3188</v>
      </c>
      <c r="C947" s="17" t="s">
        <v>11</v>
      </c>
      <c r="D947" s="17" t="s">
        <v>83</v>
      </c>
      <c r="E947" s="17" t="s">
        <v>20</v>
      </c>
      <c r="F947" s="16" t="s">
        <v>3189</v>
      </c>
    </row>
    <row r="948" spans="1:6" x14ac:dyDescent="0.25">
      <c r="A948" s="16" t="s">
        <v>3190</v>
      </c>
      <c r="B948" s="17" t="s">
        <v>3191</v>
      </c>
      <c r="C948" s="17" t="s">
        <v>11</v>
      </c>
      <c r="D948" s="17" t="s">
        <v>182</v>
      </c>
      <c r="E948" s="17" t="s">
        <v>20</v>
      </c>
      <c r="F948" s="16" t="s">
        <v>3192</v>
      </c>
    </row>
    <row r="949" spans="1:6" x14ac:dyDescent="0.25">
      <c r="A949" s="16" t="s">
        <v>3193</v>
      </c>
      <c r="B949" s="17" t="s">
        <v>3194</v>
      </c>
      <c r="C949" s="17" t="s">
        <v>11</v>
      </c>
      <c r="D949" s="17" t="s">
        <v>74</v>
      </c>
      <c r="E949" s="17" t="s">
        <v>20</v>
      </c>
      <c r="F949" s="16" t="s">
        <v>3195</v>
      </c>
    </row>
    <row r="950" spans="1:6" x14ac:dyDescent="0.25">
      <c r="A950" s="16" t="s">
        <v>3196</v>
      </c>
      <c r="B950" s="17" t="s">
        <v>3197</v>
      </c>
      <c r="C950" s="17" t="s">
        <v>11</v>
      </c>
      <c r="D950" s="17" t="s">
        <v>74</v>
      </c>
      <c r="E950" s="17" t="s">
        <v>20</v>
      </c>
      <c r="F950" s="16" t="s">
        <v>3198</v>
      </c>
    </row>
    <row r="951" spans="1:6" x14ac:dyDescent="0.25">
      <c r="A951" s="16" t="s">
        <v>3199</v>
      </c>
      <c r="B951" s="17" t="s">
        <v>3200</v>
      </c>
      <c r="C951" s="17" t="s">
        <v>11</v>
      </c>
      <c r="D951" s="17" t="s">
        <v>80</v>
      </c>
      <c r="E951" s="17" t="s">
        <v>20</v>
      </c>
      <c r="F951" s="16" t="s">
        <v>3201</v>
      </c>
    </row>
    <row r="952" spans="1:6" x14ac:dyDescent="0.25">
      <c r="A952" s="16" t="s">
        <v>3202</v>
      </c>
      <c r="B952" s="17" t="s">
        <v>3203</v>
      </c>
      <c r="C952" s="17" t="s">
        <v>11</v>
      </c>
      <c r="D952" s="17" t="s">
        <v>83</v>
      </c>
      <c r="E952" s="17" t="s">
        <v>20</v>
      </c>
      <c r="F952" s="16" t="s">
        <v>3204</v>
      </c>
    </row>
    <row r="953" spans="1:6" x14ac:dyDescent="0.25">
      <c r="A953" s="16" t="s">
        <v>3205</v>
      </c>
      <c r="B953" s="17" t="s">
        <v>3206</v>
      </c>
      <c r="C953" s="17" t="s">
        <v>11</v>
      </c>
      <c r="D953" s="17" t="s">
        <v>186</v>
      </c>
      <c r="E953" s="17" t="s">
        <v>20</v>
      </c>
      <c r="F953" s="16" t="s">
        <v>3207</v>
      </c>
    </row>
    <row r="954" spans="1:6" x14ac:dyDescent="0.25">
      <c r="A954" s="16" t="s">
        <v>3208</v>
      </c>
      <c r="B954" s="17" t="s">
        <v>3209</v>
      </c>
      <c r="C954" s="17" t="s">
        <v>11</v>
      </c>
      <c r="D954" s="17" t="s">
        <v>32</v>
      </c>
      <c r="E954" s="17" t="s">
        <v>20</v>
      </c>
      <c r="F954" s="16" t="s">
        <v>3210</v>
      </c>
    </row>
    <row r="955" spans="1:6" x14ac:dyDescent="0.25">
      <c r="A955" s="16" t="s">
        <v>3211</v>
      </c>
      <c r="B955" s="17" t="s">
        <v>3212</v>
      </c>
      <c r="C955" s="17" t="s">
        <v>11</v>
      </c>
      <c r="D955" s="17" t="s">
        <v>233</v>
      </c>
      <c r="E955" s="17" t="s">
        <v>20</v>
      </c>
      <c r="F955" s="16" t="s">
        <v>3213</v>
      </c>
    </row>
    <row r="956" spans="1:6" x14ac:dyDescent="0.25">
      <c r="A956" s="16" t="s">
        <v>3214</v>
      </c>
      <c r="B956" s="17" t="s">
        <v>3215</v>
      </c>
      <c r="C956" s="17" t="s">
        <v>11</v>
      </c>
      <c r="D956" s="17" t="s">
        <v>186</v>
      </c>
      <c r="E956" s="17" t="s">
        <v>20</v>
      </c>
      <c r="F956" s="16" t="s">
        <v>3216</v>
      </c>
    </row>
    <row r="957" spans="1:6" x14ac:dyDescent="0.25">
      <c r="A957" s="16" t="s">
        <v>3217</v>
      </c>
      <c r="B957" s="17" t="s">
        <v>3218</v>
      </c>
      <c r="C957" s="17" t="s">
        <v>11</v>
      </c>
      <c r="D957" s="17" t="s">
        <v>74</v>
      </c>
      <c r="E957" s="17" t="s">
        <v>20</v>
      </c>
      <c r="F957" s="16" t="s">
        <v>3219</v>
      </c>
    </row>
    <row r="958" spans="1:6" x14ac:dyDescent="0.25">
      <c r="A958" s="16" t="s">
        <v>3220</v>
      </c>
      <c r="B958" s="17" t="s">
        <v>3221</v>
      </c>
      <c r="C958" s="17" t="s">
        <v>11</v>
      </c>
      <c r="D958" s="17" t="s">
        <v>59</v>
      </c>
      <c r="E958" s="17" t="s">
        <v>13</v>
      </c>
      <c r="F958" s="16" t="s">
        <v>3222</v>
      </c>
    </row>
    <row r="959" spans="1:6" x14ac:dyDescent="0.25">
      <c r="A959" s="16" t="s">
        <v>3223</v>
      </c>
      <c r="B959" s="17" t="s">
        <v>3224</v>
      </c>
      <c r="C959" s="17" t="s">
        <v>11</v>
      </c>
      <c r="D959" s="17" t="s">
        <v>80</v>
      </c>
      <c r="E959" s="17" t="s">
        <v>20</v>
      </c>
      <c r="F959" s="16" t="s">
        <v>3225</v>
      </c>
    </row>
    <row r="960" spans="1:6" x14ac:dyDescent="0.25">
      <c r="A960" s="16" t="s">
        <v>3226</v>
      </c>
      <c r="B960" s="17" t="s">
        <v>3227</v>
      </c>
      <c r="C960" s="17" t="s">
        <v>11</v>
      </c>
      <c r="D960" s="17" t="s">
        <v>250</v>
      </c>
      <c r="E960" s="17" t="s">
        <v>20</v>
      </c>
      <c r="F960" s="16" t="s">
        <v>3228</v>
      </c>
    </row>
    <row r="961" spans="1:6" x14ac:dyDescent="0.25">
      <c r="A961" s="16" t="s">
        <v>3229</v>
      </c>
      <c r="B961" s="17" t="s">
        <v>3230</v>
      </c>
      <c r="C961" s="17" t="s">
        <v>11</v>
      </c>
      <c r="D961" s="17" t="s">
        <v>649</v>
      </c>
      <c r="E961" s="17" t="s">
        <v>20</v>
      </c>
      <c r="F961" s="16" t="s">
        <v>3231</v>
      </c>
    </row>
    <row r="962" spans="1:6" x14ac:dyDescent="0.25">
      <c r="A962" s="16" t="s">
        <v>3232</v>
      </c>
      <c r="B962" s="17" t="s">
        <v>3233</v>
      </c>
      <c r="C962" s="17" t="s">
        <v>11</v>
      </c>
      <c r="D962" s="17" t="s">
        <v>32</v>
      </c>
      <c r="E962" s="17" t="s">
        <v>20</v>
      </c>
      <c r="F962" s="16" t="s">
        <v>3234</v>
      </c>
    </row>
    <row r="963" spans="1:6" x14ac:dyDescent="0.25">
      <c r="A963" s="16" t="s">
        <v>3235</v>
      </c>
      <c r="B963" s="17" t="s">
        <v>3236</v>
      </c>
      <c r="C963" s="17" t="s">
        <v>11</v>
      </c>
      <c r="D963" s="17" t="s">
        <v>32</v>
      </c>
      <c r="E963" s="17" t="s">
        <v>20</v>
      </c>
      <c r="F963" s="16" t="s">
        <v>3237</v>
      </c>
    </row>
    <row r="964" spans="1:6" x14ac:dyDescent="0.25">
      <c r="A964" s="16" t="s">
        <v>3238</v>
      </c>
      <c r="B964" s="17" t="s">
        <v>3239</v>
      </c>
      <c r="C964" s="17" t="s">
        <v>11</v>
      </c>
      <c r="D964" s="17" t="s">
        <v>26</v>
      </c>
      <c r="E964" s="17" t="s">
        <v>20</v>
      </c>
      <c r="F964" s="16" t="s">
        <v>3240</v>
      </c>
    </row>
    <row r="965" spans="1:6" x14ac:dyDescent="0.25">
      <c r="A965" s="16" t="s">
        <v>3241</v>
      </c>
      <c r="B965" s="17" t="s">
        <v>3242</v>
      </c>
      <c r="C965" s="17" t="s">
        <v>11</v>
      </c>
      <c r="D965" s="17" t="s">
        <v>186</v>
      </c>
      <c r="E965" s="17" t="s">
        <v>20</v>
      </c>
      <c r="F965" s="16" t="s">
        <v>3243</v>
      </c>
    </row>
    <row r="966" spans="1:6" x14ac:dyDescent="0.25">
      <c r="A966" s="16" t="s">
        <v>3244</v>
      </c>
      <c r="B966" s="17" t="s">
        <v>3245</v>
      </c>
      <c r="C966" s="17" t="s">
        <v>11</v>
      </c>
      <c r="D966" s="17" t="s">
        <v>3246</v>
      </c>
      <c r="E966" s="17" t="s">
        <v>13</v>
      </c>
      <c r="F966" s="16" t="s">
        <v>3247</v>
      </c>
    </row>
    <row r="967" spans="1:6" x14ac:dyDescent="0.25">
      <c r="A967" s="16" t="s">
        <v>3248</v>
      </c>
      <c r="B967" s="17" t="s">
        <v>3249</v>
      </c>
      <c r="C967" s="17" t="s">
        <v>11</v>
      </c>
      <c r="D967" s="17" t="s">
        <v>182</v>
      </c>
      <c r="E967" s="17" t="s">
        <v>20</v>
      </c>
      <c r="F967" s="16" t="s">
        <v>3250</v>
      </c>
    </row>
    <row r="968" spans="1:6" x14ac:dyDescent="0.25">
      <c r="A968" s="16" t="s">
        <v>3251</v>
      </c>
      <c r="B968" s="17" t="s">
        <v>3252</v>
      </c>
      <c r="C968" s="17" t="s">
        <v>11</v>
      </c>
      <c r="D968" s="17" t="s">
        <v>80</v>
      </c>
      <c r="E968" s="17" t="s">
        <v>20</v>
      </c>
      <c r="F968" s="16" t="s">
        <v>3253</v>
      </c>
    </row>
    <row r="969" spans="1:6" x14ac:dyDescent="0.25">
      <c r="A969" s="16" t="s">
        <v>3254</v>
      </c>
      <c r="B969" s="17" t="s">
        <v>3255</v>
      </c>
      <c r="C969" s="17" t="s">
        <v>11</v>
      </c>
      <c r="D969" s="17" t="s">
        <v>186</v>
      </c>
      <c r="E969" s="17" t="s">
        <v>20</v>
      </c>
      <c r="F969" s="16" t="s">
        <v>3256</v>
      </c>
    </row>
    <row r="970" spans="1:6" x14ac:dyDescent="0.25">
      <c r="A970" s="16" t="s">
        <v>3257</v>
      </c>
      <c r="B970" s="17" t="s">
        <v>3258</v>
      </c>
      <c r="C970" s="17" t="s">
        <v>11</v>
      </c>
      <c r="D970" s="17" t="s">
        <v>291</v>
      </c>
      <c r="E970" s="17" t="s">
        <v>20</v>
      </c>
      <c r="F970" s="16" t="s">
        <v>3259</v>
      </c>
    </row>
    <row r="971" spans="1:6" x14ac:dyDescent="0.25">
      <c r="A971" s="16" t="s">
        <v>3260</v>
      </c>
      <c r="B971" s="17" t="s">
        <v>3261</v>
      </c>
      <c r="C971" s="17" t="s">
        <v>11</v>
      </c>
      <c r="D971" s="17" t="s">
        <v>26</v>
      </c>
      <c r="E971" s="17" t="s">
        <v>20</v>
      </c>
      <c r="F971" s="16" t="s">
        <v>3262</v>
      </c>
    </row>
    <row r="972" spans="1:6" x14ac:dyDescent="0.25">
      <c r="A972" s="16" t="s">
        <v>3263</v>
      </c>
      <c r="B972" s="17" t="s">
        <v>3264</v>
      </c>
      <c r="C972" s="17" t="s">
        <v>11</v>
      </c>
      <c r="D972" s="17" t="s">
        <v>32</v>
      </c>
      <c r="E972" s="17" t="s">
        <v>20</v>
      </c>
      <c r="F972" s="16" t="s">
        <v>3265</v>
      </c>
    </row>
    <row r="973" spans="1:6" x14ac:dyDescent="0.25">
      <c r="A973" s="16" t="s">
        <v>3266</v>
      </c>
      <c r="B973" s="17" t="s">
        <v>3267</v>
      </c>
      <c r="C973" s="17" t="s">
        <v>11</v>
      </c>
      <c r="D973" s="17" t="s">
        <v>32</v>
      </c>
      <c r="E973" s="17" t="s">
        <v>20</v>
      </c>
      <c r="F973" s="16" t="s">
        <v>3268</v>
      </c>
    </row>
    <row r="974" spans="1:6" x14ac:dyDescent="0.25">
      <c r="A974" s="16" t="s">
        <v>3269</v>
      </c>
      <c r="B974" s="17" t="s">
        <v>3270</v>
      </c>
      <c r="C974" s="17" t="s">
        <v>11</v>
      </c>
      <c r="D974" s="17" t="s">
        <v>182</v>
      </c>
      <c r="E974" s="17" t="s">
        <v>20</v>
      </c>
      <c r="F974" s="16" t="s">
        <v>3271</v>
      </c>
    </row>
    <row r="975" spans="1:6" x14ac:dyDescent="0.25">
      <c r="A975" s="16" t="s">
        <v>3272</v>
      </c>
      <c r="B975" s="17" t="s">
        <v>3273</v>
      </c>
      <c r="C975" s="17" t="s">
        <v>11</v>
      </c>
      <c r="D975" s="17" t="s">
        <v>80</v>
      </c>
      <c r="E975" s="17" t="s">
        <v>20</v>
      </c>
      <c r="F975" s="16" t="s">
        <v>3274</v>
      </c>
    </row>
    <row r="976" spans="1:6" x14ac:dyDescent="0.25">
      <c r="A976" s="16" t="s">
        <v>3275</v>
      </c>
      <c r="B976" s="17" t="s">
        <v>3276</v>
      </c>
      <c r="C976" s="17" t="s">
        <v>11</v>
      </c>
      <c r="D976" s="17" t="s">
        <v>83</v>
      </c>
      <c r="E976" s="17" t="s">
        <v>20</v>
      </c>
      <c r="F976" s="16" t="s">
        <v>3277</v>
      </c>
    </row>
    <row r="977" spans="1:6" x14ac:dyDescent="0.25">
      <c r="A977" s="16" t="s">
        <v>3278</v>
      </c>
      <c r="B977" s="17" t="s">
        <v>3279</v>
      </c>
      <c r="C977" s="17" t="s">
        <v>11</v>
      </c>
      <c r="D977" s="17" t="s">
        <v>32</v>
      </c>
      <c r="E977" s="17" t="s">
        <v>20</v>
      </c>
      <c r="F977" s="16" t="s">
        <v>3280</v>
      </c>
    </row>
    <row r="978" spans="1:6" x14ac:dyDescent="0.25">
      <c r="A978" s="16" t="s">
        <v>3281</v>
      </c>
      <c r="B978" s="17" t="s">
        <v>3282</v>
      </c>
      <c r="C978" s="17" t="s">
        <v>11</v>
      </c>
      <c r="D978" s="17" t="s">
        <v>670</v>
      </c>
      <c r="E978" s="17" t="s">
        <v>20</v>
      </c>
      <c r="F978" s="16" t="s">
        <v>3283</v>
      </c>
    </row>
    <row r="979" spans="1:6" x14ac:dyDescent="0.25">
      <c r="A979" s="16" t="s">
        <v>3284</v>
      </c>
      <c r="B979" s="17" t="s">
        <v>3285</v>
      </c>
      <c r="C979" s="17" t="s">
        <v>11</v>
      </c>
      <c r="D979" s="17" t="s">
        <v>32</v>
      </c>
      <c r="E979" s="17" t="s">
        <v>20</v>
      </c>
      <c r="F979" s="16" t="s">
        <v>3286</v>
      </c>
    </row>
    <row r="980" spans="1:6" x14ac:dyDescent="0.25">
      <c r="A980" s="16" t="s">
        <v>3287</v>
      </c>
      <c r="B980" s="17" t="s">
        <v>3288</v>
      </c>
      <c r="C980" s="17" t="s">
        <v>11</v>
      </c>
      <c r="D980" s="17" t="s">
        <v>74</v>
      </c>
      <c r="E980" s="17" t="s">
        <v>20</v>
      </c>
      <c r="F980" s="16" t="s">
        <v>3289</v>
      </c>
    </row>
    <row r="981" spans="1:6" x14ac:dyDescent="0.25">
      <c r="A981" s="16" t="s">
        <v>3290</v>
      </c>
      <c r="B981" s="17" t="s">
        <v>3291</v>
      </c>
      <c r="C981" s="17" t="s">
        <v>11</v>
      </c>
      <c r="D981" s="17" t="s">
        <v>570</v>
      </c>
      <c r="E981" s="17" t="s">
        <v>20</v>
      </c>
      <c r="F981" s="16" t="s">
        <v>3292</v>
      </c>
    </row>
    <row r="982" spans="1:6" x14ac:dyDescent="0.25">
      <c r="A982" s="16" t="s">
        <v>3293</v>
      </c>
      <c r="B982" s="17" t="s">
        <v>3294</v>
      </c>
      <c r="C982" s="17" t="s">
        <v>11</v>
      </c>
      <c r="D982" s="17" t="s">
        <v>74</v>
      </c>
      <c r="E982" s="17" t="s">
        <v>20</v>
      </c>
      <c r="F982" s="16" t="s">
        <v>3295</v>
      </c>
    </row>
    <row r="983" spans="1:6" x14ac:dyDescent="0.25">
      <c r="A983" s="16" t="s">
        <v>3296</v>
      </c>
      <c r="B983" s="17" t="s">
        <v>3297</v>
      </c>
      <c r="C983" s="17" t="s">
        <v>11</v>
      </c>
      <c r="D983" s="17" t="s">
        <v>32</v>
      </c>
      <c r="E983" s="17" t="s">
        <v>20</v>
      </c>
      <c r="F983" s="16" t="s">
        <v>3298</v>
      </c>
    </row>
    <row r="984" spans="1:6" x14ac:dyDescent="0.25">
      <c r="A984" s="16" t="s">
        <v>3299</v>
      </c>
      <c r="B984" s="17" t="s">
        <v>3300</v>
      </c>
      <c r="C984" s="17" t="s">
        <v>11</v>
      </c>
      <c r="D984" s="17" t="s">
        <v>74</v>
      </c>
      <c r="E984" s="17" t="s">
        <v>20</v>
      </c>
      <c r="F984" s="16" t="s">
        <v>3301</v>
      </c>
    </row>
    <row r="985" spans="1:6" x14ac:dyDescent="0.25">
      <c r="A985" s="16" t="s">
        <v>3302</v>
      </c>
      <c r="B985" s="17" t="s">
        <v>3303</v>
      </c>
      <c r="C985" s="17" t="s">
        <v>11</v>
      </c>
      <c r="D985" s="17" t="s">
        <v>32</v>
      </c>
      <c r="E985" s="17" t="s">
        <v>20</v>
      </c>
      <c r="F985" s="16" t="s">
        <v>3304</v>
      </c>
    </row>
    <row r="986" spans="1:6" x14ac:dyDescent="0.25">
      <c r="A986" s="16" t="s">
        <v>3305</v>
      </c>
      <c r="B986" s="17" t="s">
        <v>3306</v>
      </c>
      <c r="C986" s="17" t="s">
        <v>11</v>
      </c>
      <c r="D986" s="17" t="s">
        <v>68</v>
      </c>
      <c r="E986" s="17" t="s">
        <v>20</v>
      </c>
      <c r="F986" s="16" t="s">
        <v>3307</v>
      </c>
    </row>
    <row r="987" spans="1:6" x14ac:dyDescent="0.25">
      <c r="A987" s="16" t="s">
        <v>3308</v>
      </c>
      <c r="B987" s="17" t="s">
        <v>3309</v>
      </c>
      <c r="C987" s="17" t="s">
        <v>11</v>
      </c>
      <c r="D987" s="17" t="s">
        <v>68</v>
      </c>
      <c r="E987" s="17" t="s">
        <v>20</v>
      </c>
      <c r="F987" s="16" t="s">
        <v>3310</v>
      </c>
    </row>
    <row r="988" spans="1:6" x14ac:dyDescent="0.25">
      <c r="A988" s="16" t="s">
        <v>3311</v>
      </c>
      <c r="B988" s="17" t="s">
        <v>3312</v>
      </c>
      <c r="C988" s="17" t="s">
        <v>11</v>
      </c>
      <c r="D988" s="17" t="s">
        <v>68</v>
      </c>
      <c r="E988" s="17" t="s">
        <v>20</v>
      </c>
      <c r="F988" s="16" t="s">
        <v>3313</v>
      </c>
    </row>
    <row r="989" spans="1:6" x14ac:dyDescent="0.25">
      <c r="A989" s="16" t="s">
        <v>3314</v>
      </c>
      <c r="B989" s="17" t="s">
        <v>3315</v>
      </c>
      <c r="C989" s="17" t="s">
        <v>11</v>
      </c>
      <c r="D989" s="17" t="s">
        <v>186</v>
      </c>
      <c r="E989" s="17" t="s">
        <v>20</v>
      </c>
      <c r="F989" s="16" t="s">
        <v>3316</v>
      </c>
    </row>
    <row r="990" spans="1:6" x14ac:dyDescent="0.25">
      <c r="A990" s="16" t="s">
        <v>3317</v>
      </c>
      <c r="B990" s="17" t="s">
        <v>3318</v>
      </c>
      <c r="C990" s="17" t="s">
        <v>11</v>
      </c>
      <c r="D990" s="17" t="s">
        <v>32</v>
      </c>
      <c r="E990" s="17" t="s">
        <v>20</v>
      </c>
      <c r="F990" s="16" t="s">
        <v>3319</v>
      </c>
    </row>
    <row r="991" spans="1:6" x14ac:dyDescent="0.25">
      <c r="A991" s="16" t="s">
        <v>3320</v>
      </c>
      <c r="B991" s="17" t="s">
        <v>3321</v>
      </c>
      <c r="C991" s="17" t="s">
        <v>11</v>
      </c>
      <c r="D991" s="17" t="s">
        <v>186</v>
      </c>
      <c r="E991" s="17" t="s">
        <v>20</v>
      </c>
      <c r="F991" s="16" t="s">
        <v>3322</v>
      </c>
    </row>
    <row r="992" spans="1:6" x14ac:dyDescent="0.25">
      <c r="A992" s="16" t="s">
        <v>3323</v>
      </c>
      <c r="B992" s="17" t="s">
        <v>3324</v>
      </c>
      <c r="C992" s="17" t="s">
        <v>11</v>
      </c>
      <c r="D992" s="17" t="s">
        <v>68</v>
      </c>
      <c r="E992" s="17" t="s">
        <v>20</v>
      </c>
      <c r="F992" s="16" t="s">
        <v>3325</v>
      </c>
    </row>
    <row r="993" spans="1:6" x14ac:dyDescent="0.25">
      <c r="A993" s="16" t="s">
        <v>3326</v>
      </c>
      <c r="B993" s="17" t="s">
        <v>3327</v>
      </c>
      <c r="C993" s="17" t="s">
        <v>11</v>
      </c>
      <c r="D993" s="17" t="s">
        <v>186</v>
      </c>
      <c r="E993" s="17" t="s">
        <v>20</v>
      </c>
      <c r="F993" s="16" t="s">
        <v>3328</v>
      </c>
    </row>
    <row r="994" spans="1:6" x14ac:dyDescent="0.25">
      <c r="A994" s="16" t="s">
        <v>3329</v>
      </c>
      <c r="B994" s="17" t="s">
        <v>3330</v>
      </c>
      <c r="C994" s="17" t="s">
        <v>11</v>
      </c>
      <c r="D994" s="17" t="s">
        <v>32</v>
      </c>
      <c r="E994" s="17" t="s">
        <v>20</v>
      </c>
      <c r="F994" s="16" t="s">
        <v>3331</v>
      </c>
    </row>
    <row r="995" spans="1:6" x14ac:dyDescent="0.25">
      <c r="A995" s="16" t="s">
        <v>3332</v>
      </c>
      <c r="B995" s="17" t="s">
        <v>3333</v>
      </c>
      <c r="C995" s="17" t="s">
        <v>11</v>
      </c>
      <c r="D995" s="17" t="s">
        <v>291</v>
      </c>
      <c r="E995" s="17" t="s">
        <v>20</v>
      </c>
      <c r="F995" s="16" t="s">
        <v>3334</v>
      </c>
    </row>
    <row r="996" spans="1:6" x14ac:dyDescent="0.25">
      <c r="A996" s="16" t="s">
        <v>3335</v>
      </c>
      <c r="B996" s="17" t="s">
        <v>3336</v>
      </c>
      <c r="C996" s="17" t="s">
        <v>11</v>
      </c>
      <c r="D996" s="17" t="s">
        <v>182</v>
      </c>
      <c r="E996" s="17" t="s">
        <v>20</v>
      </c>
      <c r="F996" s="16" t="s">
        <v>3337</v>
      </c>
    </row>
    <row r="997" spans="1:6" x14ac:dyDescent="0.25">
      <c r="A997" s="16" t="s">
        <v>3338</v>
      </c>
      <c r="B997" s="17" t="s">
        <v>3339</v>
      </c>
      <c r="C997" s="17" t="s">
        <v>11</v>
      </c>
      <c r="D997" s="17" t="s">
        <v>83</v>
      </c>
      <c r="E997" s="17" t="s">
        <v>20</v>
      </c>
      <c r="F997" s="16" t="s">
        <v>3340</v>
      </c>
    </row>
    <row r="998" spans="1:6" x14ac:dyDescent="0.25">
      <c r="A998" s="16" t="s">
        <v>3341</v>
      </c>
      <c r="B998" s="17" t="s">
        <v>3342</v>
      </c>
      <c r="C998" s="17" t="s">
        <v>11</v>
      </c>
      <c r="D998" s="17" t="s">
        <v>182</v>
      </c>
      <c r="E998" s="17" t="s">
        <v>20</v>
      </c>
      <c r="F998" s="16" t="s">
        <v>3343</v>
      </c>
    </row>
    <row r="999" spans="1:6" x14ac:dyDescent="0.25">
      <c r="A999" s="16" t="s">
        <v>3344</v>
      </c>
      <c r="B999" s="17" t="s">
        <v>3345</v>
      </c>
      <c r="C999" s="17" t="s">
        <v>11</v>
      </c>
      <c r="D999" s="17" t="s">
        <v>3346</v>
      </c>
      <c r="E999" s="17" t="s">
        <v>20</v>
      </c>
      <c r="F999" s="16" t="s">
        <v>3347</v>
      </c>
    </row>
    <row r="1000" spans="1:6" x14ac:dyDescent="0.25">
      <c r="A1000" s="16" t="s">
        <v>3348</v>
      </c>
      <c r="B1000" s="17" t="s">
        <v>3349</v>
      </c>
      <c r="C1000" s="17" t="s">
        <v>11</v>
      </c>
      <c r="D1000" s="17" t="s">
        <v>250</v>
      </c>
      <c r="E1000" s="17" t="s">
        <v>20</v>
      </c>
      <c r="F1000" s="16" t="s">
        <v>3350</v>
      </c>
    </row>
    <row r="1001" spans="1:6" x14ac:dyDescent="0.25">
      <c r="A1001" s="16" t="s">
        <v>3351</v>
      </c>
      <c r="B1001" s="17" t="s">
        <v>3352</v>
      </c>
      <c r="C1001" s="17" t="s">
        <v>11</v>
      </c>
      <c r="D1001" s="17" t="s">
        <v>811</v>
      </c>
      <c r="E1001" s="17" t="s">
        <v>20</v>
      </c>
      <c r="F1001" s="16" t="s">
        <v>3353</v>
      </c>
    </row>
    <row r="1002" spans="1:6" x14ac:dyDescent="0.25">
      <c r="A1002" s="16" t="s">
        <v>3354</v>
      </c>
      <c r="B1002" s="17" t="s">
        <v>3355</v>
      </c>
      <c r="C1002" s="17" t="s">
        <v>11</v>
      </c>
      <c r="D1002" s="17" t="s">
        <v>32</v>
      </c>
      <c r="E1002" s="17" t="s">
        <v>20</v>
      </c>
      <c r="F1002" s="16" t="s">
        <v>3356</v>
      </c>
    </row>
    <row r="1003" spans="1:6" x14ac:dyDescent="0.25">
      <c r="A1003" s="16" t="s">
        <v>3357</v>
      </c>
      <c r="B1003" s="17" t="s">
        <v>3358</v>
      </c>
      <c r="C1003" s="17" t="s">
        <v>11</v>
      </c>
      <c r="D1003" s="17" t="s">
        <v>186</v>
      </c>
      <c r="E1003" s="17" t="s">
        <v>20</v>
      </c>
      <c r="F1003" s="16" t="s">
        <v>3359</v>
      </c>
    </row>
    <row r="1004" spans="1:6" x14ac:dyDescent="0.25">
      <c r="A1004" s="16" t="s">
        <v>3360</v>
      </c>
      <c r="B1004" s="17" t="s">
        <v>3361</v>
      </c>
      <c r="C1004" s="17" t="s">
        <v>11</v>
      </c>
      <c r="D1004" s="17" t="s">
        <v>68</v>
      </c>
      <c r="E1004" s="17" t="s">
        <v>20</v>
      </c>
      <c r="F1004" s="16" t="s">
        <v>3362</v>
      </c>
    </row>
    <row r="1005" spans="1:6" x14ac:dyDescent="0.25">
      <c r="A1005" s="16" t="s">
        <v>3363</v>
      </c>
      <c r="B1005" s="17" t="s">
        <v>3364</v>
      </c>
      <c r="C1005" s="17" t="s">
        <v>11</v>
      </c>
      <c r="D1005" s="17" t="s">
        <v>74</v>
      </c>
      <c r="E1005" s="17" t="s">
        <v>20</v>
      </c>
      <c r="F1005" s="16" t="s">
        <v>3365</v>
      </c>
    </row>
    <row r="1006" spans="1:6" x14ac:dyDescent="0.25">
      <c r="A1006" s="16" t="s">
        <v>3366</v>
      </c>
      <c r="B1006" s="17" t="s">
        <v>3367</v>
      </c>
      <c r="C1006" s="17" t="s">
        <v>11</v>
      </c>
      <c r="D1006" s="17" t="s">
        <v>182</v>
      </c>
      <c r="E1006" s="17" t="s">
        <v>20</v>
      </c>
      <c r="F1006" s="16" t="s">
        <v>3368</v>
      </c>
    </row>
    <row r="1007" spans="1:6" x14ac:dyDescent="0.25">
      <c r="A1007" s="16" t="s">
        <v>3369</v>
      </c>
      <c r="B1007" s="17" t="s">
        <v>3370</v>
      </c>
      <c r="C1007" s="17" t="s">
        <v>11</v>
      </c>
      <c r="D1007" s="17" t="s">
        <v>12</v>
      </c>
      <c r="E1007" s="17" t="s">
        <v>13</v>
      </c>
      <c r="F1007" s="16" t="s">
        <v>3371</v>
      </c>
    </row>
    <row r="1008" spans="1:6" x14ac:dyDescent="0.25">
      <c r="A1008" s="16" t="s">
        <v>3372</v>
      </c>
      <c r="B1008" s="17" t="s">
        <v>3373</v>
      </c>
      <c r="C1008" s="17" t="s">
        <v>11</v>
      </c>
      <c r="D1008" s="17" t="s">
        <v>74</v>
      </c>
      <c r="E1008" s="17" t="s">
        <v>20</v>
      </c>
      <c r="F1008" s="16" t="s">
        <v>3374</v>
      </c>
    </row>
    <row r="1009" spans="1:6" x14ac:dyDescent="0.25">
      <c r="A1009" s="16" t="s">
        <v>3375</v>
      </c>
      <c r="B1009" s="17" t="s">
        <v>3376</v>
      </c>
      <c r="C1009" s="17" t="s">
        <v>1235</v>
      </c>
      <c r="D1009" s="17" t="s">
        <v>3377</v>
      </c>
      <c r="E1009" s="17" t="s">
        <v>1237</v>
      </c>
      <c r="F1009" s="16" t="s">
        <v>3378</v>
      </c>
    </row>
    <row r="1010" spans="1:6" x14ac:dyDescent="0.25">
      <c r="A1010" s="16" t="s">
        <v>3379</v>
      </c>
      <c r="B1010" s="17" t="s">
        <v>3380</v>
      </c>
      <c r="C1010" s="17" t="s">
        <v>11</v>
      </c>
      <c r="D1010" s="17" t="s">
        <v>26</v>
      </c>
      <c r="E1010" s="17" t="s">
        <v>20</v>
      </c>
      <c r="F1010" s="16" t="s">
        <v>3381</v>
      </c>
    </row>
    <row r="1011" spans="1:6" x14ac:dyDescent="0.25">
      <c r="A1011" s="16" t="s">
        <v>3382</v>
      </c>
      <c r="B1011" s="17" t="s">
        <v>3383</v>
      </c>
      <c r="C1011" s="17" t="s">
        <v>11</v>
      </c>
      <c r="D1011" s="17" t="s">
        <v>32</v>
      </c>
      <c r="E1011" s="17" t="s">
        <v>20</v>
      </c>
      <c r="F1011" s="16" t="s">
        <v>3384</v>
      </c>
    </row>
    <row r="1012" spans="1:6" x14ac:dyDescent="0.25">
      <c r="A1012" s="16" t="s">
        <v>3385</v>
      </c>
      <c r="B1012" s="17" t="s">
        <v>3386</v>
      </c>
      <c r="C1012" s="17" t="s">
        <v>11</v>
      </c>
      <c r="D1012" s="17" t="s">
        <v>32</v>
      </c>
      <c r="E1012" s="17" t="s">
        <v>20</v>
      </c>
      <c r="F1012" s="16" t="s">
        <v>3387</v>
      </c>
    </row>
    <row r="1013" spans="1:6" x14ac:dyDescent="0.25">
      <c r="A1013" s="16" t="s">
        <v>3388</v>
      </c>
      <c r="B1013" s="17" t="s">
        <v>3389</v>
      </c>
      <c r="C1013" s="17" t="s">
        <v>11</v>
      </c>
      <c r="D1013" s="17" t="s">
        <v>12</v>
      </c>
      <c r="E1013" s="17" t="s">
        <v>13</v>
      </c>
      <c r="F1013" s="16" t="s">
        <v>3390</v>
      </c>
    </row>
    <row r="1014" spans="1:6" x14ac:dyDescent="0.25">
      <c r="A1014" s="16" t="s">
        <v>3391</v>
      </c>
      <c r="B1014" s="17" t="s">
        <v>3392</v>
      </c>
      <c r="C1014" s="17" t="s">
        <v>11</v>
      </c>
      <c r="D1014" s="17" t="s">
        <v>12</v>
      </c>
      <c r="E1014" s="17" t="s">
        <v>13</v>
      </c>
      <c r="F1014" s="16" t="s">
        <v>3393</v>
      </c>
    </row>
    <row r="1015" spans="1:6" x14ac:dyDescent="0.25">
      <c r="A1015" s="16" t="s">
        <v>3394</v>
      </c>
      <c r="B1015" s="17" t="s">
        <v>3395</v>
      </c>
      <c r="C1015" s="17" t="s">
        <v>11</v>
      </c>
      <c r="D1015" s="17" t="s">
        <v>74</v>
      </c>
      <c r="E1015" s="17" t="s">
        <v>20</v>
      </c>
      <c r="F1015" s="16" t="s">
        <v>3396</v>
      </c>
    </row>
    <row r="1016" spans="1:6" x14ac:dyDescent="0.25">
      <c r="A1016" s="16" t="s">
        <v>3397</v>
      </c>
      <c r="B1016" s="17" t="s">
        <v>3398</v>
      </c>
      <c r="C1016" s="17" t="s">
        <v>1235</v>
      </c>
      <c r="D1016" s="17" t="s">
        <v>3399</v>
      </c>
      <c r="E1016" s="17" t="s">
        <v>1237</v>
      </c>
      <c r="F1016" s="16" t="s">
        <v>3400</v>
      </c>
    </row>
    <row r="1017" spans="1:6" x14ac:dyDescent="0.25">
      <c r="A1017" s="16" t="s">
        <v>3401</v>
      </c>
      <c r="B1017" s="17" t="s">
        <v>3402</v>
      </c>
      <c r="C1017" s="17" t="s">
        <v>11</v>
      </c>
      <c r="D1017" s="17" t="s">
        <v>233</v>
      </c>
      <c r="E1017" s="17" t="s">
        <v>20</v>
      </c>
      <c r="F1017" s="16" t="s">
        <v>3403</v>
      </c>
    </row>
    <row r="1018" spans="1:6" x14ac:dyDescent="0.25">
      <c r="A1018" s="16" t="s">
        <v>3404</v>
      </c>
      <c r="B1018" s="17" t="s">
        <v>3405</v>
      </c>
      <c r="C1018" s="17" t="s">
        <v>11</v>
      </c>
      <c r="D1018" s="17" t="s">
        <v>12</v>
      </c>
      <c r="E1018" s="17" t="s">
        <v>13</v>
      </c>
      <c r="F1018" s="16" t="s">
        <v>3406</v>
      </c>
    </row>
    <row r="1019" spans="1:6" x14ac:dyDescent="0.25">
      <c r="A1019" s="16" t="s">
        <v>3407</v>
      </c>
      <c r="B1019" s="17" t="s">
        <v>3408</v>
      </c>
      <c r="C1019" s="17" t="s">
        <v>11</v>
      </c>
      <c r="D1019" s="17" t="s">
        <v>32</v>
      </c>
      <c r="E1019" s="17" t="s">
        <v>20</v>
      </c>
      <c r="F1019" s="16" t="s">
        <v>3409</v>
      </c>
    </row>
    <row r="1020" spans="1:6" x14ac:dyDescent="0.25">
      <c r="A1020" s="16" t="s">
        <v>3410</v>
      </c>
      <c r="B1020" s="17" t="s">
        <v>3411</v>
      </c>
      <c r="C1020" s="17" t="s">
        <v>11</v>
      </c>
      <c r="D1020" s="17" t="s">
        <v>670</v>
      </c>
      <c r="E1020" s="17" t="s">
        <v>20</v>
      </c>
      <c r="F1020" s="16" t="s">
        <v>3412</v>
      </c>
    </row>
    <row r="1021" spans="1:6" x14ac:dyDescent="0.25">
      <c r="A1021" s="16" t="s">
        <v>3413</v>
      </c>
      <c r="B1021" s="17" t="s">
        <v>3414</v>
      </c>
      <c r="C1021" s="17" t="s">
        <v>11</v>
      </c>
      <c r="D1021" s="17" t="s">
        <v>83</v>
      </c>
      <c r="E1021" s="17" t="s">
        <v>20</v>
      </c>
      <c r="F1021" s="16" t="s">
        <v>3415</v>
      </c>
    </row>
    <row r="1022" spans="1:6" x14ac:dyDescent="0.25">
      <c r="A1022" s="16" t="s">
        <v>3416</v>
      </c>
      <c r="B1022" s="17" t="s">
        <v>3417</v>
      </c>
      <c r="C1022" s="17" t="s">
        <v>11</v>
      </c>
      <c r="D1022" s="17" t="s">
        <v>32</v>
      </c>
      <c r="E1022" s="17" t="s">
        <v>20</v>
      </c>
      <c r="F1022" s="16" t="s">
        <v>3418</v>
      </c>
    </row>
    <row r="1023" spans="1:6" x14ac:dyDescent="0.25">
      <c r="A1023" s="16" t="s">
        <v>3419</v>
      </c>
      <c r="B1023" s="17" t="s">
        <v>3420</v>
      </c>
      <c r="C1023" s="17" t="s">
        <v>359</v>
      </c>
      <c r="D1023" s="17" t="s">
        <v>32</v>
      </c>
      <c r="E1023" s="17" t="s">
        <v>20</v>
      </c>
      <c r="F1023" s="16" t="s">
        <v>3421</v>
      </c>
    </row>
    <row r="1024" spans="1:6" x14ac:dyDescent="0.25">
      <c r="A1024" s="16" t="s">
        <v>3422</v>
      </c>
      <c r="B1024" s="17" t="s">
        <v>3423</v>
      </c>
      <c r="C1024" s="17" t="s">
        <v>11</v>
      </c>
      <c r="D1024" s="17" t="s">
        <v>74</v>
      </c>
      <c r="E1024" s="17" t="s">
        <v>20</v>
      </c>
      <c r="F1024" s="16" t="s">
        <v>3424</v>
      </c>
    </row>
    <row r="1025" spans="1:6" x14ac:dyDescent="0.25">
      <c r="A1025" s="16" t="s">
        <v>3425</v>
      </c>
      <c r="B1025" s="17" t="s">
        <v>3426</v>
      </c>
      <c r="C1025" s="17" t="s">
        <v>11</v>
      </c>
      <c r="D1025" s="17" t="s">
        <v>32</v>
      </c>
      <c r="E1025" s="17" t="s">
        <v>20</v>
      </c>
      <c r="F1025" s="16" t="s">
        <v>3427</v>
      </c>
    </row>
    <row r="1026" spans="1:6" x14ac:dyDescent="0.25">
      <c r="A1026" s="16" t="s">
        <v>3428</v>
      </c>
      <c r="B1026" s="17" t="s">
        <v>3429</v>
      </c>
      <c r="C1026" s="17" t="s">
        <v>11</v>
      </c>
      <c r="D1026" s="17" t="s">
        <v>80</v>
      </c>
      <c r="E1026" s="17" t="s">
        <v>20</v>
      </c>
      <c r="F1026" s="16" t="s">
        <v>3430</v>
      </c>
    </row>
    <row r="1027" spans="1:6" x14ac:dyDescent="0.25">
      <c r="A1027" s="16" t="s">
        <v>3431</v>
      </c>
      <c r="B1027" s="17" t="s">
        <v>3432</v>
      </c>
      <c r="C1027" s="17" t="s">
        <v>11</v>
      </c>
      <c r="D1027" s="17" t="s">
        <v>182</v>
      </c>
      <c r="E1027" s="17" t="s">
        <v>20</v>
      </c>
      <c r="F1027" s="16" t="s">
        <v>3433</v>
      </c>
    </row>
    <row r="1028" spans="1:6" x14ac:dyDescent="0.25">
      <c r="A1028" s="16" t="s">
        <v>3434</v>
      </c>
      <c r="B1028" s="17" t="s">
        <v>3435</v>
      </c>
      <c r="C1028" s="17" t="s">
        <v>11</v>
      </c>
      <c r="D1028" s="17" t="s">
        <v>32</v>
      </c>
      <c r="E1028" s="17" t="s">
        <v>20</v>
      </c>
      <c r="F1028" s="16" t="s">
        <v>3436</v>
      </c>
    </row>
    <row r="1029" spans="1:6" x14ac:dyDescent="0.25">
      <c r="A1029" s="16" t="s">
        <v>3437</v>
      </c>
      <c r="B1029" s="17" t="s">
        <v>3438</v>
      </c>
      <c r="C1029" s="17" t="s">
        <v>11</v>
      </c>
      <c r="D1029" s="17" t="s">
        <v>148</v>
      </c>
      <c r="E1029" s="17" t="s">
        <v>20</v>
      </c>
      <c r="F1029" s="16" t="s">
        <v>3439</v>
      </c>
    </row>
    <row r="1030" spans="1:6" x14ac:dyDescent="0.25">
      <c r="A1030" s="16" t="s">
        <v>3440</v>
      </c>
      <c r="B1030" s="17" t="s">
        <v>3441</v>
      </c>
      <c r="C1030" s="17" t="s">
        <v>11</v>
      </c>
      <c r="D1030" s="17" t="s">
        <v>26</v>
      </c>
      <c r="E1030" s="17" t="s">
        <v>20</v>
      </c>
      <c r="F1030" s="16" t="s">
        <v>3442</v>
      </c>
    </row>
    <row r="1031" spans="1:6" x14ac:dyDescent="0.25">
      <c r="A1031" s="16" t="s">
        <v>3443</v>
      </c>
      <c r="B1031" s="17" t="s">
        <v>3444</v>
      </c>
      <c r="C1031" s="17" t="s">
        <v>11</v>
      </c>
      <c r="D1031" s="17" t="s">
        <v>74</v>
      </c>
      <c r="E1031" s="17" t="s">
        <v>20</v>
      </c>
      <c r="F1031" s="16" t="s">
        <v>3445</v>
      </c>
    </row>
    <row r="1032" spans="1:6" x14ac:dyDescent="0.25">
      <c r="A1032" s="16" t="s">
        <v>3446</v>
      </c>
      <c r="B1032" s="17" t="s">
        <v>3447</v>
      </c>
      <c r="C1032" s="17" t="s">
        <v>11</v>
      </c>
      <c r="D1032" s="17" t="s">
        <v>32</v>
      </c>
      <c r="E1032" s="17" t="s">
        <v>20</v>
      </c>
      <c r="F1032" s="16" t="s">
        <v>3448</v>
      </c>
    </row>
    <row r="1033" spans="1:6" x14ac:dyDescent="0.25">
      <c r="A1033" s="16" t="s">
        <v>3449</v>
      </c>
      <c r="B1033" s="17" t="s">
        <v>3450</v>
      </c>
      <c r="C1033" s="17" t="s">
        <v>11</v>
      </c>
      <c r="D1033" s="17" t="s">
        <v>3173</v>
      </c>
      <c r="E1033" s="17" t="s">
        <v>20</v>
      </c>
      <c r="F1033" s="16" t="s">
        <v>3451</v>
      </c>
    </row>
    <row r="1034" spans="1:6" x14ac:dyDescent="0.25">
      <c r="A1034" s="16" t="s">
        <v>3452</v>
      </c>
      <c r="B1034" s="17" t="s">
        <v>3453</v>
      </c>
      <c r="C1034" s="17" t="s">
        <v>11</v>
      </c>
      <c r="D1034" s="17" t="s">
        <v>12</v>
      </c>
      <c r="E1034" s="17" t="s">
        <v>13</v>
      </c>
      <c r="F1034" s="16" t="s">
        <v>3454</v>
      </c>
    </row>
    <row r="1035" spans="1:6" x14ac:dyDescent="0.25">
      <c r="A1035" s="16" t="s">
        <v>3455</v>
      </c>
      <c r="B1035" s="17" t="s">
        <v>3456</v>
      </c>
      <c r="C1035" s="17" t="s">
        <v>11</v>
      </c>
      <c r="D1035" s="17" t="s">
        <v>12</v>
      </c>
      <c r="E1035" s="17" t="s">
        <v>13</v>
      </c>
      <c r="F1035" s="16" t="s">
        <v>3457</v>
      </c>
    </row>
    <row r="1036" spans="1:6" x14ac:dyDescent="0.25">
      <c r="A1036" s="16" t="s">
        <v>3458</v>
      </c>
      <c r="B1036" s="17" t="s">
        <v>3459</v>
      </c>
      <c r="C1036" s="17" t="s">
        <v>11</v>
      </c>
      <c r="D1036" s="17" t="s">
        <v>233</v>
      </c>
      <c r="E1036" s="17" t="s">
        <v>20</v>
      </c>
      <c r="F1036" s="16" t="s">
        <v>3460</v>
      </c>
    </row>
    <row r="1037" spans="1:6" x14ac:dyDescent="0.25">
      <c r="A1037" s="16" t="s">
        <v>3461</v>
      </c>
      <c r="B1037" s="17" t="s">
        <v>3462</v>
      </c>
      <c r="C1037" s="17" t="s">
        <v>11</v>
      </c>
      <c r="D1037" s="17" t="s">
        <v>3463</v>
      </c>
      <c r="E1037" s="17" t="s">
        <v>1299</v>
      </c>
      <c r="F1037" s="16" t="s">
        <v>3464</v>
      </c>
    </row>
    <row r="1038" spans="1:6" x14ac:dyDescent="0.25">
      <c r="A1038" s="16" t="s">
        <v>3465</v>
      </c>
      <c r="B1038" s="17" t="s">
        <v>3466</v>
      </c>
      <c r="C1038" s="17" t="s">
        <v>11</v>
      </c>
      <c r="D1038" s="17" t="s">
        <v>811</v>
      </c>
      <c r="E1038" s="17" t="s">
        <v>20</v>
      </c>
      <c r="F1038" s="16" t="s">
        <v>3467</v>
      </c>
    </row>
    <row r="1039" spans="1:6" x14ac:dyDescent="0.25">
      <c r="A1039" s="16" t="s">
        <v>3468</v>
      </c>
      <c r="B1039" s="17" t="s">
        <v>3469</v>
      </c>
      <c r="C1039" s="17" t="s">
        <v>11</v>
      </c>
      <c r="D1039" s="17" t="s">
        <v>291</v>
      </c>
      <c r="E1039" s="17" t="s">
        <v>20</v>
      </c>
      <c r="F1039" s="16" t="s">
        <v>3470</v>
      </c>
    </row>
    <row r="1040" spans="1:6" x14ac:dyDescent="0.25">
      <c r="A1040" s="16" t="s">
        <v>3471</v>
      </c>
      <c r="B1040" s="17" t="s">
        <v>3472</v>
      </c>
      <c r="C1040" s="17" t="s">
        <v>11</v>
      </c>
      <c r="D1040" s="17" t="s">
        <v>171</v>
      </c>
      <c r="E1040" s="17" t="s">
        <v>13</v>
      </c>
      <c r="F1040" s="16" t="s">
        <v>3473</v>
      </c>
    </row>
    <row r="1041" spans="1:6" x14ac:dyDescent="0.25">
      <c r="A1041" s="16" t="s">
        <v>3474</v>
      </c>
      <c r="B1041" s="17" t="s">
        <v>3475</v>
      </c>
      <c r="C1041" s="17" t="s">
        <v>11</v>
      </c>
      <c r="D1041" s="17" t="s">
        <v>12</v>
      </c>
      <c r="E1041" s="17" t="s">
        <v>13</v>
      </c>
      <c r="F1041" s="16" t="s">
        <v>3476</v>
      </c>
    </row>
    <row r="1042" spans="1:6" x14ac:dyDescent="0.25">
      <c r="A1042" s="16" t="s">
        <v>3477</v>
      </c>
      <c r="B1042" s="17" t="s">
        <v>3478</v>
      </c>
      <c r="C1042" s="17" t="s">
        <v>11</v>
      </c>
      <c r="D1042" s="17" t="s">
        <v>12</v>
      </c>
      <c r="E1042" s="17" t="s">
        <v>13</v>
      </c>
      <c r="F1042" s="16" t="s">
        <v>3479</v>
      </c>
    </row>
    <row r="1043" spans="1:6" x14ac:dyDescent="0.25">
      <c r="A1043" s="16" t="s">
        <v>3480</v>
      </c>
      <c r="B1043" s="17" t="s">
        <v>3481</v>
      </c>
      <c r="C1043" s="17" t="s">
        <v>11</v>
      </c>
      <c r="D1043" s="17" t="s">
        <v>12</v>
      </c>
      <c r="E1043" s="17" t="s">
        <v>13</v>
      </c>
      <c r="F1043" s="16" t="s">
        <v>3482</v>
      </c>
    </row>
    <row r="1044" spans="1:6" x14ac:dyDescent="0.25">
      <c r="A1044" s="16" t="s">
        <v>3483</v>
      </c>
      <c r="B1044" s="17" t="s">
        <v>3484</v>
      </c>
      <c r="C1044" s="17" t="s">
        <v>11</v>
      </c>
      <c r="D1044" s="17" t="s">
        <v>12</v>
      </c>
      <c r="E1044" s="17" t="s">
        <v>13</v>
      </c>
      <c r="F1044" s="16" t="s">
        <v>3485</v>
      </c>
    </row>
    <row r="1045" spans="1:6" x14ac:dyDescent="0.25">
      <c r="A1045" s="16" t="s">
        <v>3486</v>
      </c>
      <c r="B1045" s="17" t="s">
        <v>3487</v>
      </c>
      <c r="C1045" s="17" t="s">
        <v>11</v>
      </c>
      <c r="D1045" s="17" t="s">
        <v>12</v>
      </c>
      <c r="E1045" s="17" t="s">
        <v>13</v>
      </c>
      <c r="F1045" s="16" t="s">
        <v>3488</v>
      </c>
    </row>
    <row r="1046" spans="1:6" x14ac:dyDescent="0.25">
      <c r="A1046" s="16" t="s">
        <v>3489</v>
      </c>
      <c r="B1046" s="17" t="s">
        <v>3490</v>
      </c>
      <c r="C1046" s="17" t="s">
        <v>11</v>
      </c>
      <c r="D1046" s="17" t="s">
        <v>12</v>
      </c>
      <c r="E1046" s="17" t="s">
        <v>13</v>
      </c>
      <c r="F1046" s="16" t="s">
        <v>3491</v>
      </c>
    </row>
    <row r="1047" spans="1:6" x14ac:dyDescent="0.25">
      <c r="A1047" s="16" t="s">
        <v>3492</v>
      </c>
      <c r="B1047" s="17" t="s">
        <v>3493</v>
      </c>
      <c r="C1047" s="17" t="s">
        <v>11</v>
      </c>
      <c r="D1047" s="17" t="s">
        <v>12</v>
      </c>
      <c r="E1047" s="17" t="s">
        <v>13</v>
      </c>
      <c r="F1047" s="16" t="s">
        <v>3494</v>
      </c>
    </row>
    <row r="1048" spans="1:6" x14ac:dyDescent="0.25">
      <c r="A1048" s="16" t="s">
        <v>3495</v>
      </c>
      <c r="B1048" s="17" t="s">
        <v>3496</v>
      </c>
      <c r="C1048" s="17" t="s">
        <v>11</v>
      </c>
      <c r="D1048" s="17" t="s">
        <v>250</v>
      </c>
      <c r="E1048" s="17" t="s">
        <v>20</v>
      </c>
      <c r="F1048" s="16" t="s">
        <v>3497</v>
      </c>
    </row>
    <row r="1049" spans="1:6" x14ac:dyDescent="0.25">
      <c r="A1049" s="16" t="s">
        <v>3498</v>
      </c>
      <c r="B1049" s="17" t="s">
        <v>3499</v>
      </c>
      <c r="C1049" s="17" t="s">
        <v>11</v>
      </c>
      <c r="D1049" s="17" t="s">
        <v>12</v>
      </c>
      <c r="E1049" s="17" t="s">
        <v>13</v>
      </c>
      <c r="F1049" s="16" t="s">
        <v>3500</v>
      </c>
    </row>
    <row r="1050" spans="1:6" x14ac:dyDescent="0.25">
      <c r="A1050" s="16" t="s">
        <v>3501</v>
      </c>
      <c r="B1050" s="17" t="s">
        <v>3502</v>
      </c>
      <c r="C1050" s="17" t="s">
        <v>11</v>
      </c>
      <c r="D1050" s="17" t="s">
        <v>12</v>
      </c>
      <c r="E1050" s="17" t="s">
        <v>13</v>
      </c>
      <c r="F1050" s="16" t="s">
        <v>3503</v>
      </c>
    </row>
    <row r="1051" spans="1:6" x14ac:dyDescent="0.25">
      <c r="A1051" s="16" t="s">
        <v>3504</v>
      </c>
      <c r="B1051" s="17" t="s">
        <v>3505</v>
      </c>
      <c r="C1051" s="17" t="s">
        <v>11</v>
      </c>
      <c r="D1051" s="17" t="s">
        <v>12</v>
      </c>
      <c r="E1051" s="17" t="s">
        <v>13</v>
      </c>
      <c r="F1051" s="16" t="s">
        <v>3506</v>
      </c>
    </row>
    <row r="1052" spans="1:6" x14ac:dyDescent="0.25">
      <c r="A1052" s="16" t="s">
        <v>3507</v>
      </c>
      <c r="B1052" s="17" t="s">
        <v>3508</v>
      </c>
      <c r="C1052" s="17" t="s">
        <v>11</v>
      </c>
      <c r="D1052" s="17" t="s">
        <v>12</v>
      </c>
      <c r="E1052" s="17" t="s">
        <v>13</v>
      </c>
      <c r="F1052" s="16" t="s">
        <v>3509</v>
      </c>
    </row>
    <row r="1053" spans="1:6" x14ac:dyDescent="0.25">
      <c r="A1053" s="16" t="s">
        <v>3510</v>
      </c>
      <c r="B1053" s="17" t="s">
        <v>3511</v>
      </c>
      <c r="C1053" s="17" t="s">
        <v>11</v>
      </c>
      <c r="D1053" s="17" t="s">
        <v>12</v>
      </c>
      <c r="E1053" s="17" t="s">
        <v>13</v>
      </c>
      <c r="F1053" s="16" t="s">
        <v>3512</v>
      </c>
    </row>
    <row r="1054" spans="1:6" x14ac:dyDescent="0.25">
      <c r="A1054" s="16" t="s">
        <v>3513</v>
      </c>
      <c r="B1054" s="17" t="s">
        <v>3514</v>
      </c>
      <c r="C1054" s="17" t="s">
        <v>11</v>
      </c>
      <c r="D1054" s="17" t="s">
        <v>12</v>
      </c>
      <c r="E1054" s="17" t="s">
        <v>13</v>
      </c>
      <c r="F1054" s="16" t="s">
        <v>3515</v>
      </c>
    </row>
    <row r="1055" spans="1:6" x14ac:dyDescent="0.25">
      <c r="A1055" s="16" t="s">
        <v>3516</v>
      </c>
      <c r="B1055" s="17" t="s">
        <v>3517</v>
      </c>
      <c r="C1055" s="17" t="s">
        <v>11</v>
      </c>
      <c r="D1055" s="17" t="s">
        <v>59</v>
      </c>
      <c r="E1055" s="17" t="s">
        <v>13</v>
      </c>
      <c r="F1055" s="16" t="s">
        <v>3518</v>
      </c>
    </row>
    <row r="1056" spans="1:6" x14ac:dyDescent="0.25">
      <c r="A1056" s="16" t="s">
        <v>3519</v>
      </c>
      <c r="B1056" s="17" t="s">
        <v>3520</v>
      </c>
      <c r="C1056" s="17" t="s">
        <v>11</v>
      </c>
      <c r="D1056" s="17" t="s">
        <v>291</v>
      </c>
      <c r="E1056" s="17" t="s">
        <v>20</v>
      </c>
      <c r="F1056" s="16" t="s">
        <v>3521</v>
      </c>
    </row>
    <row r="1057" spans="1:6" x14ac:dyDescent="0.25">
      <c r="A1057" s="16" t="s">
        <v>3522</v>
      </c>
      <c r="B1057" s="17" t="s">
        <v>3523</v>
      </c>
      <c r="C1057" s="17" t="s">
        <v>11</v>
      </c>
      <c r="D1057" s="17" t="s">
        <v>12</v>
      </c>
      <c r="E1057" s="17" t="s">
        <v>13</v>
      </c>
      <c r="F1057" s="16" t="s">
        <v>3524</v>
      </c>
    </row>
    <row r="1058" spans="1:6" x14ac:dyDescent="0.25">
      <c r="A1058" s="16" t="s">
        <v>3525</v>
      </c>
      <c r="B1058" s="17" t="s">
        <v>3526</v>
      </c>
      <c r="C1058" s="17" t="s">
        <v>11</v>
      </c>
      <c r="D1058" s="17" t="s">
        <v>32</v>
      </c>
      <c r="E1058" s="17" t="s">
        <v>20</v>
      </c>
      <c r="F1058" s="16" t="s">
        <v>3527</v>
      </c>
    </row>
    <row r="1059" spans="1:6" x14ac:dyDescent="0.25">
      <c r="A1059" s="16" t="s">
        <v>3528</v>
      </c>
      <c r="B1059" s="17" t="s">
        <v>3529</v>
      </c>
      <c r="C1059" s="17" t="s">
        <v>11</v>
      </c>
      <c r="D1059" s="17" t="s">
        <v>12</v>
      </c>
      <c r="E1059" s="17" t="s">
        <v>13</v>
      </c>
      <c r="F1059" s="16" t="s">
        <v>3530</v>
      </c>
    </row>
    <row r="1060" spans="1:6" x14ac:dyDescent="0.25">
      <c r="A1060" s="16" t="s">
        <v>3531</v>
      </c>
      <c r="B1060" s="17" t="s">
        <v>3532</v>
      </c>
      <c r="C1060" s="17" t="s">
        <v>11</v>
      </c>
      <c r="D1060" s="17" t="s">
        <v>12</v>
      </c>
      <c r="E1060" s="17" t="s">
        <v>13</v>
      </c>
      <c r="F1060" s="16" t="s">
        <v>3533</v>
      </c>
    </row>
    <row r="1061" spans="1:6" x14ac:dyDescent="0.25">
      <c r="A1061" s="16" t="s">
        <v>3534</v>
      </c>
      <c r="B1061" s="17" t="s">
        <v>3535</v>
      </c>
      <c r="C1061" s="17" t="s">
        <v>11</v>
      </c>
      <c r="D1061" s="17" t="s">
        <v>649</v>
      </c>
      <c r="E1061" s="17" t="s">
        <v>20</v>
      </c>
      <c r="F1061" s="16" t="s">
        <v>3536</v>
      </c>
    </row>
    <row r="1062" spans="1:6" x14ac:dyDescent="0.25">
      <c r="A1062" s="16" t="s">
        <v>3537</v>
      </c>
      <c r="B1062" s="17" t="s">
        <v>3538</v>
      </c>
      <c r="C1062" s="17" t="s">
        <v>11</v>
      </c>
      <c r="D1062" s="17" t="s">
        <v>12</v>
      </c>
      <c r="E1062" s="17" t="s">
        <v>13</v>
      </c>
      <c r="F1062" s="16" t="s">
        <v>3539</v>
      </c>
    </row>
    <row r="1063" spans="1:6" x14ac:dyDescent="0.25">
      <c r="A1063" s="16" t="s">
        <v>3540</v>
      </c>
      <c r="B1063" s="17" t="s">
        <v>3541</v>
      </c>
      <c r="C1063" s="17" t="s">
        <v>11</v>
      </c>
      <c r="D1063" s="17" t="s">
        <v>12</v>
      </c>
      <c r="E1063" s="17" t="s">
        <v>13</v>
      </c>
      <c r="F1063" s="16" t="s">
        <v>3542</v>
      </c>
    </row>
    <row r="1064" spans="1:6" x14ac:dyDescent="0.25">
      <c r="A1064" s="16" t="s">
        <v>3543</v>
      </c>
      <c r="B1064" s="17" t="s">
        <v>3544</v>
      </c>
      <c r="C1064" s="17" t="s">
        <v>11</v>
      </c>
      <c r="D1064" s="17" t="s">
        <v>80</v>
      </c>
      <c r="E1064" s="17" t="s">
        <v>20</v>
      </c>
      <c r="F1064" s="16" t="s">
        <v>3545</v>
      </c>
    </row>
    <row r="1065" spans="1:6" x14ac:dyDescent="0.25">
      <c r="A1065" s="16" t="s">
        <v>3546</v>
      </c>
      <c r="B1065" s="17" t="s">
        <v>3547</v>
      </c>
      <c r="C1065" s="17" t="s">
        <v>11</v>
      </c>
      <c r="D1065" s="17" t="s">
        <v>59</v>
      </c>
      <c r="E1065" s="17" t="s">
        <v>13</v>
      </c>
      <c r="F1065" s="16" t="s">
        <v>3548</v>
      </c>
    </row>
    <row r="1066" spans="1:6" x14ac:dyDescent="0.25">
      <c r="A1066" s="16" t="s">
        <v>3549</v>
      </c>
      <c r="B1066" s="17" t="s">
        <v>3550</v>
      </c>
      <c r="C1066" s="17" t="s">
        <v>11</v>
      </c>
      <c r="D1066" s="17" t="s">
        <v>12</v>
      </c>
      <c r="E1066" s="17" t="s">
        <v>13</v>
      </c>
      <c r="F1066" s="16" t="s">
        <v>3551</v>
      </c>
    </row>
    <row r="1067" spans="1:6" x14ac:dyDescent="0.25">
      <c r="A1067" s="16" t="s">
        <v>3552</v>
      </c>
      <c r="B1067" s="17" t="s">
        <v>3553</v>
      </c>
      <c r="C1067" s="17" t="s">
        <v>11</v>
      </c>
      <c r="D1067" s="17" t="s">
        <v>12</v>
      </c>
      <c r="E1067" s="17" t="s">
        <v>13</v>
      </c>
      <c r="F1067" s="16" t="s">
        <v>3554</v>
      </c>
    </row>
    <row r="1068" spans="1:6" x14ac:dyDescent="0.25">
      <c r="A1068" s="16" t="s">
        <v>3555</v>
      </c>
      <c r="B1068" s="17" t="s">
        <v>3556</v>
      </c>
      <c r="C1068" s="17" t="s">
        <v>11</v>
      </c>
      <c r="D1068" s="17" t="s">
        <v>12</v>
      </c>
      <c r="E1068" s="17" t="s">
        <v>13</v>
      </c>
      <c r="F1068" s="16" t="s">
        <v>3557</v>
      </c>
    </row>
    <row r="1069" spans="1:6" x14ac:dyDescent="0.25">
      <c r="A1069" s="16" t="s">
        <v>3558</v>
      </c>
      <c r="B1069" s="17" t="s">
        <v>3559</v>
      </c>
      <c r="C1069" s="17" t="s">
        <v>11</v>
      </c>
      <c r="D1069" s="17" t="s">
        <v>32</v>
      </c>
      <c r="E1069" s="17" t="s">
        <v>20</v>
      </c>
      <c r="F1069" s="16" t="s">
        <v>3560</v>
      </c>
    </row>
    <row r="1070" spans="1:6" x14ac:dyDescent="0.25">
      <c r="A1070" s="16" t="s">
        <v>3561</v>
      </c>
      <c r="B1070" s="17" t="s">
        <v>3562</v>
      </c>
      <c r="C1070" s="17" t="s">
        <v>11</v>
      </c>
      <c r="D1070" s="17" t="s">
        <v>12</v>
      </c>
      <c r="E1070" s="17" t="s">
        <v>13</v>
      </c>
      <c r="F1070" s="16" t="s">
        <v>3563</v>
      </c>
    </row>
    <row r="1071" spans="1:6" x14ac:dyDescent="0.25">
      <c r="A1071" s="16" t="s">
        <v>3564</v>
      </c>
      <c r="B1071" s="17" t="s">
        <v>3565</v>
      </c>
      <c r="C1071" s="17" t="s">
        <v>11</v>
      </c>
      <c r="D1071" s="17" t="s">
        <v>12</v>
      </c>
      <c r="E1071" s="17" t="s">
        <v>13</v>
      </c>
      <c r="F1071" s="16" t="s">
        <v>3566</v>
      </c>
    </row>
    <row r="1072" spans="1:6" x14ac:dyDescent="0.25">
      <c r="A1072" s="16" t="s">
        <v>3567</v>
      </c>
      <c r="B1072" s="17" t="s">
        <v>3568</v>
      </c>
      <c r="C1072" s="17" t="s">
        <v>11</v>
      </c>
      <c r="D1072" s="17" t="s">
        <v>250</v>
      </c>
      <c r="E1072" s="17" t="s">
        <v>20</v>
      </c>
      <c r="F1072" s="16" t="s">
        <v>3569</v>
      </c>
    </row>
    <row r="1073" spans="1:6" x14ac:dyDescent="0.25">
      <c r="A1073" s="16" t="s">
        <v>3570</v>
      </c>
      <c r="B1073" s="17" t="s">
        <v>3571</v>
      </c>
      <c r="C1073" s="17" t="s">
        <v>11</v>
      </c>
      <c r="D1073" s="17" t="s">
        <v>148</v>
      </c>
      <c r="E1073" s="17" t="s">
        <v>20</v>
      </c>
      <c r="F1073" s="16" t="s">
        <v>3572</v>
      </c>
    </row>
    <row r="1074" spans="1:6" x14ac:dyDescent="0.25">
      <c r="A1074" s="16" t="s">
        <v>3573</v>
      </c>
      <c r="B1074" s="17" t="s">
        <v>3574</v>
      </c>
      <c r="C1074" s="17" t="s">
        <v>11</v>
      </c>
      <c r="D1074" s="17" t="s">
        <v>12</v>
      </c>
      <c r="E1074" s="17" t="s">
        <v>13</v>
      </c>
      <c r="F1074" s="16" t="s">
        <v>3575</v>
      </c>
    </row>
    <row r="1075" spans="1:6" x14ac:dyDescent="0.25">
      <c r="A1075" s="16" t="s">
        <v>3576</v>
      </c>
      <c r="B1075" s="17" t="s">
        <v>3577</v>
      </c>
      <c r="C1075" s="17" t="s">
        <v>11</v>
      </c>
      <c r="D1075" s="17" t="s">
        <v>32</v>
      </c>
      <c r="E1075" s="17" t="s">
        <v>20</v>
      </c>
      <c r="F1075" s="16" t="s">
        <v>3578</v>
      </c>
    </row>
    <row r="1076" spans="1:6" x14ac:dyDescent="0.25">
      <c r="A1076" s="16" t="s">
        <v>3579</v>
      </c>
      <c r="B1076" s="17" t="s">
        <v>3580</v>
      </c>
      <c r="C1076" s="17" t="s">
        <v>11</v>
      </c>
      <c r="D1076" s="17" t="s">
        <v>12</v>
      </c>
      <c r="E1076" s="17" t="s">
        <v>13</v>
      </c>
      <c r="F1076" s="16" t="s">
        <v>3581</v>
      </c>
    </row>
    <row r="1077" spans="1:6" x14ac:dyDescent="0.25">
      <c r="A1077" s="16" t="s">
        <v>3582</v>
      </c>
      <c r="B1077" s="17" t="s">
        <v>3583</v>
      </c>
      <c r="C1077" s="17" t="s">
        <v>1235</v>
      </c>
      <c r="D1077" s="17" t="s">
        <v>3377</v>
      </c>
      <c r="E1077" s="17" t="s">
        <v>1237</v>
      </c>
      <c r="F1077" s="16" t="s">
        <v>3584</v>
      </c>
    </row>
    <row r="1078" spans="1:6" x14ac:dyDescent="0.25">
      <c r="A1078" s="16" t="s">
        <v>3585</v>
      </c>
      <c r="B1078" s="17" t="s">
        <v>3586</v>
      </c>
      <c r="C1078" s="17" t="s">
        <v>11</v>
      </c>
      <c r="D1078" s="17" t="s">
        <v>32</v>
      </c>
      <c r="E1078" s="17" t="s">
        <v>20</v>
      </c>
      <c r="F1078" s="16" t="s">
        <v>3587</v>
      </c>
    </row>
    <row r="1079" spans="1:6" x14ac:dyDescent="0.25">
      <c r="A1079" s="16" t="s">
        <v>3588</v>
      </c>
      <c r="B1079" s="17" t="s">
        <v>3589</v>
      </c>
      <c r="C1079" s="17" t="s">
        <v>11</v>
      </c>
      <c r="D1079" s="17" t="s">
        <v>570</v>
      </c>
      <c r="E1079" s="17" t="s">
        <v>20</v>
      </c>
      <c r="F1079" s="16" t="s">
        <v>3590</v>
      </c>
    </row>
    <row r="1080" spans="1:6" x14ac:dyDescent="0.25">
      <c r="A1080" s="16" t="s">
        <v>3591</v>
      </c>
      <c r="B1080" s="17" t="s">
        <v>3592</v>
      </c>
      <c r="C1080" s="17" t="s">
        <v>11</v>
      </c>
      <c r="D1080" s="17" t="s">
        <v>250</v>
      </c>
      <c r="E1080" s="17" t="s">
        <v>20</v>
      </c>
      <c r="F1080" s="16" t="s">
        <v>3593</v>
      </c>
    </row>
    <row r="1081" spans="1:6" x14ac:dyDescent="0.25">
      <c r="A1081" s="16" t="s">
        <v>3594</v>
      </c>
      <c r="B1081" s="17" t="s">
        <v>3595</v>
      </c>
      <c r="C1081" s="17" t="s">
        <v>11</v>
      </c>
      <c r="D1081" s="17" t="s">
        <v>12</v>
      </c>
      <c r="E1081" s="17" t="s">
        <v>13</v>
      </c>
      <c r="F1081" s="16" t="s">
        <v>3596</v>
      </c>
    </row>
    <row r="1082" spans="1:6" x14ac:dyDescent="0.25">
      <c r="A1082" s="16" t="s">
        <v>3597</v>
      </c>
      <c r="B1082" s="17" t="s">
        <v>3598</v>
      </c>
      <c r="C1082" s="17" t="s">
        <v>11</v>
      </c>
      <c r="D1082" s="17" t="s">
        <v>89</v>
      </c>
      <c r="E1082" s="17" t="s">
        <v>20</v>
      </c>
      <c r="F1082" s="16" t="s">
        <v>3599</v>
      </c>
    </row>
    <row r="1083" spans="1:6" x14ac:dyDescent="0.25">
      <c r="A1083" s="16" t="s">
        <v>3600</v>
      </c>
      <c r="B1083" s="17" t="s">
        <v>3601</v>
      </c>
      <c r="C1083" s="17" t="s">
        <v>11</v>
      </c>
      <c r="D1083" s="17" t="s">
        <v>12</v>
      </c>
      <c r="E1083" s="17" t="s">
        <v>13</v>
      </c>
      <c r="F1083" s="16" t="s">
        <v>3602</v>
      </c>
    </row>
    <row r="1084" spans="1:6" x14ac:dyDescent="0.25">
      <c r="A1084" s="16" t="s">
        <v>3603</v>
      </c>
      <c r="B1084" s="17" t="s">
        <v>3604</v>
      </c>
      <c r="C1084" s="17" t="s">
        <v>11</v>
      </c>
      <c r="D1084" s="17" t="s">
        <v>3463</v>
      </c>
      <c r="E1084" s="17" t="s">
        <v>1299</v>
      </c>
      <c r="F1084" s="16" t="s">
        <v>3605</v>
      </c>
    </row>
    <row r="1085" spans="1:6" x14ac:dyDescent="0.25">
      <c r="A1085" s="16" t="s">
        <v>3606</v>
      </c>
      <c r="B1085" s="17" t="s">
        <v>3607</v>
      </c>
      <c r="C1085" s="17" t="s">
        <v>1235</v>
      </c>
      <c r="D1085" s="17" t="s">
        <v>1356</v>
      </c>
      <c r="E1085" s="17" t="s">
        <v>1237</v>
      </c>
      <c r="F1085" s="16" t="s">
        <v>3608</v>
      </c>
    </row>
    <row r="1086" spans="1:6" x14ac:dyDescent="0.25">
      <c r="A1086" s="16" t="s">
        <v>3609</v>
      </c>
      <c r="B1086" s="17" t="s">
        <v>3610</v>
      </c>
      <c r="C1086" s="17" t="s">
        <v>11</v>
      </c>
      <c r="D1086" s="17" t="s">
        <v>74</v>
      </c>
      <c r="E1086" s="17" t="s">
        <v>20</v>
      </c>
      <c r="F1086" s="16" t="s">
        <v>3611</v>
      </c>
    </row>
    <row r="1087" spans="1:6" x14ac:dyDescent="0.25">
      <c r="A1087" s="16" t="s">
        <v>3612</v>
      </c>
      <c r="B1087" s="17" t="s">
        <v>3613</v>
      </c>
      <c r="C1087" s="17" t="s">
        <v>1235</v>
      </c>
      <c r="D1087" s="17" t="s">
        <v>3614</v>
      </c>
      <c r="E1087" s="17" t="s">
        <v>1237</v>
      </c>
      <c r="F1087" s="16" t="s">
        <v>3615</v>
      </c>
    </row>
    <row r="1088" spans="1:6" x14ac:dyDescent="0.25">
      <c r="A1088" s="16" t="s">
        <v>3616</v>
      </c>
      <c r="B1088" s="17" t="s">
        <v>3617</v>
      </c>
      <c r="C1088" s="17" t="s">
        <v>11</v>
      </c>
      <c r="D1088" s="17" t="s">
        <v>12</v>
      </c>
      <c r="E1088" s="17" t="s">
        <v>13</v>
      </c>
      <c r="F1088" s="16" t="s">
        <v>3618</v>
      </c>
    </row>
    <row r="1089" spans="1:6" x14ac:dyDescent="0.25">
      <c r="A1089" s="16" t="s">
        <v>3619</v>
      </c>
      <c r="B1089" s="17" t="s">
        <v>3620</v>
      </c>
      <c r="C1089" s="17" t="s">
        <v>11</v>
      </c>
      <c r="D1089" s="17" t="s">
        <v>12</v>
      </c>
      <c r="E1089" s="17" t="s">
        <v>13</v>
      </c>
      <c r="F1089" s="16" t="s">
        <v>3621</v>
      </c>
    </row>
    <row r="1090" spans="1:6" x14ac:dyDescent="0.25">
      <c r="A1090" s="16" t="s">
        <v>3622</v>
      </c>
      <c r="B1090" s="17" t="s">
        <v>3623</v>
      </c>
      <c r="C1090" s="17" t="s">
        <v>11</v>
      </c>
      <c r="D1090" s="17" t="s">
        <v>12</v>
      </c>
      <c r="E1090" s="17" t="s">
        <v>13</v>
      </c>
      <c r="F1090" s="16" t="s">
        <v>3624</v>
      </c>
    </row>
    <row r="1091" spans="1:6" x14ac:dyDescent="0.25">
      <c r="A1091" s="16" t="s">
        <v>3625</v>
      </c>
      <c r="B1091" s="17" t="s">
        <v>3626</v>
      </c>
      <c r="C1091" s="17" t="s">
        <v>11</v>
      </c>
      <c r="D1091" s="17" t="s">
        <v>12</v>
      </c>
      <c r="E1091" s="17" t="s">
        <v>13</v>
      </c>
      <c r="F1091" s="16" t="s">
        <v>3627</v>
      </c>
    </row>
    <row r="1092" spans="1:6" x14ac:dyDescent="0.25">
      <c r="A1092" s="16" t="s">
        <v>3628</v>
      </c>
      <c r="B1092" s="17" t="s">
        <v>3629</v>
      </c>
      <c r="C1092" s="17" t="s">
        <v>11</v>
      </c>
      <c r="D1092" s="17" t="s">
        <v>12</v>
      </c>
      <c r="E1092" s="17" t="s">
        <v>13</v>
      </c>
      <c r="F1092" s="16" t="s">
        <v>3630</v>
      </c>
    </row>
    <row r="1093" spans="1:6" x14ac:dyDescent="0.25">
      <c r="A1093" s="16" t="s">
        <v>3631</v>
      </c>
      <c r="B1093" s="17" t="s">
        <v>3632</v>
      </c>
      <c r="C1093" s="17" t="s">
        <v>11</v>
      </c>
      <c r="D1093" s="17" t="s">
        <v>12</v>
      </c>
      <c r="E1093" s="17" t="s">
        <v>13</v>
      </c>
      <c r="F1093" s="16" t="s">
        <v>3633</v>
      </c>
    </row>
    <row r="1094" spans="1:6" x14ac:dyDescent="0.25">
      <c r="A1094" s="16" t="s">
        <v>3634</v>
      </c>
      <c r="B1094" s="17" t="s">
        <v>3635</v>
      </c>
      <c r="C1094" s="17" t="s">
        <v>11</v>
      </c>
      <c r="D1094" s="17" t="s">
        <v>83</v>
      </c>
      <c r="E1094" s="17" t="s">
        <v>20</v>
      </c>
      <c r="F1094" s="16" t="s">
        <v>3636</v>
      </c>
    </row>
    <row r="1095" spans="1:6" x14ac:dyDescent="0.25">
      <c r="A1095" s="16" t="s">
        <v>3637</v>
      </c>
      <c r="B1095" s="17" t="s">
        <v>3638</v>
      </c>
      <c r="C1095" s="17" t="s">
        <v>11</v>
      </c>
      <c r="D1095" s="17" t="s">
        <v>12</v>
      </c>
      <c r="E1095" s="17" t="s">
        <v>13</v>
      </c>
      <c r="F1095" s="16" t="s">
        <v>3639</v>
      </c>
    </row>
    <row r="1096" spans="1:6" x14ac:dyDescent="0.25">
      <c r="A1096" s="16" t="s">
        <v>3640</v>
      </c>
      <c r="B1096" s="17" t="s">
        <v>3641</v>
      </c>
      <c r="C1096" s="17" t="s">
        <v>11</v>
      </c>
      <c r="D1096" s="17" t="s">
        <v>12</v>
      </c>
      <c r="E1096" s="17" t="s">
        <v>13</v>
      </c>
      <c r="F1096" s="16" t="s">
        <v>3642</v>
      </c>
    </row>
    <row r="1097" spans="1:6" x14ac:dyDescent="0.25">
      <c r="A1097" s="16" t="s">
        <v>3643</v>
      </c>
      <c r="B1097" s="17" t="s">
        <v>3644</v>
      </c>
      <c r="C1097" s="17" t="s">
        <v>11</v>
      </c>
      <c r="D1097" s="17" t="s">
        <v>32</v>
      </c>
      <c r="E1097" s="17" t="s">
        <v>20</v>
      </c>
      <c r="F1097" s="16" t="s">
        <v>3645</v>
      </c>
    </row>
    <row r="1098" spans="1:6" x14ac:dyDescent="0.25">
      <c r="A1098" s="16" t="s">
        <v>3646</v>
      </c>
      <c r="B1098" s="17" t="s">
        <v>3647</v>
      </c>
      <c r="C1098" s="17" t="s">
        <v>11</v>
      </c>
      <c r="D1098" s="17" t="s">
        <v>89</v>
      </c>
      <c r="E1098" s="17" t="s">
        <v>20</v>
      </c>
      <c r="F1098" s="16" t="s">
        <v>3648</v>
      </c>
    </row>
    <row r="1099" spans="1:6" x14ac:dyDescent="0.25">
      <c r="A1099" s="16" t="s">
        <v>3649</v>
      </c>
      <c r="B1099" s="17" t="s">
        <v>3650</v>
      </c>
      <c r="C1099" s="17" t="s">
        <v>11</v>
      </c>
      <c r="D1099" s="17" t="s">
        <v>12</v>
      </c>
      <c r="E1099" s="17" t="s">
        <v>13</v>
      </c>
      <c r="F1099" s="16" t="s">
        <v>3651</v>
      </c>
    </row>
    <row r="1100" spans="1:6" x14ac:dyDescent="0.25">
      <c r="A1100" s="16" t="s">
        <v>3652</v>
      </c>
      <c r="B1100" s="17" t="s">
        <v>3653</v>
      </c>
      <c r="C1100" s="17" t="s">
        <v>11</v>
      </c>
      <c r="D1100" s="17" t="s">
        <v>12</v>
      </c>
      <c r="E1100" s="17" t="s">
        <v>13</v>
      </c>
      <c r="F1100" s="16" t="s">
        <v>3654</v>
      </c>
    </row>
    <row r="1101" spans="1:6" x14ac:dyDescent="0.25">
      <c r="A1101" s="16" t="s">
        <v>3655</v>
      </c>
      <c r="B1101" s="17" t="s">
        <v>3656</v>
      </c>
      <c r="C1101" s="17" t="s">
        <v>11</v>
      </c>
      <c r="D1101" s="17" t="s">
        <v>12</v>
      </c>
      <c r="E1101" s="17" t="s">
        <v>13</v>
      </c>
      <c r="F1101" s="16" t="s">
        <v>3657</v>
      </c>
    </row>
    <row r="1102" spans="1:6" x14ac:dyDescent="0.25">
      <c r="A1102" s="16" t="s">
        <v>3658</v>
      </c>
      <c r="B1102" s="17" t="s">
        <v>3659</v>
      </c>
      <c r="C1102" s="17" t="s">
        <v>11</v>
      </c>
      <c r="D1102" s="17" t="s">
        <v>12</v>
      </c>
      <c r="E1102" s="17" t="s">
        <v>13</v>
      </c>
      <c r="F1102" s="16" t="s">
        <v>3660</v>
      </c>
    </row>
    <row r="1103" spans="1:6" x14ac:dyDescent="0.25">
      <c r="A1103" s="16" t="s">
        <v>3661</v>
      </c>
      <c r="B1103" s="17" t="s">
        <v>3662</v>
      </c>
      <c r="C1103" s="17" t="s">
        <v>11</v>
      </c>
      <c r="D1103" s="17" t="s">
        <v>12</v>
      </c>
      <c r="E1103" s="17" t="s">
        <v>13</v>
      </c>
      <c r="F1103" s="16" t="s">
        <v>3663</v>
      </c>
    </row>
    <row r="1104" spans="1:6" x14ac:dyDescent="0.25">
      <c r="A1104" s="16" t="s">
        <v>3664</v>
      </c>
      <c r="B1104" s="17" t="s">
        <v>3665</v>
      </c>
      <c r="C1104" s="17" t="s">
        <v>11</v>
      </c>
      <c r="D1104" s="17" t="s">
        <v>12</v>
      </c>
      <c r="E1104" s="17" t="s">
        <v>13</v>
      </c>
      <c r="F1104" s="16" t="s">
        <v>3666</v>
      </c>
    </row>
    <row r="1105" spans="1:6" x14ac:dyDescent="0.25">
      <c r="A1105" s="16" t="s">
        <v>3667</v>
      </c>
      <c r="B1105" s="17" t="s">
        <v>3668</v>
      </c>
      <c r="C1105" s="17" t="s">
        <v>11</v>
      </c>
      <c r="D1105" s="17" t="s">
        <v>32</v>
      </c>
      <c r="E1105" s="17" t="s">
        <v>20</v>
      </c>
      <c r="F1105" s="16" t="s">
        <v>3669</v>
      </c>
    </row>
    <row r="1106" spans="1:6" x14ac:dyDescent="0.25">
      <c r="A1106" s="16" t="s">
        <v>3670</v>
      </c>
      <c r="B1106" s="17" t="s">
        <v>3671</v>
      </c>
      <c r="C1106" s="17" t="s">
        <v>11</v>
      </c>
      <c r="D1106" s="17" t="s">
        <v>12</v>
      </c>
      <c r="E1106" s="17" t="s">
        <v>13</v>
      </c>
      <c r="F1106" s="16" t="s">
        <v>3672</v>
      </c>
    </row>
    <row r="1107" spans="1:6" x14ac:dyDescent="0.25">
      <c r="A1107" s="16" t="s">
        <v>3673</v>
      </c>
      <c r="B1107" s="17" t="s">
        <v>3674</v>
      </c>
      <c r="C1107" s="17" t="s">
        <v>11</v>
      </c>
      <c r="D1107" s="17" t="s">
        <v>1402</v>
      </c>
      <c r="E1107" s="17" t="s">
        <v>13</v>
      </c>
      <c r="F1107" s="16" t="s">
        <v>3675</v>
      </c>
    </row>
    <row r="1108" spans="1:6" x14ac:dyDescent="0.25">
      <c r="A1108" s="16" t="s">
        <v>3676</v>
      </c>
      <c r="B1108" s="17" t="s">
        <v>3677</v>
      </c>
      <c r="C1108" s="17" t="s">
        <v>11</v>
      </c>
      <c r="D1108" s="17" t="s">
        <v>12</v>
      </c>
      <c r="E1108" s="17" t="s">
        <v>13</v>
      </c>
      <c r="F1108" s="16" t="s">
        <v>3678</v>
      </c>
    </row>
    <row r="1109" spans="1:6" x14ac:dyDescent="0.25">
      <c r="A1109" s="16" t="s">
        <v>3679</v>
      </c>
      <c r="B1109" s="17" t="s">
        <v>3680</v>
      </c>
      <c r="C1109" s="17" t="s">
        <v>11</v>
      </c>
      <c r="D1109" s="17" t="s">
        <v>12</v>
      </c>
      <c r="E1109" s="17" t="s">
        <v>13</v>
      </c>
      <c r="F1109" s="16" t="s">
        <v>3681</v>
      </c>
    </row>
    <row r="1110" spans="1:6" x14ac:dyDescent="0.25">
      <c r="A1110" s="16" t="s">
        <v>3682</v>
      </c>
      <c r="B1110" s="17" t="s">
        <v>3683</v>
      </c>
      <c r="C1110" s="17" t="s">
        <v>11</v>
      </c>
      <c r="D1110" s="17" t="s">
        <v>12</v>
      </c>
      <c r="E1110" s="17" t="s">
        <v>13</v>
      </c>
      <c r="F1110" s="16" t="s">
        <v>3684</v>
      </c>
    </row>
    <row r="1111" spans="1:6" x14ac:dyDescent="0.25">
      <c r="A1111" s="16" t="s">
        <v>3685</v>
      </c>
      <c r="B1111" s="17" t="s">
        <v>3686</v>
      </c>
      <c r="C1111" s="17" t="s">
        <v>11</v>
      </c>
      <c r="D1111" s="17" t="s">
        <v>83</v>
      </c>
      <c r="E1111" s="17" t="s">
        <v>20</v>
      </c>
      <c r="F1111" s="16" t="s">
        <v>3687</v>
      </c>
    </row>
    <row r="1112" spans="1:6" x14ac:dyDescent="0.25">
      <c r="A1112" s="16" t="s">
        <v>3688</v>
      </c>
      <c r="B1112" s="17" t="s">
        <v>3689</v>
      </c>
      <c r="C1112" s="17" t="s">
        <v>11</v>
      </c>
      <c r="D1112" s="17" t="s">
        <v>89</v>
      </c>
      <c r="E1112" s="17" t="s">
        <v>20</v>
      </c>
      <c r="F1112" s="16" t="s">
        <v>3690</v>
      </c>
    </row>
    <row r="1113" spans="1:6" x14ac:dyDescent="0.25">
      <c r="A1113" s="16" t="s">
        <v>3691</v>
      </c>
      <c r="B1113" s="17" t="s">
        <v>3692</v>
      </c>
      <c r="C1113" s="17" t="s">
        <v>11</v>
      </c>
      <c r="D1113" s="17" t="s">
        <v>80</v>
      </c>
      <c r="E1113" s="17" t="s">
        <v>20</v>
      </c>
      <c r="F1113" s="16" t="s">
        <v>3693</v>
      </c>
    </row>
    <row r="1114" spans="1:6" x14ac:dyDescent="0.25">
      <c r="A1114" s="16" t="s">
        <v>3694</v>
      </c>
      <c r="B1114" s="17" t="s">
        <v>3695</v>
      </c>
      <c r="C1114" s="17" t="s">
        <v>11</v>
      </c>
      <c r="D1114" s="17" t="s">
        <v>89</v>
      </c>
      <c r="E1114" s="17" t="s">
        <v>20</v>
      </c>
      <c r="F1114" s="16" t="s">
        <v>3696</v>
      </c>
    </row>
    <row r="1115" spans="1:6" x14ac:dyDescent="0.25">
      <c r="A1115" s="16" t="s">
        <v>3697</v>
      </c>
      <c r="B1115" s="17" t="s">
        <v>3698</v>
      </c>
      <c r="C1115" s="17" t="s">
        <v>11</v>
      </c>
      <c r="D1115" s="17" t="s">
        <v>32</v>
      </c>
      <c r="E1115" s="17" t="s">
        <v>20</v>
      </c>
      <c r="F1115" s="16" t="s">
        <v>3699</v>
      </c>
    </row>
    <row r="1116" spans="1:6" x14ac:dyDescent="0.25">
      <c r="A1116" s="16" t="s">
        <v>3700</v>
      </c>
      <c r="B1116" s="17" t="s">
        <v>3701</v>
      </c>
      <c r="C1116" s="17" t="s">
        <v>11</v>
      </c>
      <c r="D1116" s="17" t="s">
        <v>83</v>
      </c>
      <c r="E1116" s="17" t="s">
        <v>20</v>
      </c>
      <c r="F1116" s="16" t="s">
        <v>3702</v>
      </c>
    </row>
    <row r="1117" spans="1:6" x14ac:dyDescent="0.25">
      <c r="A1117" s="16" t="s">
        <v>3703</v>
      </c>
      <c r="B1117" s="17" t="s">
        <v>3704</v>
      </c>
      <c r="C1117" s="17" t="s">
        <v>11</v>
      </c>
      <c r="D1117" s="17" t="s">
        <v>32</v>
      </c>
      <c r="E1117" s="17" t="s">
        <v>20</v>
      </c>
      <c r="F1117" s="16" t="s">
        <v>3705</v>
      </c>
    </row>
    <row r="1118" spans="1:6" x14ac:dyDescent="0.25">
      <c r="A1118" s="16" t="s">
        <v>3706</v>
      </c>
      <c r="B1118" s="17" t="s">
        <v>3707</v>
      </c>
      <c r="C1118" s="17" t="s">
        <v>11</v>
      </c>
      <c r="D1118" s="17" t="s">
        <v>89</v>
      </c>
      <c r="E1118" s="17" t="s">
        <v>20</v>
      </c>
      <c r="F1118" s="16" t="s">
        <v>3708</v>
      </c>
    </row>
    <row r="1119" spans="1:6" x14ac:dyDescent="0.25">
      <c r="A1119" s="16" t="s">
        <v>3709</v>
      </c>
      <c r="B1119" s="17" t="s">
        <v>3710</v>
      </c>
      <c r="C1119" s="17" t="s">
        <v>11</v>
      </c>
      <c r="D1119" s="17" t="s">
        <v>32</v>
      </c>
      <c r="E1119" s="17" t="s">
        <v>20</v>
      </c>
      <c r="F1119" s="16" t="s">
        <v>3711</v>
      </c>
    </row>
    <row r="1120" spans="1:6" x14ac:dyDescent="0.25">
      <c r="A1120" s="16" t="s">
        <v>3712</v>
      </c>
      <c r="B1120" s="17" t="s">
        <v>3713</v>
      </c>
      <c r="C1120" s="17" t="s">
        <v>11</v>
      </c>
      <c r="D1120" s="17" t="s">
        <v>83</v>
      </c>
      <c r="E1120" s="17" t="s">
        <v>20</v>
      </c>
      <c r="F1120" s="16" t="s">
        <v>3714</v>
      </c>
    </row>
    <row r="1121" spans="1:6" x14ac:dyDescent="0.25">
      <c r="A1121" s="16" t="s">
        <v>3715</v>
      </c>
      <c r="B1121" s="17" t="s">
        <v>3716</v>
      </c>
      <c r="C1121" s="17" t="s">
        <v>11</v>
      </c>
      <c r="D1121" s="17" t="s">
        <v>250</v>
      </c>
      <c r="E1121" s="17" t="s">
        <v>20</v>
      </c>
      <c r="F1121" s="16" t="s">
        <v>3717</v>
      </c>
    </row>
    <row r="1122" spans="1:6" x14ac:dyDescent="0.25">
      <c r="A1122" s="16" t="s">
        <v>3718</v>
      </c>
      <c r="B1122" s="17" t="s">
        <v>3719</v>
      </c>
      <c r="C1122" s="17" t="s">
        <v>11</v>
      </c>
      <c r="D1122" s="17" t="s">
        <v>83</v>
      </c>
      <c r="E1122" s="17" t="s">
        <v>20</v>
      </c>
      <c r="F1122" s="16" t="s">
        <v>3720</v>
      </c>
    </row>
    <row r="1123" spans="1:6" x14ac:dyDescent="0.25">
      <c r="A1123" s="16" t="s">
        <v>3721</v>
      </c>
      <c r="B1123" s="17" t="s">
        <v>3722</v>
      </c>
      <c r="C1123" s="17" t="s">
        <v>11</v>
      </c>
      <c r="D1123" s="17" t="s">
        <v>32</v>
      </c>
      <c r="E1123" s="17" t="s">
        <v>20</v>
      </c>
      <c r="F1123" s="16" t="s">
        <v>3723</v>
      </c>
    </row>
    <row r="1124" spans="1:6" x14ac:dyDescent="0.25">
      <c r="A1124" s="16" t="s">
        <v>3724</v>
      </c>
      <c r="B1124" s="17" t="s">
        <v>3725</v>
      </c>
      <c r="C1124" s="17" t="s">
        <v>11</v>
      </c>
      <c r="D1124" s="17" t="s">
        <v>80</v>
      </c>
      <c r="E1124" s="17" t="s">
        <v>20</v>
      </c>
      <c r="F1124" s="16" t="s">
        <v>3726</v>
      </c>
    </row>
    <row r="1125" spans="1:6" x14ac:dyDescent="0.25">
      <c r="A1125" s="16" t="s">
        <v>3727</v>
      </c>
      <c r="B1125" s="17" t="s">
        <v>3728</v>
      </c>
      <c r="C1125" s="17" t="s">
        <v>11</v>
      </c>
      <c r="D1125" s="17" t="s">
        <v>649</v>
      </c>
      <c r="E1125" s="17" t="s">
        <v>20</v>
      </c>
      <c r="F1125" s="16" t="s">
        <v>3729</v>
      </c>
    </row>
    <row r="1126" spans="1:6" x14ac:dyDescent="0.25">
      <c r="A1126" s="16" t="s">
        <v>3730</v>
      </c>
      <c r="B1126" s="17" t="s">
        <v>3731</v>
      </c>
      <c r="C1126" s="17" t="s">
        <v>11</v>
      </c>
      <c r="D1126" s="17" t="s">
        <v>649</v>
      </c>
      <c r="E1126" s="17" t="s">
        <v>20</v>
      </c>
      <c r="F1126" s="16" t="s">
        <v>3732</v>
      </c>
    </row>
    <row r="1127" spans="1:6" x14ac:dyDescent="0.25">
      <c r="A1127" s="16" t="s">
        <v>3733</v>
      </c>
      <c r="B1127" s="17" t="s">
        <v>3734</v>
      </c>
      <c r="C1127" s="17" t="s">
        <v>11</v>
      </c>
      <c r="D1127" s="17" t="s">
        <v>83</v>
      </c>
      <c r="E1127" s="17" t="s">
        <v>20</v>
      </c>
      <c r="F1127" s="16" t="s">
        <v>3735</v>
      </c>
    </row>
    <row r="1128" spans="1:6" x14ac:dyDescent="0.25">
      <c r="A1128" s="16" t="s">
        <v>3736</v>
      </c>
      <c r="B1128" s="17" t="s">
        <v>3737</v>
      </c>
      <c r="C1128" s="17" t="s">
        <v>11</v>
      </c>
      <c r="D1128" s="17" t="s">
        <v>250</v>
      </c>
      <c r="E1128" s="17" t="s">
        <v>20</v>
      </c>
      <c r="F1128" s="16" t="s">
        <v>3738</v>
      </c>
    </row>
    <row r="1129" spans="1:6" x14ac:dyDescent="0.25">
      <c r="A1129" s="16" t="s">
        <v>3739</v>
      </c>
      <c r="B1129" s="17" t="s">
        <v>3740</v>
      </c>
      <c r="C1129" s="17" t="s">
        <v>11</v>
      </c>
      <c r="D1129" s="17" t="s">
        <v>83</v>
      </c>
      <c r="E1129" s="17" t="s">
        <v>20</v>
      </c>
      <c r="F1129" s="16" t="s">
        <v>3741</v>
      </c>
    </row>
    <row r="1130" spans="1:6" x14ac:dyDescent="0.25">
      <c r="A1130" s="16" t="s">
        <v>3742</v>
      </c>
      <c r="B1130" s="17" t="s">
        <v>3743</v>
      </c>
      <c r="C1130" s="17" t="s">
        <v>11</v>
      </c>
      <c r="D1130" s="17" t="s">
        <v>148</v>
      </c>
      <c r="E1130" s="17" t="s">
        <v>20</v>
      </c>
      <c r="F1130" s="16" t="s">
        <v>3744</v>
      </c>
    </row>
    <row r="1131" spans="1:6" x14ac:dyDescent="0.25">
      <c r="A1131" s="16" t="s">
        <v>3745</v>
      </c>
      <c r="B1131" s="17" t="s">
        <v>3746</v>
      </c>
      <c r="C1131" s="17" t="s">
        <v>11</v>
      </c>
      <c r="D1131" s="17" t="s">
        <v>32</v>
      </c>
      <c r="E1131" s="17" t="s">
        <v>20</v>
      </c>
      <c r="F1131" s="16" t="s">
        <v>3747</v>
      </c>
    </row>
    <row r="1132" spans="1:6" x14ac:dyDescent="0.25">
      <c r="A1132" s="16" t="s">
        <v>3748</v>
      </c>
      <c r="B1132" s="17" t="s">
        <v>3749</v>
      </c>
      <c r="C1132" s="17" t="s">
        <v>11</v>
      </c>
      <c r="D1132" s="17" t="s">
        <v>233</v>
      </c>
      <c r="E1132" s="17" t="s">
        <v>20</v>
      </c>
      <c r="F1132" s="16" t="s">
        <v>3750</v>
      </c>
    </row>
    <row r="1133" spans="1:6" x14ac:dyDescent="0.25">
      <c r="A1133" s="16" t="s">
        <v>3751</v>
      </c>
      <c r="B1133" s="17" t="s">
        <v>3752</v>
      </c>
      <c r="C1133" s="17" t="s">
        <v>11</v>
      </c>
      <c r="D1133" s="17" t="s">
        <v>32</v>
      </c>
      <c r="E1133" s="17" t="s">
        <v>20</v>
      </c>
      <c r="F1133" s="16" t="s">
        <v>3753</v>
      </c>
    </row>
    <row r="1134" spans="1:6" x14ac:dyDescent="0.25">
      <c r="A1134" s="16" t="s">
        <v>3754</v>
      </c>
      <c r="B1134" s="17" t="s">
        <v>3755</v>
      </c>
      <c r="C1134" s="17" t="s">
        <v>11</v>
      </c>
      <c r="D1134" s="17" t="s">
        <v>32</v>
      </c>
      <c r="E1134" s="17" t="s">
        <v>20</v>
      </c>
      <c r="F1134" s="16" t="s">
        <v>3756</v>
      </c>
    </row>
    <row r="1135" spans="1:6" x14ac:dyDescent="0.25">
      <c r="A1135" s="16" t="s">
        <v>3757</v>
      </c>
      <c r="B1135" s="17" t="s">
        <v>3758</v>
      </c>
      <c r="C1135" s="17" t="s">
        <v>11</v>
      </c>
      <c r="D1135" s="17" t="s">
        <v>32</v>
      </c>
      <c r="E1135" s="17" t="s">
        <v>20</v>
      </c>
      <c r="F1135" s="16" t="s">
        <v>3759</v>
      </c>
    </row>
    <row r="1136" spans="1:6" x14ac:dyDescent="0.25">
      <c r="A1136" s="16" t="s">
        <v>3760</v>
      </c>
      <c r="B1136" s="17" t="s">
        <v>3761</v>
      </c>
      <c r="C1136" s="17" t="s">
        <v>11</v>
      </c>
      <c r="D1136" s="17" t="s">
        <v>74</v>
      </c>
      <c r="E1136" s="17" t="s">
        <v>20</v>
      </c>
      <c r="F1136" s="16" t="s">
        <v>3762</v>
      </c>
    </row>
    <row r="1137" spans="1:6" x14ac:dyDescent="0.25">
      <c r="A1137" s="16" t="s">
        <v>3763</v>
      </c>
      <c r="B1137" s="17" t="s">
        <v>3764</v>
      </c>
      <c r="C1137" s="17" t="s">
        <v>11</v>
      </c>
      <c r="D1137" s="17" t="s">
        <v>291</v>
      </c>
      <c r="E1137" s="17" t="s">
        <v>20</v>
      </c>
      <c r="F1137" s="16" t="s">
        <v>3765</v>
      </c>
    </row>
    <row r="1138" spans="1:6" x14ac:dyDescent="0.25">
      <c r="A1138" s="16" t="s">
        <v>3766</v>
      </c>
      <c r="B1138" s="17" t="s">
        <v>3767</v>
      </c>
      <c r="C1138" s="17" t="s">
        <v>11</v>
      </c>
      <c r="D1138" s="17" t="s">
        <v>12</v>
      </c>
      <c r="E1138" s="17" t="s">
        <v>13</v>
      </c>
      <c r="F1138" s="16" t="s">
        <v>3768</v>
      </c>
    </row>
    <row r="1139" spans="1:6" x14ac:dyDescent="0.25">
      <c r="A1139" s="16" t="s">
        <v>3769</v>
      </c>
      <c r="B1139" s="17" t="s">
        <v>3770</v>
      </c>
      <c r="C1139" s="17" t="s">
        <v>11</v>
      </c>
      <c r="D1139" s="17" t="s">
        <v>12</v>
      </c>
      <c r="E1139" s="17" t="s">
        <v>13</v>
      </c>
      <c r="F1139" s="16" t="s">
        <v>3771</v>
      </c>
    </row>
    <row r="1140" spans="1:6" x14ac:dyDescent="0.25">
      <c r="A1140" s="16" t="s">
        <v>3772</v>
      </c>
      <c r="B1140" s="17" t="s">
        <v>3773</v>
      </c>
      <c r="C1140" s="17" t="s">
        <v>11</v>
      </c>
      <c r="D1140" s="17" t="s">
        <v>12</v>
      </c>
      <c r="E1140" s="17" t="s">
        <v>13</v>
      </c>
      <c r="F1140" s="16" t="s">
        <v>3774</v>
      </c>
    </row>
    <row r="1141" spans="1:6" x14ac:dyDescent="0.25">
      <c r="A1141" s="16" t="s">
        <v>3775</v>
      </c>
      <c r="B1141" s="17" t="s">
        <v>3776</v>
      </c>
      <c r="C1141" s="17" t="s">
        <v>11</v>
      </c>
      <c r="D1141" s="17" t="s">
        <v>12</v>
      </c>
      <c r="E1141" s="17" t="s">
        <v>13</v>
      </c>
      <c r="F1141" s="16" t="s">
        <v>3777</v>
      </c>
    </row>
    <row r="1142" spans="1:6" x14ac:dyDescent="0.25">
      <c r="A1142" s="16" t="s">
        <v>3778</v>
      </c>
      <c r="B1142" s="17" t="s">
        <v>3779</v>
      </c>
      <c r="C1142" s="17" t="s">
        <v>11</v>
      </c>
      <c r="D1142" s="17" t="s">
        <v>12</v>
      </c>
      <c r="E1142" s="17" t="s">
        <v>13</v>
      </c>
      <c r="F1142" s="16" t="s">
        <v>3780</v>
      </c>
    </row>
    <row r="1143" spans="1:6" x14ac:dyDescent="0.25">
      <c r="A1143" s="16" t="s">
        <v>3781</v>
      </c>
      <c r="B1143" s="17" t="s">
        <v>3782</v>
      </c>
      <c r="C1143" s="17" t="s">
        <v>11</v>
      </c>
      <c r="D1143" s="17" t="s">
        <v>12</v>
      </c>
      <c r="E1143" s="17" t="s">
        <v>13</v>
      </c>
      <c r="F1143" s="16" t="s">
        <v>3783</v>
      </c>
    </row>
    <row r="1144" spans="1:6" x14ac:dyDescent="0.25">
      <c r="A1144" s="16" t="s">
        <v>3784</v>
      </c>
      <c r="B1144" s="17" t="s">
        <v>3785</v>
      </c>
      <c r="C1144" s="17" t="s">
        <v>11</v>
      </c>
      <c r="D1144" s="17" t="s">
        <v>12</v>
      </c>
      <c r="E1144" s="17" t="s">
        <v>13</v>
      </c>
      <c r="F1144" s="16" t="s">
        <v>3786</v>
      </c>
    </row>
    <row r="1145" spans="1:6" x14ac:dyDescent="0.25">
      <c r="A1145" s="16" t="s">
        <v>3787</v>
      </c>
      <c r="B1145" s="17" t="s">
        <v>3788</v>
      </c>
      <c r="C1145" s="17" t="s">
        <v>11</v>
      </c>
      <c r="D1145" s="17" t="s">
        <v>12</v>
      </c>
      <c r="E1145" s="17" t="s">
        <v>13</v>
      </c>
      <c r="F1145" s="16" t="s">
        <v>3789</v>
      </c>
    </row>
    <row r="1146" spans="1:6" x14ac:dyDescent="0.25">
      <c r="A1146" s="16" t="s">
        <v>3790</v>
      </c>
      <c r="B1146" s="17" t="s">
        <v>3791</v>
      </c>
      <c r="C1146" s="17" t="s">
        <v>11</v>
      </c>
      <c r="D1146" s="17" t="s">
        <v>12</v>
      </c>
      <c r="E1146" s="17" t="s">
        <v>13</v>
      </c>
      <c r="F1146" s="16" t="s">
        <v>3792</v>
      </c>
    </row>
    <row r="1147" spans="1:6" x14ac:dyDescent="0.25">
      <c r="A1147" s="16" t="s">
        <v>3793</v>
      </c>
      <c r="B1147" s="17" t="s">
        <v>3794</v>
      </c>
      <c r="C1147" s="17" t="s">
        <v>11</v>
      </c>
      <c r="D1147" s="17" t="s">
        <v>12</v>
      </c>
      <c r="E1147" s="17" t="s">
        <v>13</v>
      </c>
      <c r="F1147" s="16" t="s">
        <v>3795</v>
      </c>
    </row>
    <row r="1148" spans="1:6" x14ac:dyDescent="0.25">
      <c r="A1148" s="16" t="s">
        <v>3796</v>
      </c>
      <c r="B1148" s="17" t="s">
        <v>3797</v>
      </c>
      <c r="C1148" s="17" t="s">
        <v>11</v>
      </c>
      <c r="D1148" s="17" t="s">
        <v>12</v>
      </c>
      <c r="E1148" s="17" t="s">
        <v>13</v>
      </c>
      <c r="F1148" s="16" t="s">
        <v>3798</v>
      </c>
    </row>
    <row r="1149" spans="1:6" x14ac:dyDescent="0.25">
      <c r="A1149" s="16" t="s">
        <v>3799</v>
      </c>
      <c r="B1149" s="17" t="s">
        <v>3800</v>
      </c>
      <c r="C1149" s="17" t="s">
        <v>11</v>
      </c>
      <c r="D1149" s="17" t="s">
        <v>12</v>
      </c>
      <c r="E1149" s="17" t="s">
        <v>13</v>
      </c>
      <c r="F1149" s="16" t="s">
        <v>3801</v>
      </c>
    </row>
    <row r="1150" spans="1:6" x14ac:dyDescent="0.25">
      <c r="A1150" s="16" t="s">
        <v>3802</v>
      </c>
      <c r="B1150" s="17" t="s">
        <v>3803</v>
      </c>
      <c r="C1150" s="17" t="s">
        <v>11</v>
      </c>
      <c r="D1150" s="17" t="s">
        <v>12</v>
      </c>
      <c r="E1150" s="17" t="s">
        <v>13</v>
      </c>
      <c r="F1150" s="16" t="s">
        <v>3804</v>
      </c>
    </row>
    <row r="1151" spans="1:6" x14ac:dyDescent="0.25">
      <c r="A1151" s="16" t="s">
        <v>3805</v>
      </c>
      <c r="B1151" s="17" t="s">
        <v>3806</v>
      </c>
      <c r="C1151" s="17" t="s">
        <v>11</v>
      </c>
      <c r="D1151" s="17" t="s">
        <v>12</v>
      </c>
      <c r="E1151" s="17" t="s">
        <v>13</v>
      </c>
      <c r="F1151" s="16" t="s">
        <v>3807</v>
      </c>
    </row>
    <row r="1152" spans="1:6" x14ac:dyDescent="0.25">
      <c r="A1152" s="16" t="s">
        <v>3808</v>
      </c>
      <c r="B1152" s="17" t="s">
        <v>3809</v>
      </c>
      <c r="C1152" s="17" t="s">
        <v>11</v>
      </c>
      <c r="D1152" s="17" t="s">
        <v>12</v>
      </c>
      <c r="E1152" s="17" t="s">
        <v>13</v>
      </c>
      <c r="F1152" s="16" t="s">
        <v>3810</v>
      </c>
    </row>
    <row r="1153" spans="1:6" x14ac:dyDescent="0.25">
      <c r="A1153" s="16" t="s">
        <v>3811</v>
      </c>
      <c r="B1153" s="17" t="s">
        <v>3812</v>
      </c>
      <c r="C1153" s="17" t="s">
        <v>11</v>
      </c>
      <c r="D1153" s="17" t="s">
        <v>12</v>
      </c>
      <c r="E1153" s="17" t="s">
        <v>13</v>
      </c>
      <c r="F1153" s="16" t="s">
        <v>3813</v>
      </c>
    </row>
    <row r="1154" spans="1:6" x14ac:dyDescent="0.25">
      <c r="A1154" s="16" t="s">
        <v>3814</v>
      </c>
      <c r="B1154" s="17" t="s">
        <v>3815</v>
      </c>
      <c r="C1154" s="17" t="s">
        <v>11</v>
      </c>
      <c r="D1154" s="17" t="s">
        <v>12</v>
      </c>
      <c r="E1154" s="17" t="s">
        <v>13</v>
      </c>
      <c r="F1154" s="16" t="s">
        <v>3816</v>
      </c>
    </row>
    <row r="1155" spans="1:6" x14ac:dyDescent="0.25">
      <c r="A1155" s="16" t="s">
        <v>3817</v>
      </c>
      <c r="B1155" s="17" t="s">
        <v>3818</v>
      </c>
      <c r="C1155" s="17" t="s">
        <v>11</v>
      </c>
      <c r="D1155" s="17" t="s">
        <v>32</v>
      </c>
      <c r="E1155" s="17" t="s">
        <v>20</v>
      </c>
      <c r="F1155" s="16" t="s">
        <v>3819</v>
      </c>
    </row>
    <row r="1156" spans="1:6" x14ac:dyDescent="0.25">
      <c r="A1156" s="16" t="s">
        <v>3820</v>
      </c>
      <c r="B1156" s="17" t="s">
        <v>3821</v>
      </c>
      <c r="C1156" s="17" t="s">
        <v>11</v>
      </c>
      <c r="D1156" s="17" t="s">
        <v>12</v>
      </c>
      <c r="E1156" s="17" t="s">
        <v>13</v>
      </c>
      <c r="F1156" s="16" t="s">
        <v>3822</v>
      </c>
    </row>
    <row r="1157" spans="1:6" x14ac:dyDescent="0.25">
      <c r="A1157" s="16" t="s">
        <v>3823</v>
      </c>
      <c r="B1157" s="17" t="s">
        <v>3824</v>
      </c>
      <c r="C1157" s="17" t="s">
        <v>11</v>
      </c>
      <c r="D1157" s="17" t="s">
        <v>186</v>
      </c>
      <c r="E1157" s="17" t="s">
        <v>20</v>
      </c>
      <c r="F1157" s="16" t="s">
        <v>3825</v>
      </c>
    </row>
    <row r="1158" spans="1:6" x14ac:dyDescent="0.25">
      <c r="A1158" s="16" t="s">
        <v>3826</v>
      </c>
      <c r="B1158" s="17" t="s">
        <v>3827</v>
      </c>
      <c r="C1158" s="17" t="s">
        <v>11</v>
      </c>
      <c r="D1158" s="17" t="s">
        <v>32</v>
      </c>
      <c r="E1158" s="17" t="s">
        <v>20</v>
      </c>
      <c r="F1158" s="16" t="s">
        <v>3828</v>
      </c>
    </row>
    <row r="1159" spans="1:6" x14ac:dyDescent="0.25">
      <c r="A1159" s="16" t="s">
        <v>3829</v>
      </c>
      <c r="B1159" s="17" t="s">
        <v>3830</v>
      </c>
      <c r="C1159" s="17" t="s">
        <v>11</v>
      </c>
      <c r="D1159" s="17" t="s">
        <v>89</v>
      </c>
      <c r="E1159" s="17" t="s">
        <v>20</v>
      </c>
      <c r="F1159" s="16" t="s">
        <v>3831</v>
      </c>
    </row>
    <row r="1160" spans="1:6" x14ac:dyDescent="0.25">
      <c r="A1160" s="16" t="s">
        <v>3832</v>
      </c>
      <c r="B1160" s="17" t="s">
        <v>3833</v>
      </c>
      <c r="C1160" s="17" t="s">
        <v>11</v>
      </c>
      <c r="D1160" s="17" t="s">
        <v>19</v>
      </c>
      <c r="E1160" s="17" t="s">
        <v>20</v>
      </c>
      <c r="F1160" s="16" t="s">
        <v>3834</v>
      </c>
    </row>
    <row r="1161" spans="1:6" x14ac:dyDescent="0.25">
      <c r="A1161" s="16" t="s">
        <v>3835</v>
      </c>
      <c r="B1161" s="17" t="s">
        <v>3836</v>
      </c>
      <c r="C1161" s="17" t="s">
        <v>11</v>
      </c>
      <c r="D1161" s="17" t="s">
        <v>89</v>
      </c>
      <c r="E1161" s="17" t="s">
        <v>20</v>
      </c>
      <c r="F1161" s="16" t="s">
        <v>3837</v>
      </c>
    </row>
    <row r="1162" spans="1:6" x14ac:dyDescent="0.25">
      <c r="A1162" s="16" t="s">
        <v>3838</v>
      </c>
      <c r="B1162" s="17" t="s">
        <v>3839</v>
      </c>
      <c r="C1162" s="17" t="s">
        <v>11</v>
      </c>
      <c r="D1162" s="17" t="s">
        <v>26</v>
      </c>
      <c r="E1162" s="17" t="s">
        <v>20</v>
      </c>
      <c r="F1162" s="16" t="s">
        <v>3840</v>
      </c>
    </row>
    <row r="1163" spans="1:6" x14ac:dyDescent="0.25">
      <c r="A1163" s="16" t="s">
        <v>3841</v>
      </c>
      <c r="B1163" s="17" t="s">
        <v>3842</v>
      </c>
      <c r="C1163" s="17" t="s">
        <v>11</v>
      </c>
      <c r="D1163" s="17" t="s">
        <v>544</v>
      </c>
      <c r="E1163" s="17" t="s">
        <v>20</v>
      </c>
      <c r="F1163" s="16" t="s">
        <v>3843</v>
      </c>
    </row>
    <row r="1164" spans="1:6" x14ac:dyDescent="0.25">
      <c r="A1164" s="16" t="s">
        <v>3844</v>
      </c>
      <c r="B1164" s="17" t="s">
        <v>3845</v>
      </c>
      <c r="C1164" s="17" t="s">
        <v>11</v>
      </c>
      <c r="D1164" s="17" t="s">
        <v>250</v>
      </c>
      <c r="E1164" s="17" t="s">
        <v>20</v>
      </c>
      <c r="F1164" s="16" t="s">
        <v>3846</v>
      </c>
    </row>
    <row r="1165" spans="1:6" x14ac:dyDescent="0.25">
      <c r="A1165" s="16" t="s">
        <v>3847</v>
      </c>
      <c r="B1165" s="17" t="s">
        <v>3848</v>
      </c>
      <c r="C1165" s="17" t="s">
        <v>11</v>
      </c>
      <c r="D1165" s="17" t="s">
        <v>89</v>
      </c>
      <c r="E1165" s="17" t="s">
        <v>20</v>
      </c>
      <c r="F1165" s="16" t="s">
        <v>3849</v>
      </c>
    </row>
    <row r="1166" spans="1:6" x14ac:dyDescent="0.25">
      <c r="A1166" s="16" t="s">
        <v>3850</v>
      </c>
      <c r="B1166" s="17" t="s">
        <v>3851</v>
      </c>
      <c r="C1166" s="17" t="s">
        <v>11</v>
      </c>
      <c r="D1166" s="17" t="s">
        <v>649</v>
      </c>
      <c r="E1166" s="17" t="s">
        <v>20</v>
      </c>
      <c r="F1166" s="16" t="s">
        <v>3852</v>
      </c>
    </row>
    <row r="1167" spans="1:6" x14ac:dyDescent="0.25">
      <c r="A1167" s="16" t="s">
        <v>3853</v>
      </c>
      <c r="B1167" s="17" t="s">
        <v>3854</v>
      </c>
      <c r="C1167" s="17" t="s">
        <v>11</v>
      </c>
      <c r="D1167" s="17" t="s">
        <v>12</v>
      </c>
      <c r="E1167" s="17" t="s">
        <v>13</v>
      </c>
      <c r="F1167" s="16" t="s">
        <v>3855</v>
      </c>
    </row>
    <row r="1168" spans="1:6" x14ac:dyDescent="0.25">
      <c r="A1168" s="16" t="s">
        <v>3856</v>
      </c>
      <c r="B1168" s="17" t="s">
        <v>3857</v>
      </c>
      <c r="C1168" s="17" t="s">
        <v>11</v>
      </c>
      <c r="D1168" s="17" t="s">
        <v>32</v>
      </c>
      <c r="E1168" s="17" t="s">
        <v>20</v>
      </c>
      <c r="F1168" s="16" t="s">
        <v>3858</v>
      </c>
    </row>
    <row r="1169" spans="1:6" x14ac:dyDescent="0.25">
      <c r="A1169" s="16" t="s">
        <v>3859</v>
      </c>
      <c r="B1169" s="17" t="s">
        <v>3860</v>
      </c>
      <c r="C1169" s="17" t="s">
        <v>11</v>
      </c>
      <c r="D1169" s="17" t="s">
        <v>12</v>
      </c>
      <c r="E1169" s="17" t="s">
        <v>13</v>
      </c>
      <c r="F1169" s="16" t="s">
        <v>3861</v>
      </c>
    </row>
    <row r="1170" spans="1:6" x14ac:dyDescent="0.25">
      <c r="A1170" s="16" t="s">
        <v>3862</v>
      </c>
      <c r="B1170" s="17" t="s">
        <v>3863</v>
      </c>
      <c r="C1170" s="17" t="s">
        <v>11</v>
      </c>
      <c r="D1170" s="17" t="s">
        <v>12</v>
      </c>
      <c r="E1170" s="17" t="s">
        <v>13</v>
      </c>
      <c r="F1170" s="16" t="s">
        <v>3864</v>
      </c>
    </row>
    <row r="1171" spans="1:6" x14ac:dyDescent="0.25">
      <c r="A1171" s="16" t="s">
        <v>3865</v>
      </c>
      <c r="B1171" s="17" t="s">
        <v>3866</v>
      </c>
      <c r="C1171" s="17" t="s">
        <v>11</v>
      </c>
      <c r="D1171" s="17" t="s">
        <v>12</v>
      </c>
      <c r="E1171" s="17" t="s">
        <v>13</v>
      </c>
      <c r="F1171" s="16" t="s">
        <v>3867</v>
      </c>
    </row>
    <row r="1172" spans="1:6" x14ac:dyDescent="0.25">
      <c r="A1172" s="16" t="s">
        <v>3868</v>
      </c>
      <c r="B1172" s="17" t="s">
        <v>3869</v>
      </c>
      <c r="C1172" s="17" t="s">
        <v>11</v>
      </c>
      <c r="D1172" s="17" t="s">
        <v>12</v>
      </c>
      <c r="E1172" s="17" t="s">
        <v>13</v>
      </c>
      <c r="F1172" s="16" t="s">
        <v>3870</v>
      </c>
    </row>
    <row r="1173" spans="1:6" x14ac:dyDescent="0.25">
      <c r="A1173" s="16" t="s">
        <v>3871</v>
      </c>
      <c r="B1173" s="17" t="s">
        <v>3872</v>
      </c>
      <c r="C1173" s="17" t="s">
        <v>11</v>
      </c>
      <c r="D1173" s="17" t="s">
        <v>89</v>
      </c>
      <c r="E1173" s="17" t="s">
        <v>20</v>
      </c>
      <c r="F1173" s="16" t="s">
        <v>3873</v>
      </c>
    </row>
    <row r="1174" spans="1:6" x14ac:dyDescent="0.25">
      <c r="A1174" s="16" t="s">
        <v>3874</v>
      </c>
      <c r="B1174" s="17" t="s">
        <v>3875</v>
      </c>
      <c r="C1174" s="17" t="s">
        <v>11</v>
      </c>
      <c r="D1174" s="17" t="s">
        <v>12</v>
      </c>
      <c r="E1174" s="17" t="s">
        <v>13</v>
      </c>
      <c r="F1174" s="16" t="s">
        <v>3876</v>
      </c>
    </row>
    <row r="1175" spans="1:6" x14ac:dyDescent="0.25">
      <c r="A1175" s="16" t="s">
        <v>3877</v>
      </c>
      <c r="B1175" s="17" t="s">
        <v>3878</v>
      </c>
      <c r="C1175" s="17" t="s">
        <v>11</v>
      </c>
      <c r="D1175" s="17" t="s">
        <v>12</v>
      </c>
      <c r="E1175" s="17" t="s">
        <v>13</v>
      </c>
      <c r="F1175" s="16" t="s">
        <v>3879</v>
      </c>
    </row>
    <row r="1176" spans="1:6" x14ac:dyDescent="0.25">
      <c r="A1176" s="16" t="s">
        <v>3880</v>
      </c>
      <c r="B1176" s="17" t="s">
        <v>3881</v>
      </c>
      <c r="C1176" s="17" t="s">
        <v>11</v>
      </c>
      <c r="D1176" s="17" t="s">
        <v>12</v>
      </c>
      <c r="E1176" s="17" t="s">
        <v>13</v>
      </c>
      <c r="F1176" s="16" t="s">
        <v>3882</v>
      </c>
    </row>
    <row r="1177" spans="1:6" x14ac:dyDescent="0.25">
      <c r="A1177" s="16" t="s">
        <v>3883</v>
      </c>
      <c r="B1177" s="17" t="s">
        <v>3884</v>
      </c>
      <c r="C1177" s="17" t="s">
        <v>11</v>
      </c>
      <c r="D1177" s="17" t="s">
        <v>12</v>
      </c>
      <c r="E1177" s="17" t="s">
        <v>13</v>
      </c>
      <c r="F1177" s="16" t="s">
        <v>3885</v>
      </c>
    </row>
    <row r="1178" spans="1:6" x14ac:dyDescent="0.25">
      <c r="A1178" s="16" t="s">
        <v>3886</v>
      </c>
      <c r="B1178" s="17" t="s">
        <v>3887</v>
      </c>
      <c r="C1178" s="17" t="s">
        <v>11</v>
      </c>
      <c r="D1178" s="17" t="s">
        <v>12</v>
      </c>
      <c r="E1178" s="17" t="s">
        <v>13</v>
      </c>
      <c r="F1178" s="16" t="s">
        <v>3888</v>
      </c>
    </row>
    <row r="1179" spans="1:6" x14ac:dyDescent="0.25">
      <c r="A1179" s="16" t="s">
        <v>3889</v>
      </c>
      <c r="B1179" s="17" t="s">
        <v>3890</v>
      </c>
      <c r="C1179" s="17" t="s">
        <v>11</v>
      </c>
      <c r="D1179" s="17" t="s">
        <v>12</v>
      </c>
      <c r="E1179" s="17" t="s">
        <v>13</v>
      </c>
      <c r="F1179" s="16" t="s">
        <v>3891</v>
      </c>
    </row>
    <row r="1180" spans="1:6" x14ac:dyDescent="0.25">
      <c r="A1180" s="16" t="s">
        <v>3892</v>
      </c>
      <c r="B1180" s="17" t="s">
        <v>3893</v>
      </c>
      <c r="C1180" s="17" t="s">
        <v>11</v>
      </c>
      <c r="D1180" s="17" t="s">
        <v>32</v>
      </c>
      <c r="E1180" s="17" t="s">
        <v>20</v>
      </c>
      <c r="F1180" s="16" t="s">
        <v>3894</v>
      </c>
    </row>
    <row r="1181" spans="1:6" x14ac:dyDescent="0.25">
      <c r="A1181" s="16" t="s">
        <v>3895</v>
      </c>
      <c r="B1181" s="17" t="s">
        <v>3896</v>
      </c>
      <c r="C1181" s="17" t="s">
        <v>11</v>
      </c>
      <c r="D1181" s="17" t="s">
        <v>12</v>
      </c>
      <c r="E1181" s="17" t="s">
        <v>13</v>
      </c>
      <c r="F1181" s="16" t="s">
        <v>3897</v>
      </c>
    </row>
    <row r="1182" spans="1:6" x14ac:dyDescent="0.25">
      <c r="A1182" s="16" t="s">
        <v>3898</v>
      </c>
      <c r="B1182" s="17" t="s">
        <v>3899</v>
      </c>
      <c r="C1182" s="17" t="s">
        <v>11</v>
      </c>
      <c r="D1182" s="17" t="s">
        <v>59</v>
      </c>
      <c r="E1182" s="17" t="s">
        <v>13</v>
      </c>
      <c r="F1182" s="16" t="s">
        <v>3900</v>
      </c>
    </row>
    <row r="1183" spans="1:6" x14ac:dyDescent="0.25">
      <c r="A1183" s="16" t="s">
        <v>3901</v>
      </c>
      <c r="B1183" s="17" t="s">
        <v>3902</v>
      </c>
      <c r="C1183" s="17" t="s">
        <v>11</v>
      </c>
      <c r="D1183" s="17" t="s">
        <v>186</v>
      </c>
      <c r="E1183" s="17" t="s">
        <v>20</v>
      </c>
      <c r="F1183" s="16" t="s">
        <v>3903</v>
      </c>
    </row>
    <row r="1184" spans="1:6" x14ac:dyDescent="0.25">
      <c r="A1184" s="16" t="s">
        <v>3904</v>
      </c>
      <c r="B1184" s="17" t="s">
        <v>3905</v>
      </c>
      <c r="C1184" s="17" t="s">
        <v>11</v>
      </c>
      <c r="D1184" s="17" t="s">
        <v>12</v>
      </c>
      <c r="E1184" s="17" t="s">
        <v>13</v>
      </c>
      <c r="F1184" s="16" t="s">
        <v>3906</v>
      </c>
    </row>
    <row r="1185" spans="1:6" x14ac:dyDescent="0.25">
      <c r="A1185" s="16" t="s">
        <v>3907</v>
      </c>
      <c r="B1185" s="17" t="s">
        <v>3908</v>
      </c>
      <c r="C1185" s="17" t="s">
        <v>11</v>
      </c>
      <c r="D1185" s="17" t="s">
        <v>19</v>
      </c>
      <c r="E1185" s="17" t="s">
        <v>20</v>
      </c>
      <c r="F1185" s="16" t="s">
        <v>3909</v>
      </c>
    </row>
    <row r="1186" spans="1:6" x14ac:dyDescent="0.25">
      <c r="A1186" s="16" t="s">
        <v>3910</v>
      </c>
      <c r="B1186" s="17" t="s">
        <v>3911</v>
      </c>
      <c r="C1186" s="17" t="s">
        <v>1235</v>
      </c>
      <c r="D1186" s="17" t="s">
        <v>1356</v>
      </c>
      <c r="E1186" s="17" t="s">
        <v>1237</v>
      </c>
      <c r="F1186" s="16" t="s">
        <v>3912</v>
      </c>
    </row>
    <row r="1187" spans="1:6" x14ac:dyDescent="0.25">
      <c r="A1187" s="16" t="s">
        <v>3913</v>
      </c>
      <c r="B1187" s="17" t="s">
        <v>3914</v>
      </c>
      <c r="C1187" s="17" t="s">
        <v>11</v>
      </c>
      <c r="D1187" s="17" t="s">
        <v>12</v>
      </c>
      <c r="E1187" s="17" t="s">
        <v>13</v>
      </c>
      <c r="F1187" s="16" t="s">
        <v>3915</v>
      </c>
    </row>
    <row r="1188" spans="1:6" x14ac:dyDescent="0.25">
      <c r="A1188" s="16" t="s">
        <v>3916</v>
      </c>
      <c r="B1188" s="17" t="s">
        <v>3917</v>
      </c>
      <c r="C1188" s="17" t="s">
        <v>11</v>
      </c>
      <c r="D1188" s="17" t="s">
        <v>12</v>
      </c>
      <c r="E1188" s="17" t="s">
        <v>13</v>
      </c>
      <c r="F1188" s="16" t="s">
        <v>3918</v>
      </c>
    </row>
    <row r="1189" spans="1:6" x14ac:dyDescent="0.25">
      <c r="A1189" s="16" t="s">
        <v>3919</v>
      </c>
      <c r="B1189" s="17" t="s">
        <v>3920</v>
      </c>
      <c r="C1189" s="17" t="s">
        <v>11</v>
      </c>
      <c r="D1189" s="17" t="s">
        <v>12</v>
      </c>
      <c r="E1189" s="17" t="s">
        <v>13</v>
      </c>
      <c r="F1189" s="16" t="s">
        <v>3921</v>
      </c>
    </row>
    <row r="1190" spans="1:6" x14ac:dyDescent="0.25">
      <c r="A1190" s="16" t="s">
        <v>3922</v>
      </c>
      <c r="B1190" s="17" t="s">
        <v>3923</v>
      </c>
      <c r="C1190" s="17" t="s">
        <v>11</v>
      </c>
      <c r="D1190" s="17" t="s">
        <v>19</v>
      </c>
      <c r="E1190" s="17" t="s">
        <v>20</v>
      </c>
      <c r="F1190" s="16" t="s">
        <v>3924</v>
      </c>
    </row>
    <row r="1191" spans="1:6" x14ac:dyDescent="0.25">
      <c r="A1191" s="16" t="s">
        <v>3925</v>
      </c>
      <c r="B1191" s="17" t="s">
        <v>3926</v>
      </c>
      <c r="C1191" s="17" t="s">
        <v>11</v>
      </c>
      <c r="D1191" s="17" t="s">
        <v>12</v>
      </c>
      <c r="E1191" s="17" t="s">
        <v>13</v>
      </c>
      <c r="F1191" s="16" t="s">
        <v>3927</v>
      </c>
    </row>
    <row r="1192" spans="1:6" x14ac:dyDescent="0.25">
      <c r="A1192" s="16" t="s">
        <v>3928</v>
      </c>
      <c r="B1192" s="17" t="s">
        <v>3929</v>
      </c>
      <c r="C1192" s="17" t="s">
        <v>11</v>
      </c>
      <c r="D1192" s="17" t="s">
        <v>12</v>
      </c>
      <c r="E1192" s="17" t="s">
        <v>13</v>
      </c>
      <c r="F1192" s="16" t="s">
        <v>3930</v>
      </c>
    </row>
    <row r="1193" spans="1:6" x14ac:dyDescent="0.25">
      <c r="A1193" s="16" t="s">
        <v>3931</v>
      </c>
      <c r="B1193" s="17" t="s">
        <v>3932</v>
      </c>
      <c r="C1193" s="17" t="s">
        <v>11</v>
      </c>
      <c r="D1193" s="17" t="s">
        <v>12</v>
      </c>
      <c r="E1193" s="17" t="s">
        <v>13</v>
      </c>
      <c r="F1193" s="16" t="s">
        <v>3933</v>
      </c>
    </row>
    <row r="1194" spans="1:6" x14ac:dyDescent="0.25">
      <c r="A1194" s="16" t="s">
        <v>3934</v>
      </c>
      <c r="B1194" s="17" t="s">
        <v>3935</v>
      </c>
      <c r="C1194" s="17" t="s">
        <v>11</v>
      </c>
      <c r="D1194" s="17" t="s">
        <v>12</v>
      </c>
      <c r="E1194" s="17" t="s">
        <v>13</v>
      </c>
      <c r="F1194" s="16" t="s">
        <v>3936</v>
      </c>
    </row>
    <row r="1195" spans="1:6" x14ac:dyDescent="0.25">
      <c r="A1195" s="16" t="s">
        <v>3937</v>
      </c>
      <c r="B1195" s="17" t="s">
        <v>3938</v>
      </c>
      <c r="C1195" s="17" t="s">
        <v>11</v>
      </c>
      <c r="D1195" s="17" t="s">
        <v>12</v>
      </c>
      <c r="E1195" s="17" t="s">
        <v>13</v>
      </c>
      <c r="F1195" s="16" t="s">
        <v>3939</v>
      </c>
    </row>
    <row r="1196" spans="1:6" x14ac:dyDescent="0.25">
      <c r="A1196" s="16" t="s">
        <v>3940</v>
      </c>
      <c r="B1196" s="17" t="s">
        <v>3941</v>
      </c>
      <c r="C1196" s="17" t="s">
        <v>11</v>
      </c>
      <c r="D1196" s="17" t="s">
        <v>12</v>
      </c>
      <c r="E1196" s="17" t="s">
        <v>13</v>
      </c>
      <c r="F1196" s="16" t="s">
        <v>3942</v>
      </c>
    </row>
    <row r="1197" spans="1:6" x14ac:dyDescent="0.25">
      <c r="A1197" s="16" t="s">
        <v>3943</v>
      </c>
      <c r="B1197" s="17" t="s">
        <v>3944</v>
      </c>
      <c r="C1197" s="17" t="s">
        <v>11</v>
      </c>
      <c r="D1197" s="17" t="s">
        <v>171</v>
      </c>
      <c r="E1197" s="17" t="s">
        <v>13</v>
      </c>
      <c r="F1197" s="16" t="s">
        <v>3945</v>
      </c>
    </row>
    <row r="1198" spans="1:6" x14ac:dyDescent="0.25">
      <c r="A1198" s="16" t="s">
        <v>3946</v>
      </c>
      <c r="B1198" s="17" t="s">
        <v>3947</v>
      </c>
      <c r="C1198" s="17" t="s">
        <v>11</v>
      </c>
      <c r="D1198" s="17" t="s">
        <v>12</v>
      </c>
      <c r="E1198" s="17" t="s">
        <v>13</v>
      </c>
      <c r="F1198" s="16" t="s">
        <v>3948</v>
      </c>
    </row>
    <row r="1199" spans="1:6" x14ac:dyDescent="0.25">
      <c r="A1199" s="16" t="s">
        <v>3949</v>
      </c>
      <c r="B1199" s="17" t="s">
        <v>3950</v>
      </c>
      <c r="C1199" s="17" t="s">
        <v>11</v>
      </c>
      <c r="D1199" s="17" t="s">
        <v>12</v>
      </c>
      <c r="E1199" s="17" t="s">
        <v>13</v>
      </c>
      <c r="F1199" s="16" t="s">
        <v>3951</v>
      </c>
    </row>
    <row r="1200" spans="1:6" x14ac:dyDescent="0.25">
      <c r="A1200" s="16" t="s">
        <v>3952</v>
      </c>
      <c r="B1200" s="17" t="s">
        <v>3953</v>
      </c>
      <c r="C1200" s="17" t="s">
        <v>11</v>
      </c>
      <c r="D1200" s="17" t="s">
        <v>12</v>
      </c>
      <c r="E1200" s="17" t="s">
        <v>13</v>
      </c>
      <c r="F1200" s="16" t="s">
        <v>3954</v>
      </c>
    </row>
    <row r="1201" spans="1:6" x14ac:dyDescent="0.25">
      <c r="A1201" s="16" t="s">
        <v>3955</v>
      </c>
      <c r="B1201" s="17" t="s">
        <v>3956</v>
      </c>
      <c r="C1201" s="17" t="s">
        <v>11</v>
      </c>
      <c r="D1201" s="17" t="s">
        <v>89</v>
      </c>
      <c r="E1201" s="17" t="s">
        <v>20</v>
      </c>
      <c r="F1201" s="16" t="s">
        <v>3957</v>
      </c>
    </row>
    <row r="1202" spans="1:6" x14ac:dyDescent="0.25">
      <c r="A1202" s="16" t="s">
        <v>3958</v>
      </c>
      <c r="B1202" s="17" t="s">
        <v>3959</v>
      </c>
      <c r="C1202" s="17" t="s">
        <v>11</v>
      </c>
      <c r="D1202" s="17" t="s">
        <v>12</v>
      </c>
      <c r="E1202" s="17" t="s">
        <v>13</v>
      </c>
      <c r="F1202" s="16" t="s">
        <v>3960</v>
      </c>
    </row>
    <row r="1203" spans="1:6" x14ac:dyDescent="0.25">
      <c r="A1203" s="16" t="s">
        <v>3961</v>
      </c>
      <c r="B1203" s="17" t="s">
        <v>3962</v>
      </c>
      <c r="C1203" s="17" t="s">
        <v>11</v>
      </c>
      <c r="D1203" s="17" t="s">
        <v>12</v>
      </c>
      <c r="E1203" s="17" t="s">
        <v>13</v>
      </c>
      <c r="F1203" s="16" t="s">
        <v>3963</v>
      </c>
    </row>
    <row r="1204" spans="1:6" x14ac:dyDescent="0.25">
      <c r="A1204" s="16" t="s">
        <v>3964</v>
      </c>
      <c r="B1204" s="17" t="s">
        <v>3965</v>
      </c>
      <c r="C1204" s="17" t="s">
        <v>11</v>
      </c>
      <c r="D1204" s="17" t="s">
        <v>80</v>
      </c>
      <c r="E1204" s="17" t="s">
        <v>20</v>
      </c>
      <c r="F1204" s="16" t="s">
        <v>3966</v>
      </c>
    </row>
    <row r="1205" spans="1:6" x14ac:dyDescent="0.25">
      <c r="A1205" s="16" t="s">
        <v>3967</v>
      </c>
      <c r="B1205" s="17" t="s">
        <v>3968</v>
      </c>
      <c r="C1205" s="17" t="s">
        <v>11</v>
      </c>
      <c r="D1205" s="17" t="s">
        <v>12</v>
      </c>
      <c r="E1205" s="17" t="s">
        <v>13</v>
      </c>
      <c r="F1205" s="16" t="s">
        <v>3969</v>
      </c>
    </row>
    <row r="1206" spans="1:6" x14ac:dyDescent="0.25">
      <c r="A1206" s="16" t="s">
        <v>3970</v>
      </c>
      <c r="B1206" s="17" t="s">
        <v>3971</v>
      </c>
      <c r="C1206" s="17" t="s">
        <v>11</v>
      </c>
      <c r="D1206" s="17" t="s">
        <v>80</v>
      </c>
      <c r="E1206" s="17" t="s">
        <v>20</v>
      </c>
      <c r="F1206" s="16" t="s">
        <v>3972</v>
      </c>
    </row>
    <row r="1207" spans="1:6" x14ac:dyDescent="0.25">
      <c r="A1207" s="16" t="s">
        <v>3973</v>
      </c>
      <c r="B1207" s="17" t="s">
        <v>3974</v>
      </c>
      <c r="C1207" s="17" t="s">
        <v>11</v>
      </c>
      <c r="D1207" s="17" t="s">
        <v>32</v>
      </c>
      <c r="E1207" s="17" t="s">
        <v>20</v>
      </c>
      <c r="F1207" s="16" t="s">
        <v>3975</v>
      </c>
    </row>
    <row r="1208" spans="1:6" x14ac:dyDescent="0.25">
      <c r="A1208" s="16" t="s">
        <v>3976</v>
      </c>
      <c r="B1208" s="17" t="s">
        <v>3977</v>
      </c>
      <c r="C1208" s="17" t="s">
        <v>11</v>
      </c>
      <c r="D1208" s="17" t="s">
        <v>12</v>
      </c>
      <c r="E1208" s="17" t="s">
        <v>13</v>
      </c>
      <c r="F1208" s="16" t="s">
        <v>3978</v>
      </c>
    </row>
    <row r="1209" spans="1:6" x14ac:dyDescent="0.25">
      <c r="A1209" s="16" t="s">
        <v>3979</v>
      </c>
      <c r="B1209" s="17" t="s">
        <v>3980</v>
      </c>
      <c r="C1209" s="17" t="s">
        <v>11</v>
      </c>
      <c r="D1209" s="17" t="s">
        <v>12</v>
      </c>
      <c r="E1209" s="17" t="s">
        <v>13</v>
      </c>
      <c r="F1209" s="16" t="s">
        <v>3981</v>
      </c>
    </row>
    <row r="1210" spans="1:6" x14ac:dyDescent="0.25">
      <c r="A1210" s="16" t="s">
        <v>3982</v>
      </c>
      <c r="B1210" s="17" t="s">
        <v>3983</v>
      </c>
      <c r="C1210" s="17" t="s">
        <v>11</v>
      </c>
      <c r="D1210" s="17" t="s">
        <v>1766</v>
      </c>
      <c r="E1210" s="17" t="s">
        <v>13</v>
      </c>
      <c r="F1210" s="16" t="s">
        <v>3984</v>
      </c>
    </row>
    <row r="1211" spans="1:6" x14ac:dyDescent="0.25">
      <c r="A1211" s="16" t="s">
        <v>3985</v>
      </c>
      <c r="B1211" s="17" t="s">
        <v>3986</v>
      </c>
      <c r="C1211" s="17" t="s">
        <v>11</v>
      </c>
      <c r="D1211" s="17" t="s">
        <v>83</v>
      </c>
      <c r="E1211" s="17" t="s">
        <v>20</v>
      </c>
      <c r="F1211" s="16" t="s">
        <v>3987</v>
      </c>
    </row>
    <row r="1212" spans="1:6" x14ac:dyDescent="0.25">
      <c r="A1212" s="16" t="s">
        <v>3988</v>
      </c>
      <c r="B1212" s="17" t="s">
        <v>3989</v>
      </c>
      <c r="C1212" s="17" t="s">
        <v>11</v>
      </c>
      <c r="D1212" s="17" t="s">
        <v>12</v>
      </c>
      <c r="E1212" s="17" t="s">
        <v>13</v>
      </c>
      <c r="F1212" s="16" t="s">
        <v>3990</v>
      </c>
    </row>
    <row r="1213" spans="1:6" x14ac:dyDescent="0.25">
      <c r="A1213" s="16" t="s">
        <v>3991</v>
      </c>
      <c r="B1213" s="17" t="s">
        <v>3992</v>
      </c>
      <c r="C1213" s="17" t="s">
        <v>11</v>
      </c>
      <c r="D1213" s="17" t="s">
        <v>12</v>
      </c>
      <c r="E1213" s="17" t="s">
        <v>13</v>
      </c>
      <c r="F1213" s="16" t="s">
        <v>3993</v>
      </c>
    </row>
    <row r="1214" spans="1:6" x14ac:dyDescent="0.25">
      <c r="A1214" s="16" t="s">
        <v>3994</v>
      </c>
      <c r="B1214" s="17" t="s">
        <v>3995</v>
      </c>
      <c r="C1214" s="17" t="s">
        <v>11</v>
      </c>
      <c r="D1214" s="17" t="s">
        <v>83</v>
      </c>
      <c r="E1214" s="17" t="s">
        <v>20</v>
      </c>
      <c r="F1214" s="16" t="s">
        <v>3996</v>
      </c>
    </row>
    <row r="1215" spans="1:6" x14ac:dyDescent="0.25">
      <c r="A1215" s="16" t="s">
        <v>3997</v>
      </c>
      <c r="B1215" s="17" t="s">
        <v>3998</v>
      </c>
      <c r="C1215" s="17" t="s">
        <v>11</v>
      </c>
      <c r="D1215" s="17" t="s">
        <v>12</v>
      </c>
      <c r="E1215" s="17" t="s">
        <v>13</v>
      </c>
      <c r="F1215" s="16" t="s">
        <v>3999</v>
      </c>
    </row>
    <row r="1216" spans="1:6" x14ac:dyDescent="0.25">
      <c r="A1216" s="16" t="s">
        <v>4000</v>
      </c>
      <c r="B1216" s="17" t="s">
        <v>4001</v>
      </c>
      <c r="C1216" s="17" t="s">
        <v>11</v>
      </c>
      <c r="D1216" s="17" t="s">
        <v>12</v>
      </c>
      <c r="E1216" s="17" t="s">
        <v>13</v>
      </c>
      <c r="F1216" s="16" t="s">
        <v>4002</v>
      </c>
    </row>
    <row r="1217" spans="1:6" x14ac:dyDescent="0.25">
      <c r="A1217" s="16" t="s">
        <v>4003</v>
      </c>
      <c r="B1217" s="17" t="s">
        <v>4004</v>
      </c>
      <c r="C1217" s="17" t="s">
        <v>11</v>
      </c>
      <c r="D1217" s="17" t="s">
        <v>570</v>
      </c>
      <c r="E1217" s="17" t="s">
        <v>20</v>
      </c>
      <c r="F1217" s="16" t="s">
        <v>4005</v>
      </c>
    </row>
    <row r="1218" spans="1:6" x14ac:dyDescent="0.25">
      <c r="A1218" s="16" t="s">
        <v>4006</v>
      </c>
      <c r="B1218" s="17" t="s">
        <v>4007</v>
      </c>
      <c r="C1218" s="17" t="s">
        <v>11</v>
      </c>
      <c r="D1218" s="17" t="s">
        <v>12</v>
      </c>
      <c r="E1218" s="17" t="s">
        <v>13</v>
      </c>
      <c r="F1218" s="16" t="s">
        <v>4008</v>
      </c>
    </row>
    <row r="1219" spans="1:6" x14ac:dyDescent="0.25">
      <c r="A1219" s="16" t="s">
        <v>4009</v>
      </c>
      <c r="B1219" s="17" t="s">
        <v>4010</v>
      </c>
      <c r="C1219" s="17" t="s">
        <v>11</v>
      </c>
      <c r="D1219" s="17" t="s">
        <v>12</v>
      </c>
      <c r="E1219" s="17" t="s">
        <v>13</v>
      </c>
      <c r="F1219" s="16" t="s">
        <v>4011</v>
      </c>
    </row>
    <row r="1220" spans="1:6" x14ac:dyDescent="0.25">
      <c r="A1220" s="16" t="s">
        <v>4012</v>
      </c>
      <c r="B1220" s="17" t="s">
        <v>4013</v>
      </c>
      <c r="C1220" s="17" t="s">
        <v>11</v>
      </c>
      <c r="D1220" s="17" t="s">
        <v>12</v>
      </c>
      <c r="E1220" s="17" t="s">
        <v>13</v>
      </c>
      <c r="F1220" s="16" t="s">
        <v>4014</v>
      </c>
    </row>
    <row r="1221" spans="1:6" x14ac:dyDescent="0.25">
      <c r="A1221" s="16" t="s">
        <v>4015</v>
      </c>
      <c r="B1221" s="17" t="s">
        <v>4016</v>
      </c>
      <c r="C1221" s="17" t="s">
        <v>11</v>
      </c>
      <c r="D1221" s="17" t="s">
        <v>12</v>
      </c>
      <c r="E1221" s="17" t="s">
        <v>13</v>
      </c>
      <c r="F1221" s="16" t="s">
        <v>4017</v>
      </c>
    </row>
    <row r="1222" spans="1:6" x14ac:dyDescent="0.25">
      <c r="A1222" s="16" t="s">
        <v>4018</v>
      </c>
      <c r="B1222" s="17" t="s">
        <v>4019</v>
      </c>
      <c r="C1222" s="17" t="s">
        <v>11</v>
      </c>
      <c r="D1222" s="17" t="s">
        <v>12</v>
      </c>
      <c r="E1222" s="17" t="s">
        <v>13</v>
      </c>
      <c r="F1222" s="16" t="s">
        <v>4020</v>
      </c>
    </row>
    <row r="1223" spans="1:6" x14ac:dyDescent="0.25">
      <c r="A1223" s="16" t="s">
        <v>4021</v>
      </c>
      <c r="B1223" s="17" t="s">
        <v>4022</v>
      </c>
      <c r="C1223" s="17" t="s">
        <v>11</v>
      </c>
      <c r="D1223" s="17" t="s">
        <v>250</v>
      </c>
      <c r="E1223" s="17" t="s">
        <v>20</v>
      </c>
      <c r="F1223" s="16" t="s">
        <v>4023</v>
      </c>
    </row>
    <row r="1224" spans="1:6" x14ac:dyDescent="0.25">
      <c r="A1224" s="16" t="s">
        <v>4024</v>
      </c>
      <c r="B1224" s="17" t="s">
        <v>4025</v>
      </c>
      <c r="C1224" s="17" t="s">
        <v>11</v>
      </c>
      <c r="D1224" s="17" t="s">
        <v>12</v>
      </c>
      <c r="E1224" s="17" t="s">
        <v>13</v>
      </c>
      <c r="F1224" s="16" t="s">
        <v>4026</v>
      </c>
    </row>
    <row r="1225" spans="1:6" x14ac:dyDescent="0.25">
      <c r="A1225" s="16" t="s">
        <v>4027</v>
      </c>
      <c r="B1225" s="17" t="s">
        <v>4028</v>
      </c>
      <c r="C1225" s="17" t="s">
        <v>11</v>
      </c>
      <c r="D1225" s="17" t="s">
        <v>12</v>
      </c>
      <c r="E1225" s="17" t="s">
        <v>13</v>
      </c>
      <c r="F1225" s="16" t="s">
        <v>4029</v>
      </c>
    </row>
    <row r="1226" spans="1:6" x14ac:dyDescent="0.25">
      <c r="A1226" s="16" t="s">
        <v>4030</v>
      </c>
      <c r="B1226" s="17" t="s">
        <v>4031</v>
      </c>
      <c r="C1226" s="17" t="s">
        <v>11</v>
      </c>
      <c r="D1226" s="17" t="s">
        <v>12</v>
      </c>
      <c r="E1226" s="17" t="s">
        <v>13</v>
      </c>
      <c r="F1226" s="16" t="s">
        <v>4032</v>
      </c>
    </row>
    <row r="1227" spans="1:6" x14ac:dyDescent="0.25">
      <c r="A1227" s="16" t="s">
        <v>4033</v>
      </c>
      <c r="B1227" s="17" t="s">
        <v>4034</v>
      </c>
      <c r="C1227" s="17" t="s">
        <v>11</v>
      </c>
      <c r="D1227" s="17" t="s">
        <v>3346</v>
      </c>
      <c r="E1227" s="17" t="s">
        <v>20</v>
      </c>
      <c r="F1227" s="16" t="s">
        <v>4035</v>
      </c>
    </row>
    <row r="1228" spans="1:6" x14ac:dyDescent="0.25">
      <c r="A1228" s="16" t="s">
        <v>4036</v>
      </c>
      <c r="B1228" s="17" t="s">
        <v>4037</v>
      </c>
      <c r="C1228" s="17" t="s">
        <v>11</v>
      </c>
      <c r="D1228" s="17" t="s">
        <v>89</v>
      </c>
      <c r="E1228" s="17" t="s">
        <v>20</v>
      </c>
      <c r="F1228" s="16" t="s">
        <v>4038</v>
      </c>
    </row>
    <row r="1229" spans="1:6" x14ac:dyDescent="0.25">
      <c r="A1229" s="16" t="s">
        <v>4039</v>
      </c>
      <c r="B1229" s="17" t="s">
        <v>4040</v>
      </c>
      <c r="C1229" s="17" t="s">
        <v>11</v>
      </c>
      <c r="D1229" s="17" t="s">
        <v>12</v>
      </c>
      <c r="E1229" s="17" t="s">
        <v>13</v>
      </c>
      <c r="F1229" s="16" t="s">
        <v>4041</v>
      </c>
    </row>
    <row r="1230" spans="1:6" x14ac:dyDescent="0.25">
      <c r="A1230" s="16" t="s">
        <v>4042</v>
      </c>
      <c r="B1230" s="17" t="s">
        <v>4043</v>
      </c>
      <c r="C1230" s="17" t="s">
        <v>11</v>
      </c>
      <c r="D1230" s="17" t="s">
        <v>1402</v>
      </c>
      <c r="E1230" s="17" t="s">
        <v>13</v>
      </c>
      <c r="F1230" s="16" t="s">
        <v>4044</v>
      </c>
    </row>
    <row r="1231" spans="1:6" x14ac:dyDescent="0.25">
      <c r="A1231" s="16" t="s">
        <v>4045</v>
      </c>
      <c r="B1231" s="17" t="s">
        <v>4046</v>
      </c>
      <c r="C1231" s="17" t="s">
        <v>11</v>
      </c>
      <c r="D1231" s="17" t="s">
        <v>12</v>
      </c>
      <c r="E1231" s="17" t="s">
        <v>13</v>
      </c>
      <c r="F1231" s="16" t="s">
        <v>4047</v>
      </c>
    </row>
    <row r="1232" spans="1:6" x14ac:dyDescent="0.25">
      <c r="A1232" s="16" t="s">
        <v>4048</v>
      </c>
      <c r="B1232" s="17" t="s">
        <v>4049</v>
      </c>
      <c r="C1232" s="17" t="s">
        <v>11</v>
      </c>
      <c r="D1232" s="17" t="s">
        <v>12</v>
      </c>
      <c r="E1232" s="17" t="s">
        <v>13</v>
      </c>
      <c r="F1232" s="16" t="s">
        <v>4050</v>
      </c>
    </row>
    <row r="1233" spans="1:6" x14ac:dyDescent="0.25">
      <c r="A1233" s="16" t="s">
        <v>4051</v>
      </c>
      <c r="B1233" s="17" t="s">
        <v>4052</v>
      </c>
      <c r="C1233" s="17" t="s">
        <v>11</v>
      </c>
      <c r="D1233" s="17" t="s">
        <v>83</v>
      </c>
      <c r="E1233" s="17" t="s">
        <v>20</v>
      </c>
      <c r="F1233" s="16" t="s">
        <v>4053</v>
      </c>
    </row>
    <row r="1234" spans="1:6" x14ac:dyDescent="0.25">
      <c r="A1234" s="16" t="s">
        <v>4054</v>
      </c>
      <c r="B1234" s="17" t="s">
        <v>4055</v>
      </c>
      <c r="C1234" s="17" t="s">
        <v>11</v>
      </c>
      <c r="D1234" s="17" t="s">
        <v>250</v>
      </c>
      <c r="E1234" s="17" t="s">
        <v>20</v>
      </c>
      <c r="F1234" s="16" t="s">
        <v>4056</v>
      </c>
    </row>
    <row r="1235" spans="1:6" x14ac:dyDescent="0.25">
      <c r="A1235" s="16" t="s">
        <v>4057</v>
      </c>
      <c r="B1235" s="17" t="s">
        <v>4058</v>
      </c>
      <c r="C1235" s="17" t="s">
        <v>11</v>
      </c>
      <c r="D1235" s="17" t="s">
        <v>12</v>
      </c>
      <c r="E1235" s="17" t="s">
        <v>13</v>
      </c>
      <c r="F1235" s="16" t="s">
        <v>4059</v>
      </c>
    </row>
    <row r="1236" spans="1:6" x14ac:dyDescent="0.25">
      <c r="A1236" s="16" t="s">
        <v>4060</v>
      </c>
      <c r="B1236" s="17" t="s">
        <v>4061</v>
      </c>
      <c r="C1236" s="17" t="s">
        <v>11</v>
      </c>
      <c r="D1236" s="17" t="s">
        <v>12</v>
      </c>
      <c r="E1236" s="17" t="s">
        <v>13</v>
      </c>
      <c r="F1236" s="16" t="s">
        <v>4062</v>
      </c>
    </row>
    <row r="1237" spans="1:6" x14ac:dyDescent="0.25">
      <c r="A1237" s="16" t="s">
        <v>4063</v>
      </c>
      <c r="B1237" s="17" t="s">
        <v>4064</v>
      </c>
      <c r="C1237" s="17" t="s">
        <v>11</v>
      </c>
      <c r="D1237" s="17" t="s">
        <v>250</v>
      </c>
      <c r="E1237" s="17" t="s">
        <v>20</v>
      </c>
      <c r="F1237" s="16" t="s">
        <v>4065</v>
      </c>
    </row>
    <row r="1238" spans="1:6" x14ac:dyDescent="0.25">
      <c r="A1238" s="16" t="s">
        <v>4066</v>
      </c>
      <c r="B1238" s="17" t="s">
        <v>4067</v>
      </c>
      <c r="C1238" s="17" t="s">
        <v>11</v>
      </c>
      <c r="D1238" s="17" t="s">
        <v>12</v>
      </c>
      <c r="E1238" s="17" t="s">
        <v>13</v>
      </c>
      <c r="F1238" s="16" t="s">
        <v>4068</v>
      </c>
    </row>
    <row r="1239" spans="1:6" x14ac:dyDescent="0.25">
      <c r="A1239" s="16" t="s">
        <v>4069</v>
      </c>
      <c r="B1239" s="17" t="s">
        <v>4070</v>
      </c>
      <c r="C1239" s="17" t="s">
        <v>11</v>
      </c>
      <c r="D1239" s="17" t="s">
        <v>12</v>
      </c>
      <c r="E1239" s="17" t="s">
        <v>13</v>
      </c>
      <c r="F1239" s="16" t="s">
        <v>4071</v>
      </c>
    </row>
    <row r="1240" spans="1:6" x14ac:dyDescent="0.25">
      <c r="A1240" s="16" t="s">
        <v>4072</v>
      </c>
      <c r="B1240" s="17" t="s">
        <v>4073</v>
      </c>
      <c r="C1240" s="17" t="s">
        <v>11</v>
      </c>
      <c r="D1240" s="17" t="s">
        <v>12</v>
      </c>
      <c r="E1240" s="17" t="s">
        <v>13</v>
      </c>
      <c r="F1240" s="16" t="s">
        <v>4074</v>
      </c>
    </row>
    <row r="1241" spans="1:6" x14ac:dyDescent="0.25">
      <c r="A1241" s="16" t="s">
        <v>4075</v>
      </c>
      <c r="B1241" s="17" t="s">
        <v>4076</v>
      </c>
      <c r="C1241" s="17" t="s">
        <v>11</v>
      </c>
      <c r="D1241" s="17" t="s">
        <v>32</v>
      </c>
      <c r="E1241" s="17" t="s">
        <v>20</v>
      </c>
      <c r="F1241" s="16" t="s">
        <v>4077</v>
      </c>
    </row>
    <row r="1242" spans="1:6" x14ac:dyDescent="0.25">
      <c r="A1242" s="16" t="s">
        <v>4078</v>
      </c>
      <c r="B1242" s="17" t="s">
        <v>4079</v>
      </c>
      <c r="C1242" s="17" t="s">
        <v>11</v>
      </c>
      <c r="D1242" s="17" t="s">
        <v>12</v>
      </c>
      <c r="E1242" s="17" t="s">
        <v>13</v>
      </c>
      <c r="F1242" s="16" t="s">
        <v>4080</v>
      </c>
    </row>
    <row r="1243" spans="1:6" x14ac:dyDescent="0.25">
      <c r="A1243" s="16" t="s">
        <v>4081</v>
      </c>
      <c r="B1243" s="17" t="s">
        <v>4082</v>
      </c>
      <c r="C1243" s="17" t="s">
        <v>11</v>
      </c>
      <c r="D1243" s="17" t="s">
        <v>12</v>
      </c>
      <c r="E1243" s="17" t="s">
        <v>13</v>
      </c>
      <c r="F1243" s="16" t="s">
        <v>4083</v>
      </c>
    </row>
    <row r="1244" spans="1:6" x14ac:dyDescent="0.25">
      <c r="A1244" s="16" t="s">
        <v>4084</v>
      </c>
      <c r="B1244" s="17" t="s">
        <v>4085</v>
      </c>
      <c r="C1244" s="17" t="s">
        <v>11</v>
      </c>
      <c r="D1244" s="17" t="s">
        <v>32</v>
      </c>
      <c r="E1244" s="17" t="s">
        <v>20</v>
      </c>
      <c r="F1244" s="16" t="s">
        <v>4086</v>
      </c>
    </row>
    <row r="1245" spans="1:6" x14ac:dyDescent="0.25">
      <c r="A1245" s="16" t="s">
        <v>4087</v>
      </c>
      <c r="B1245" s="17" t="s">
        <v>4088</v>
      </c>
      <c r="C1245" s="17" t="s">
        <v>11</v>
      </c>
      <c r="D1245" s="17" t="s">
        <v>80</v>
      </c>
      <c r="E1245" s="17" t="s">
        <v>20</v>
      </c>
      <c r="F1245" s="16" t="s">
        <v>4089</v>
      </c>
    </row>
    <row r="1246" spans="1:6" x14ac:dyDescent="0.25">
      <c r="A1246" s="16" t="s">
        <v>4090</v>
      </c>
      <c r="B1246" s="17" t="s">
        <v>4091</v>
      </c>
      <c r="C1246" s="17" t="s">
        <v>11</v>
      </c>
      <c r="D1246" s="17" t="s">
        <v>12</v>
      </c>
      <c r="E1246" s="17" t="s">
        <v>13</v>
      </c>
      <c r="F1246" s="16" t="s">
        <v>4092</v>
      </c>
    </row>
    <row r="1247" spans="1:6" x14ac:dyDescent="0.25">
      <c r="A1247" s="16" t="s">
        <v>4093</v>
      </c>
      <c r="B1247" s="17" t="s">
        <v>4094</v>
      </c>
      <c r="C1247" s="17" t="s">
        <v>11</v>
      </c>
      <c r="D1247" s="17" t="s">
        <v>12</v>
      </c>
      <c r="E1247" s="17" t="s">
        <v>13</v>
      </c>
      <c r="F1247" s="16" t="s">
        <v>4095</v>
      </c>
    </row>
    <row r="1248" spans="1:6" x14ac:dyDescent="0.25">
      <c r="A1248" s="16" t="s">
        <v>4096</v>
      </c>
      <c r="B1248" s="17" t="s">
        <v>4097</v>
      </c>
      <c r="C1248" s="17" t="s">
        <v>11</v>
      </c>
      <c r="D1248" s="17" t="s">
        <v>250</v>
      </c>
      <c r="E1248" s="17" t="s">
        <v>20</v>
      </c>
      <c r="F1248" s="16" t="s">
        <v>4098</v>
      </c>
    </row>
    <row r="1249" spans="1:6" x14ac:dyDescent="0.25">
      <c r="A1249" s="16" t="s">
        <v>4099</v>
      </c>
      <c r="B1249" s="17" t="s">
        <v>4100</v>
      </c>
      <c r="C1249" s="17" t="s">
        <v>11</v>
      </c>
      <c r="D1249" s="17" t="s">
        <v>32</v>
      </c>
      <c r="E1249" s="17" t="s">
        <v>20</v>
      </c>
      <c r="F1249" s="16" t="s">
        <v>4101</v>
      </c>
    </row>
    <row r="1250" spans="1:6" x14ac:dyDescent="0.25">
      <c r="A1250" s="16" t="s">
        <v>4102</v>
      </c>
      <c r="B1250" s="17" t="s">
        <v>4103</v>
      </c>
      <c r="C1250" s="17" t="s">
        <v>11</v>
      </c>
      <c r="D1250" s="17" t="s">
        <v>12</v>
      </c>
      <c r="E1250" s="17" t="s">
        <v>13</v>
      </c>
      <c r="F1250" s="16" t="s">
        <v>4104</v>
      </c>
    </row>
    <row r="1251" spans="1:6" x14ac:dyDescent="0.25">
      <c r="A1251" s="16" t="s">
        <v>4105</v>
      </c>
      <c r="B1251" s="17" t="s">
        <v>4106</v>
      </c>
      <c r="C1251" s="17" t="s">
        <v>11</v>
      </c>
      <c r="D1251" s="17" t="s">
        <v>32</v>
      </c>
      <c r="E1251" s="17" t="s">
        <v>20</v>
      </c>
      <c r="F1251" s="16" t="s">
        <v>4107</v>
      </c>
    </row>
    <row r="1252" spans="1:6" x14ac:dyDescent="0.25">
      <c r="A1252" s="16" t="s">
        <v>4108</v>
      </c>
      <c r="B1252" s="17" t="s">
        <v>4109</v>
      </c>
      <c r="C1252" s="17" t="s">
        <v>11</v>
      </c>
      <c r="D1252" s="17" t="s">
        <v>32</v>
      </c>
      <c r="E1252" s="17" t="s">
        <v>20</v>
      </c>
      <c r="F1252" s="16" t="s">
        <v>4110</v>
      </c>
    </row>
    <row r="1253" spans="1:6" x14ac:dyDescent="0.25">
      <c r="A1253" s="16" t="s">
        <v>4111</v>
      </c>
      <c r="B1253" s="17" t="s">
        <v>4112</v>
      </c>
      <c r="C1253" s="17" t="s">
        <v>11</v>
      </c>
      <c r="D1253" s="17" t="s">
        <v>12</v>
      </c>
      <c r="E1253" s="17" t="s">
        <v>13</v>
      </c>
      <c r="F1253" s="16" t="s">
        <v>4113</v>
      </c>
    </row>
    <row r="1254" spans="1:6" x14ac:dyDescent="0.25">
      <c r="A1254" s="16" t="s">
        <v>4114</v>
      </c>
      <c r="B1254" s="17" t="s">
        <v>4115</v>
      </c>
      <c r="C1254" s="17" t="s">
        <v>11</v>
      </c>
      <c r="D1254" s="17" t="s">
        <v>80</v>
      </c>
      <c r="E1254" s="17" t="s">
        <v>20</v>
      </c>
      <c r="F1254" s="16" t="s">
        <v>4116</v>
      </c>
    </row>
    <row r="1255" spans="1:6" x14ac:dyDescent="0.25">
      <c r="A1255" s="16" t="s">
        <v>4117</v>
      </c>
      <c r="B1255" s="17" t="s">
        <v>4118</v>
      </c>
      <c r="C1255" s="17" t="s">
        <v>11</v>
      </c>
      <c r="D1255" s="17" t="s">
        <v>80</v>
      </c>
      <c r="E1255" s="17" t="s">
        <v>20</v>
      </c>
      <c r="F1255" s="16" t="s">
        <v>4119</v>
      </c>
    </row>
    <row r="1256" spans="1:6" x14ac:dyDescent="0.25">
      <c r="A1256" s="16" t="s">
        <v>4120</v>
      </c>
      <c r="B1256" s="17" t="s">
        <v>4121</v>
      </c>
      <c r="C1256" s="17" t="s">
        <v>11</v>
      </c>
      <c r="D1256" s="17" t="s">
        <v>83</v>
      </c>
      <c r="E1256" s="17" t="s">
        <v>20</v>
      </c>
      <c r="F1256" s="16" t="s">
        <v>4122</v>
      </c>
    </row>
    <row r="1257" spans="1:6" x14ac:dyDescent="0.25">
      <c r="A1257" s="16" t="s">
        <v>4123</v>
      </c>
      <c r="B1257" s="17" t="s">
        <v>4124</v>
      </c>
      <c r="C1257" s="17" t="s">
        <v>11</v>
      </c>
      <c r="D1257" s="17" t="s">
        <v>12</v>
      </c>
      <c r="E1257" s="17" t="s">
        <v>13</v>
      </c>
      <c r="F1257" s="16" t="s">
        <v>4125</v>
      </c>
    </row>
    <row r="1258" spans="1:6" x14ac:dyDescent="0.25">
      <c r="A1258" s="16" t="s">
        <v>4126</v>
      </c>
      <c r="B1258" s="17" t="s">
        <v>4127</v>
      </c>
      <c r="C1258" s="17" t="s">
        <v>11</v>
      </c>
      <c r="D1258" s="17" t="s">
        <v>182</v>
      </c>
      <c r="E1258" s="17" t="s">
        <v>20</v>
      </c>
      <c r="F1258" s="16" t="s">
        <v>4128</v>
      </c>
    </row>
    <row r="1259" spans="1:6" x14ac:dyDescent="0.25">
      <c r="A1259" s="16" t="s">
        <v>4129</v>
      </c>
      <c r="B1259" s="17" t="s">
        <v>4130</v>
      </c>
      <c r="C1259" s="17" t="s">
        <v>11</v>
      </c>
      <c r="D1259" s="17" t="s">
        <v>83</v>
      </c>
      <c r="E1259" s="17" t="s">
        <v>20</v>
      </c>
      <c r="F1259" s="16" t="s">
        <v>4131</v>
      </c>
    </row>
    <row r="1260" spans="1:6" x14ac:dyDescent="0.25">
      <c r="A1260" s="16" t="s">
        <v>4132</v>
      </c>
      <c r="B1260" s="17" t="s">
        <v>4133</v>
      </c>
      <c r="C1260" s="17" t="s">
        <v>11</v>
      </c>
      <c r="D1260" s="17" t="s">
        <v>32</v>
      </c>
      <c r="E1260" s="17" t="s">
        <v>20</v>
      </c>
      <c r="F1260" s="16" t="s">
        <v>4134</v>
      </c>
    </row>
    <row r="1261" spans="1:6" x14ac:dyDescent="0.25">
      <c r="A1261" s="16" t="s">
        <v>4135</v>
      </c>
      <c r="B1261" s="17" t="s">
        <v>4136</v>
      </c>
      <c r="C1261" s="17" t="s">
        <v>11</v>
      </c>
      <c r="D1261" s="17" t="s">
        <v>32</v>
      </c>
      <c r="E1261" s="17" t="s">
        <v>20</v>
      </c>
      <c r="F1261" s="16" t="s">
        <v>4137</v>
      </c>
    </row>
    <row r="1262" spans="1:6" x14ac:dyDescent="0.25">
      <c r="A1262" s="16" t="s">
        <v>4138</v>
      </c>
      <c r="B1262" s="17" t="s">
        <v>4139</v>
      </c>
      <c r="C1262" s="17" t="s">
        <v>11</v>
      </c>
      <c r="D1262" s="17" t="s">
        <v>74</v>
      </c>
      <c r="E1262" s="17" t="s">
        <v>20</v>
      </c>
      <c r="F1262" s="16" t="s">
        <v>4140</v>
      </c>
    </row>
    <row r="1263" spans="1:6" x14ac:dyDescent="0.25">
      <c r="A1263" s="16" t="s">
        <v>4141</v>
      </c>
      <c r="B1263" s="17" t="s">
        <v>4142</v>
      </c>
      <c r="C1263" s="17" t="s">
        <v>11</v>
      </c>
      <c r="D1263" s="17" t="s">
        <v>32</v>
      </c>
      <c r="E1263" s="17" t="s">
        <v>20</v>
      </c>
      <c r="F1263" s="16" t="s">
        <v>4143</v>
      </c>
    </row>
    <row r="1264" spans="1:6" x14ac:dyDescent="0.25">
      <c r="A1264" s="16" t="s">
        <v>4144</v>
      </c>
      <c r="B1264" s="17" t="s">
        <v>4145</v>
      </c>
      <c r="C1264" s="17" t="s">
        <v>11</v>
      </c>
      <c r="D1264" s="17" t="s">
        <v>250</v>
      </c>
      <c r="E1264" s="17" t="s">
        <v>20</v>
      </c>
      <c r="F1264" s="16" t="s">
        <v>4146</v>
      </c>
    </row>
    <row r="1265" spans="1:6" x14ac:dyDescent="0.25">
      <c r="A1265" s="16" t="s">
        <v>4147</v>
      </c>
      <c r="B1265" s="17" t="s">
        <v>4148</v>
      </c>
      <c r="C1265" s="17" t="s">
        <v>11</v>
      </c>
      <c r="D1265" s="17" t="s">
        <v>186</v>
      </c>
      <c r="E1265" s="17" t="s">
        <v>20</v>
      </c>
      <c r="F1265" s="16" t="s">
        <v>4149</v>
      </c>
    </row>
    <row r="1266" spans="1:6" x14ac:dyDescent="0.25">
      <c r="A1266" s="16" t="s">
        <v>4150</v>
      </c>
      <c r="B1266" s="17" t="s">
        <v>4151</v>
      </c>
      <c r="C1266" s="17" t="s">
        <v>11</v>
      </c>
      <c r="D1266" s="17" t="s">
        <v>80</v>
      </c>
      <c r="E1266" s="17" t="s">
        <v>20</v>
      </c>
      <c r="F1266" s="16" t="s">
        <v>4152</v>
      </c>
    </row>
    <row r="1267" spans="1:6" x14ac:dyDescent="0.25">
      <c r="A1267" s="16" t="s">
        <v>4153</v>
      </c>
      <c r="B1267" s="17" t="s">
        <v>4154</v>
      </c>
      <c r="C1267" s="17" t="s">
        <v>11</v>
      </c>
      <c r="D1267" s="17" t="s">
        <v>89</v>
      </c>
      <c r="E1267" s="17" t="s">
        <v>20</v>
      </c>
      <c r="F1267" s="16" t="s">
        <v>4155</v>
      </c>
    </row>
    <row r="1268" spans="1:6" x14ac:dyDescent="0.25">
      <c r="A1268" s="16" t="s">
        <v>4156</v>
      </c>
      <c r="B1268" s="17" t="s">
        <v>4157</v>
      </c>
      <c r="C1268" s="17" t="s">
        <v>11</v>
      </c>
      <c r="D1268" s="17" t="s">
        <v>182</v>
      </c>
      <c r="E1268" s="17" t="s">
        <v>20</v>
      </c>
      <c r="F1268" s="16" t="s">
        <v>4158</v>
      </c>
    </row>
    <row r="1269" spans="1:6" x14ac:dyDescent="0.25">
      <c r="A1269" s="16" t="s">
        <v>4159</v>
      </c>
      <c r="B1269" s="17" t="s">
        <v>4160</v>
      </c>
      <c r="C1269" s="17" t="s">
        <v>11</v>
      </c>
      <c r="D1269" s="17" t="s">
        <v>32</v>
      </c>
      <c r="E1269" s="17" t="s">
        <v>20</v>
      </c>
      <c r="F1269" s="16" t="s">
        <v>4161</v>
      </c>
    </row>
    <row r="1270" spans="1:6" x14ac:dyDescent="0.25">
      <c r="A1270" s="16" t="s">
        <v>4162</v>
      </c>
      <c r="B1270" s="17" t="s">
        <v>4163</v>
      </c>
      <c r="C1270" s="17" t="s">
        <v>11</v>
      </c>
      <c r="D1270" s="17" t="s">
        <v>83</v>
      </c>
      <c r="E1270" s="17" t="s">
        <v>20</v>
      </c>
      <c r="F1270" s="16" t="s">
        <v>4164</v>
      </c>
    </row>
    <row r="1271" spans="1:6" x14ac:dyDescent="0.25">
      <c r="A1271" s="16" t="s">
        <v>4165</v>
      </c>
      <c r="B1271" s="17" t="s">
        <v>4166</v>
      </c>
      <c r="C1271" s="17" t="s">
        <v>11</v>
      </c>
      <c r="D1271" s="17" t="s">
        <v>1337</v>
      </c>
      <c r="E1271" s="17" t="s">
        <v>1299</v>
      </c>
      <c r="F1271" s="16" t="s">
        <v>4167</v>
      </c>
    </row>
    <row r="1272" spans="1:6" x14ac:dyDescent="0.25">
      <c r="A1272" s="16" t="s">
        <v>4168</v>
      </c>
      <c r="B1272" s="17" t="s">
        <v>4169</v>
      </c>
      <c r="C1272" s="17" t="s">
        <v>11</v>
      </c>
      <c r="D1272" s="17" t="s">
        <v>12</v>
      </c>
      <c r="E1272" s="17" t="s">
        <v>13</v>
      </c>
      <c r="F1272" s="16" t="s">
        <v>4170</v>
      </c>
    </row>
    <row r="1273" spans="1:6" x14ac:dyDescent="0.25">
      <c r="A1273" s="16" t="s">
        <v>4171</v>
      </c>
      <c r="B1273" s="17" t="s">
        <v>4172</v>
      </c>
      <c r="C1273" s="17" t="s">
        <v>11</v>
      </c>
      <c r="D1273" s="17" t="s">
        <v>26</v>
      </c>
      <c r="E1273" s="17" t="s">
        <v>20</v>
      </c>
      <c r="F1273" s="16" t="s">
        <v>4173</v>
      </c>
    </row>
    <row r="1274" spans="1:6" x14ac:dyDescent="0.25">
      <c r="A1274" s="16" t="s">
        <v>4174</v>
      </c>
      <c r="B1274" s="17" t="s">
        <v>4175</v>
      </c>
      <c r="C1274" s="17" t="s">
        <v>11</v>
      </c>
      <c r="D1274" s="17" t="s">
        <v>74</v>
      </c>
      <c r="E1274" s="17" t="s">
        <v>20</v>
      </c>
      <c r="F1274" s="16" t="s">
        <v>4176</v>
      </c>
    </row>
    <row r="1275" spans="1:6" x14ac:dyDescent="0.25">
      <c r="A1275" s="16" t="s">
        <v>4177</v>
      </c>
      <c r="B1275" s="17" t="s">
        <v>4178</v>
      </c>
      <c r="C1275" s="17" t="s">
        <v>11</v>
      </c>
      <c r="D1275" s="17" t="s">
        <v>32</v>
      </c>
      <c r="E1275" s="17" t="s">
        <v>20</v>
      </c>
      <c r="F1275" s="16" t="s">
        <v>4179</v>
      </c>
    </row>
    <row r="1276" spans="1:6" x14ac:dyDescent="0.25">
      <c r="A1276" s="16" t="s">
        <v>4180</v>
      </c>
      <c r="B1276" s="17" t="s">
        <v>4181</v>
      </c>
      <c r="C1276" s="17" t="s">
        <v>11</v>
      </c>
      <c r="D1276" s="17" t="s">
        <v>32</v>
      </c>
      <c r="E1276" s="17" t="s">
        <v>20</v>
      </c>
      <c r="F1276" s="16" t="s">
        <v>4182</v>
      </c>
    </row>
    <row r="1277" spans="1:6" x14ac:dyDescent="0.25">
      <c r="A1277" s="16" t="s">
        <v>4183</v>
      </c>
      <c r="B1277" s="17" t="s">
        <v>4184</v>
      </c>
      <c r="C1277" s="17" t="s">
        <v>11</v>
      </c>
      <c r="D1277" s="17" t="s">
        <v>74</v>
      </c>
      <c r="E1277" s="17" t="s">
        <v>20</v>
      </c>
      <c r="F1277" s="16" t="s">
        <v>4185</v>
      </c>
    </row>
    <row r="1278" spans="1:6" x14ac:dyDescent="0.25">
      <c r="A1278" s="16" t="s">
        <v>4186</v>
      </c>
      <c r="B1278" s="17" t="s">
        <v>4187</v>
      </c>
      <c r="C1278" s="17" t="s">
        <v>11</v>
      </c>
      <c r="D1278" s="17" t="s">
        <v>3346</v>
      </c>
      <c r="E1278" s="17" t="s">
        <v>20</v>
      </c>
      <c r="F1278" s="16" t="s">
        <v>4188</v>
      </c>
    </row>
    <row r="1279" spans="1:6" x14ac:dyDescent="0.25">
      <c r="A1279" s="16" t="s">
        <v>4189</v>
      </c>
      <c r="B1279" s="17" t="s">
        <v>4190</v>
      </c>
      <c r="C1279" s="17" t="s">
        <v>11</v>
      </c>
      <c r="D1279" s="17" t="s">
        <v>83</v>
      </c>
      <c r="E1279" s="17" t="s">
        <v>20</v>
      </c>
      <c r="F1279" s="16" t="s">
        <v>4191</v>
      </c>
    </row>
    <row r="1280" spans="1:6" x14ac:dyDescent="0.25">
      <c r="A1280" s="16" t="s">
        <v>4192</v>
      </c>
      <c r="B1280" s="17" t="s">
        <v>4193</v>
      </c>
      <c r="C1280" s="17" t="s">
        <v>11</v>
      </c>
      <c r="D1280" s="17" t="s">
        <v>83</v>
      </c>
      <c r="E1280" s="17" t="s">
        <v>20</v>
      </c>
      <c r="F1280" s="16" t="s">
        <v>4194</v>
      </c>
    </row>
    <row r="1281" spans="1:6" x14ac:dyDescent="0.25">
      <c r="A1281" s="16" t="s">
        <v>4195</v>
      </c>
      <c r="B1281" s="17" t="s">
        <v>4196</v>
      </c>
      <c r="C1281" s="17" t="s">
        <v>11</v>
      </c>
      <c r="D1281" s="17" t="s">
        <v>182</v>
      </c>
      <c r="E1281" s="17" t="s">
        <v>20</v>
      </c>
      <c r="F1281" s="16" t="s">
        <v>4197</v>
      </c>
    </row>
    <row r="1282" spans="1:6" x14ac:dyDescent="0.25">
      <c r="A1282" s="16" t="s">
        <v>4198</v>
      </c>
      <c r="B1282" s="17" t="s">
        <v>4199</v>
      </c>
      <c r="C1282" s="17" t="s">
        <v>11</v>
      </c>
      <c r="D1282" s="17" t="s">
        <v>186</v>
      </c>
      <c r="E1282" s="17" t="s">
        <v>20</v>
      </c>
      <c r="F1282" s="16" t="s">
        <v>4200</v>
      </c>
    </row>
    <row r="1283" spans="1:6" x14ac:dyDescent="0.25">
      <c r="A1283" s="16" t="s">
        <v>4201</v>
      </c>
      <c r="B1283" s="17" t="s">
        <v>4202</v>
      </c>
      <c r="C1283" s="17" t="s">
        <v>11</v>
      </c>
      <c r="D1283" s="17" t="s">
        <v>1318</v>
      </c>
      <c r="E1283" s="17" t="s">
        <v>20</v>
      </c>
      <c r="F1283" s="16" t="s">
        <v>4203</v>
      </c>
    </row>
    <row r="1284" spans="1:6" x14ac:dyDescent="0.25">
      <c r="A1284" s="16" t="s">
        <v>4204</v>
      </c>
      <c r="B1284" s="17" t="s">
        <v>4205</v>
      </c>
      <c r="C1284" s="17" t="s">
        <v>11</v>
      </c>
      <c r="D1284" s="17" t="s">
        <v>89</v>
      </c>
      <c r="E1284" s="17" t="s">
        <v>20</v>
      </c>
      <c r="F1284" s="16" t="s">
        <v>4206</v>
      </c>
    </row>
    <row r="1285" spans="1:6" x14ac:dyDescent="0.25">
      <c r="A1285" s="16" t="s">
        <v>4207</v>
      </c>
      <c r="B1285" s="17" t="s">
        <v>4208</v>
      </c>
      <c r="C1285" s="17" t="s">
        <v>11</v>
      </c>
      <c r="D1285" s="17" t="s">
        <v>80</v>
      </c>
      <c r="E1285" s="17" t="s">
        <v>20</v>
      </c>
      <c r="F1285" s="16" t="s">
        <v>4209</v>
      </c>
    </row>
    <row r="1286" spans="1:6" x14ac:dyDescent="0.25">
      <c r="A1286" s="16" t="s">
        <v>4210</v>
      </c>
      <c r="B1286" s="17" t="s">
        <v>4211</v>
      </c>
      <c r="C1286" s="17" t="s">
        <v>11</v>
      </c>
      <c r="D1286" s="17" t="s">
        <v>83</v>
      </c>
      <c r="E1286" s="17" t="s">
        <v>20</v>
      </c>
      <c r="F1286" s="16" t="s">
        <v>4212</v>
      </c>
    </row>
    <row r="1287" spans="1:6" x14ac:dyDescent="0.25">
      <c r="A1287" s="16" t="s">
        <v>4213</v>
      </c>
      <c r="B1287" s="17" t="s">
        <v>4214</v>
      </c>
      <c r="C1287" s="17" t="s">
        <v>11</v>
      </c>
      <c r="D1287" s="17" t="s">
        <v>83</v>
      </c>
      <c r="E1287" s="17" t="s">
        <v>20</v>
      </c>
      <c r="F1287" s="16" t="s">
        <v>4215</v>
      </c>
    </row>
    <row r="1288" spans="1:6" x14ac:dyDescent="0.25">
      <c r="A1288" s="16" t="s">
        <v>4216</v>
      </c>
      <c r="B1288" s="17" t="s">
        <v>4217</v>
      </c>
      <c r="C1288" s="17" t="s">
        <v>11</v>
      </c>
      <c r="D1288" s="17" t="s">
        <v>83</v>
      </c>
      <c r="E1288" s="17" t="s">
        <v>20</v>
      </c>
      <c r="F1288" s="16" t="s">
        <v>4218</v>
      </c>
    </row>
    <row r="1289" spans="1:6" x14ac:dyDescent="0.25">
      <c r="A1289" s="16" t="s">
        <v>4219</v>
      </c>
      <c r="B1289" s="17" t="s">
        <v>4220</v>
      </c>
      <c r="C1289" s="17" t="s">
        <v>11</v>
      </c>
      <c r="D1289" s="17" t="s">
        <v>148</v>
      </c>
      <c r="E1289" s="17" t="s">
        <v>20</v>
      </c>
      <c r="F1289" s="16" t="s">
        <v>4221</v>
      </c>
    </row>
    <row r="1290" spans="1:6" x14ac:dyDescent="0.25">
      <c r="A1290" s="16" t="s">
        <v>4222</v>
      </c>
      <c r="B1290" s="17" t="s">
        <v>4223</v>
      </c>
      <c r="C1290" s="17" t="s">
        <v>11</v>
      </c>
      <c r="D1290" s="17" t="s">
        <v>80</v>
      </c>
      <c r="E1290" s="17" t="s">
        <v>20</v>
      </c>
      <c r="F1290" s="16" t="s">
        <v>4224</v>
      </c>
    </row>
    <row r="1291" spans="1:6" x14ac:dyDescent="0.25">
      <c r="A1291" s="16" t="s">
        <v>4225</v>
      </c>
      <c r="B1291" s="17" t="s">
        <v>4226</v>
      </c>
      <c r="C1291" s="17" t="s">
        <v>11</v>
      </c>
      <c r="D1291" s="17" t="s">
        <v>89</v>
      </c>
      <c r="E1291" s="17" t="s">
        <v>20</v>
      </c>
      <c r="F1291" s="16" t="s">
        <v>4227</v>
      </c>
    </row>
    <row r="1292" spans="1:6" x14ac:dyDescent="0.25">
      <c r="A1292" s="16" t="s">
        <v>4228</v>
      </c>
      <c r="B1292" s="17" t="s">
        <v>4229</v>
      </c>
      <c r="C1292" s="17" t="s">
        <v>11</v>
      </c>
      <c r="D1292" s="17" t="s">
        <v>26</v>
      </c>
      <c r="E1292" s="17" t="s">
        <v>20</v>
      </c>
      <c r="F1292" s="16" t="s">
        <v>4230</v>
      </c>
    </row>
    <row r="1293" spans="1:6" x14ac:dyDescent="0.25">
      <c r="A1293" s="16" t="s">
        <v>4231</v>
      </c>
      <c r="B1293" s="17" t="s">
        <v>4232</v>
      </c>
      <c r="C1293" s="17" t="s">
        <v>11</v>
      </c>
      <c r="D1293" s="17" t="s">
        <v>26</v>
      </c>
      <c r="E1293" s="17" t="s">
        <v>20</v>
      </c>
      <c r="F1293" s="16" t="s">
        <v>4233</v>
      </c>
    </row>
    <row r="1294" spans="1:6" x14ac:dyDescent="0.25">
      <c r="A1294" s="16" t="s">
        <v>4234</v>
      </c>
      <c r="B1294" s="17" t="s">
        <v>4235</v>
      </c>
      <c r="C1294" s="17" t="s">
        <v>11</v>
      </c>
      <c r="D1294" s="17" t="s">
        <v>250</v>
      </c>
      <c r="E1294" s="17" t="s">
        <v>20</v>
      </c>
      <c r="F1294" s="16" t="s">
        <v>4236</v>
      </c>
    </row>
    <row r="1295" spans="1:6" x14ac:dyDescent="0.25">
      <c r="A1295" s="16" t="s">
        <v>4237</v>
      </c>
      <c r="B1295" s="17" t="s">
        <v>4238</v>
      </c>
      <c r="C1295" s="17" t="s">
        <v>11</v>
      </c>
      <c r="D1295" s="17" t="s">
        <v>32</v>
      </c>
      <c r="E1295" s="17" t="s">
        <v>20</v>
      </c>
      <c r="F1295" s="16" t="s">
        <v>4239</v>
      </c>
    </row>
    <row r="1296" spans="1:6" x14ac:dyDescent="0.25">
      <c r="A1296" s="16" t="s">
        <v>4240</v>
      </c>
      <c r="B1296" s="17" t="s">
        <v>4241</v>
      </c>
      <c r="C1296" s="17" t="s">
        <v>11</v>
      </c>
      <c r="D1296" s="17" t="s">
        <v>32</v>
      </c>
      <c r="E1296" s="17" t="s">
        <v>20</v>
      </c>
      <c r="F1296" s="16" t="s">
        <v>4242</v>
      </c>
    </row>
    <row r="1297" spans="1:6" x14ac:dyDescent="0.25">
      <c r="A1297" s="16" t="s">
        <v>4243</v>
      </c>
      <c r="B1297" s="17" t="s">
        <v>4244</v>
      </c>
      <c r="C1297" s="17" t="s">
        <v>11</v>
      </c>
      <c r="D1297" s="17" t="s">
        <v>32</v>
      </c>
      <c r="E1297" s="17" t="s">
        <v>20</v>
      </c>
      <c r="F1297" s="16" t="s">
        <v>4245</v>
      </c>
    </row>
    <row r="1298" spans="1:6" x14ac:dyDescent="0.25">
      <c r="A1298" s="16" t="s">
        <v>4246</v>
      </c>
      <c r="B1298" s="17" t="s">
        <v>4247</v>
      </c>
      <c r="C1298" s="17" t="s">
        <v>11</v>
      </c>
      <c r="D1298" s="17" t="s">
        <v>811</v>
      </c>
      <c r="E1298" s="17" t="s">
        <v>20</v>
      </c>
      <c r="F1298" s="16" t="s">
        <v>4248</v>
      </c>
    </row>
    <row r="1299" spans="1:6" x14ac:dyDescent="0.25">
      <c r="A1299" s="16" t="s">
        <v>4249</v>
      </c>
      <c r="B1299" s="17" t="s">
        <v>4250</v>
      </c>
      <c r="C1299" s="17" t="s">
        <v>11</v>
      </c>
      <c r="D1299" s="17" t="s">
        <v>32</v>
      </c>
      <c r="E1299" s="17" t="s">
        <v>20</v>
      </c>
      <c r="F1299" s="16" t="s">
        <v>4251</v>
      </c>
    </row>
    <row r="1300" spans="1:6" x14ac:dyDescent="0.25">
      <c r="A1300" s="16" t="s">
        <v>4252</v>
      </c>
      <c r="B1300" s="17" t="s">
        <v>4253</v>
      </c>
      <c r="C1300" s="17" t="s">
        <v>11</v>
      </c>
      <c r="D1300" s="17" t="s">
        <v>89</v>
      </c>
      <c r="E1300" s="17" t="s">
        <v>20</v>
      </c>
      <c r="F1300" s="16" t="s">
        <v>4254</v>
      </c>
    </row>
    <row r="1301" spans="1:6" x14ac:dyDescent="0.25">
      <c r="A1301" s="16" t="s">
        <v>4255</v>
      </c>
      <c r="B1301" s="17" t="s">
        <v>4256</v>
      </c>
      <c r="C1301" s="17" t="s">
        <v>11</v>
      </c>
      <c r="D1301" s="17" t="s">
        <v>74</v>
      </c>
      <c r="E1301" s="17" t="s">
        <v>20</v>
      </c>
      <c r="F1301" s="16" t="s">
        <v>4257</v>
      </c>
    </row>
    <row r="1302" spans="1:6" x14ac:dyDescent="0.25">
      <c r="A1302" s="16" t="s">
        <v>4258</v>
      </c>
      <c r="B1302" s="17" t="s">
        <v>4259</v>
      </c>
      <c r="C1302" s="17" t="s">
        <v>11</v>
      </c>
      <c r="D1302" s="17" t="s">
        <v>182</v>
      </c>
      <c r="E1302" s="17" t="s">
        <v>20</v>
      </c>
      <c r="F1302" s="16" t="s">
        <v>4260</v>
      </c>
    </row>
    <row r="1303" spans="1:6" x14ac:dyDescent="0.25">
      <c r="A1303" s="16" t="s">
        <v>4261</v>
      </c>
      <c r="B1303" s="17" t="s">
        <v>4262</v>
      </c>
      <c r="C1303" s="17" t="s">
        <v>11</v>
      </c>
      <c r="D1303" s="17" t="s">
        <v>83</v>
      </c>
      <c r="E1303" s="17" t="s">
        <v>20</v>
      </c>
      <c r="F1303" s="16" t="s">
        <v>4263</v>
      </c>
    </row>
    <row r="1304" spans="1:6" x14ac:dyDescent="0.25">
      <c r="A1304" s="16" t="s">
        <v>4264</v>
      </c>
      <c r="B1304" s="17" t="s">
        <v>4265</v>
      </c>
      <c r="C1304" s="17" t="s">
        <v>11</v>
      </c>
      <c r="D1304" s="17" t="s">
        <v>32</v>
      </c>
      <c r="E1304" s="17" t="s">
        <v>20</v>
      </c>
      <c r="F1304" s="16" t="s">
        <v>4266</v>
      </c>
    </row>
    <row r="1305" spans="1:6" x14ac:dyDescent="0.25">
      <c r="A1305" s="16" t="s">
        <v>4267</v>
      </c>
      <c r="B1305" s="17" t="s">
        <v>4268</v>
      </c>
      <c r="C1305" s="17" t="s">
        <v>11</v>
      </c>
      <c r="D1305" s="17" t="s">
        <v>80</v>
      </c>
      <c r="E1305" s="17" t="s">
        <v>20</v>
      </c>
      <c r="F1305" s="16" t="s">
        <v>4269</v>
      </c>
    </row>
    <row r="1306" spans="1:6" x14ac:dyDescent="0.25">
      <c r="A1306" s="16" t="s">
        <v>4270</v>
      </c>
      <c r="B1306" s="17" t="s">
        <v>4271</v>
      </c>
      <c r="C1306" s="17" t="s">
        <v>11</v>
      </c>
      <c r="D1306" s="17" t="s">
        <v>148</v>
      </c>
      <c r="E1306" s="17" t="s">
        <v>20</v>
      </c>
      <c r="F1306" s="16" t="s">
        <v>4272</v>
      </c>
    </row>
    <row r="1307" spans="1:6" x14ac:dyDescent="0.25">
      <c r="A1307" s="16" t="s">
        <v>4273</v>
      </c>
      <c r="B1307" s="17" t="s">
        <v>4274</v>
      </c>
      <c r="C1307" s="17" t="s">
        <v>11</v>
      </c>
      <c r="D1307" s="17" t="s">
        <v>544</v>
      </c>
      <c r="E1307" s="17" t="s">
        <v>20</v>
      </c>
      <c r="F1307" s="16" t="s">
        <v>4275</v>
      </c>
    </row>
    <row r="1308" spans="1:6" x14ac:dyDescent="0.25">
      <c r="A1308" s="16" t="s">
        <v>4276</v>
      </c>
      <c r="B1308" s="17" t="s">
        <v>4277</v>
      </c>
      <c r="C1308" s="17" t="s">
        <v>11</v>
      </c>
      <c r="D1308" s="17" t="s">
        <v>32</v>
      </c>
      <c r="E1308" s="17" t="s">
        <v>20</v>
      </c>
      <c r="F1308" s="16" t="s">
        <v>4278</v>
      </c>
    </row>
    <row r="1309" spans="1:6" x14ac:dyDescent="0.25">
      <c r="A1309" s="16" t="s">
        <v>4279</v>
      </c>
      <c r="B1309" s="17" t="s">
        <v>4280</v>
      </c>
      <c r="C1309" s="17" t="s">
        <v>11</v>
      </c>
      <c r="D1309" s="17" t="s">
        <v>74</v>
      </c>
      <c r="E1309" s="17" t="s">
        <v>20</v>
      </c>
      <c r="F1309" s="16" t="s">
        <v>4281</v>
      </c>
    </row>
    <row r="1310" spans="1:6" x14ac:dyDescent="0.25">
      <c r="A1310" s="16" t="s">
        <v>4282</v>
      </c>
      <c r="B1310" s="17" t="s">
        <v>4283</v>
      </c>
      <c r="C1310" s="17" t="s">
        <v>11</v>
      </c>
      <c r="D1310" s="17" t="s">
        <v>148</v>
      </c>
      <c r="E1310" s="17" t="s">
        <v>20</v>
      </c>
      <c r="F1310" s="16" t="s">
        <v>4284</v>
      </c>
    </row>
    <row r="1311" spans="1:6" x14ac:dyDescent="0.25">
      <c r="A1311" s="16" t="s">
        <v>4285</v>
      </c>
      <c r="B1311" s="17" t="s">
        <v>4286</v>
      </c>
      <c r="C1311" s="17" t="s">
        <v>11</v>
      </c>
      <c r="D1311" s="17" t="s">
        <v>811</v>
      </c>
      <c r="E1311" s="17" t="s">
        <v>20</v>
      </c>
      <c r="F1311" s="16" t="s">
        <v>4287</v>
      </c>
    </row>
    <row r="1312" spans="1:6" x14ac:dyDescent="0.25">
      <c r="A1312" s="16" t="s">
        <v>4288</v>
      </c>
      <c r="B1312" s="17" t="s">
        <v>4289</v>
      </c>
      <c r="C1312" s="17" t="s">
        <v>11</v>
      </c>
      <c r="D1312" s="17" t="s">
        <v>148</v>
      </c>
      <c r="E1312" s="17" t="s">
        <v>20</v>
      </c>
      <c r="F1312" s="16" t="s">
        <v>4290</v>
      </c>
    </row>
    <row r="1313" spans="1:6" x14ac:dyDescent="0.25">
      <c r="A1313" s="16" t="s">
        <v>4291</v>
      </c>
      <c r="B1313" s="17" t="s">
        <v>4292</v>
      </c>
      <c r="C1313" s="17" t="s">
        <v>11</v>
      </c>
      <c r="D1313" s="17" t="s">
        <v>1337</v>
      </c>
      <c r="E1313" s="17" t="s">
        <v>1299</v>
      </c>
      <c r="F1313" s="16" t="s">
        <v>4293</v>
      </c>
    </row>
    <row r="1314" spans="1:6" x14ac:dyDescent="0.25">
      <c r="A1314" s="16" t="s">
        <v>4294</v>
      </c>
      <c r="B1314" s="17" t="s">
        <v>4295</v>
      </c>
      <c r="C1314" s="17" t="s">
        <v>11</v>
      </c>
      <c r="D1314" s="17" t="s">
        <v>26</v>
      </c>
      <c r="E1314" s="17" t="s">
        <v>20</v>
      </c>
      <c r="F1314" s="16" t="s">
        <v>4296</v>
      </c>
    </row>
    <row r="1315" spans="1:6" x14ac:dyDescent="0.25">
      <c r="A1315" s="16" t="s">
        <v>4297</v>
      </c>
      <c r="B1315" s="17" t="s">
        <v>4298</v>
      </c>
      <c r="C1315" s="17" t="s">
        <v>11</v>
      </c>
      <c r="D1315" s="17" t="s">
        <v>32</v>
      </c>
      <c r="E1315" s="17" t="s">
        <v>20</v>
      </c>
      <c r="F1315" s="16" t="s">
        <v>4299</v>
      </c>
    </row>
    <row r="1316" spans="1:6" x14ac:dyDescent="0.25">
      <c r="A1316" s="16" t="s">
        <v>4300</v>
      </c>
      <c r="B1316" s="17" t="s">
        <v>4301</v>
      </c>
      <c r="C1316" s="17" t="s">
        <v>11</v>
      </c>
      <c r="D1316" s="17" t="s">
        <v>83</v>
      </c>
      <c r="E1316" s="17" t="s">
        <v>20</v>
      </c>
      <c r="F1316" s="16" t="s">
        <v>4302</v>
      </c>
    </row>
    <row r="1317" spans="1:6" x14ac:dyDescent="0.25">
      <c r="A1317" s="16" t="s">
        <v>4303</v>
      </c>
      <c r="B1317" s="17" t="s">
        <v>4304</v>
      </c>
      <c r="C1317" s="17" t="s">
        <v>11</v>
      </c>
      <c r="D1317" s="17" t="s">
        <v>291</v>
      </c>
      <c r="E1317" s="17" t="s">
        <v>20</v>
      </c>
      <c r="F1317" s="16" t="s">
        <v>4305</v>
      </c>
    </row>
    <row r="1318" spans="1:6" x14ac:dyDescent="0.25">
      <c r="A1318" s="16" t="s">
        <v>4306</v>
      </c>
      <c r="B1318" s="17" t="s">
        <v>4307</v>
      </c>
      <c r="C1318" s="17" t="s">
        <v>11</v>
      </c>
      <c r="D1318" s="17" t="s">
        <v>32</v>
      </c>
      <c r="E1318" s="17" t="s">
        <v>20</v>
      </c>
      <c r="F1318" s="16" t="s">
        <v>4308</v>
      </c>
    </row>
    <row r="1319" spans="1:6" x14ac:dyDescent="0.25">
      <c r="A1319" s="16" t="s">
        <v>4309</v>
      </c>
      <c r="B1319" s="17" t="s">
        <v>4310</v>
      </c>
      <c r="C1319" s="17" t="s">
        <v>11</v>
      </c>
      <c r="D1319" s="17" t="s">
        <v>32</v>
      </c>
      <c r="E1319" s="17" t="s">
        <v>20</v>
      </c>
      <c r="F1319" s="16" t="s">
        <v>4311</v>
      </c>
    </row>
    <row r="1320" spans="1:6" x14ac:dyDescent="0.25">
      <c r="A1320" s="16" t="s">
        <v>4312</v>
      </c>
      <c r="B1320" s="17" t="s">
        <v>4313</v>
      </c>
      <c r="C1320" s="17" t="s">
        <v>11</v>
      </c>
      <c r="D1320" s="17" t="s">
        <v>12</v>
      </c>
      <c r="E1320" s="17" t="s">
        <v>13</v>
      </c>
      <c r="F1320" s="16" t="s">
        <v>4314</v>
      </c>
    </row>
    <row r="1321" spans="1:6" x14ac:dyDescent="0.25">
      <c r="A1321" s="16" t="s">
        <v>4315</v>
      </c>
      <c r="B1321" s="17" t="s">
        <v>4316</v>
      </c>
      <c r="C1321" s="17" t="s">
        <v>11</v>
      </c>
      <c r="D1321" s="17" t="s">
        <v>12</v>
      </c>
      <c r="E1321" s="17" t="s">
        <v>13</v>
      </c>
      <c r="F1321" s="16" t="s">
        <v>4317</v>
      </c>
    </row>
    <row r="1322" spans="1:6" x14ac:dyDescent="0.25">
      <c r="A1322" s="16" t="s">
        <v>4318</v>
      </c>
      <c r="B1322" s="17" t="s">
        <v>4319</v>
      </c>
      <c r="C1322" s="17" t="s">
        <v>11</v>
      </c>
      <c r="D1322" s="17" t="s">
        <v>12</v>
      </c>
      <c r="E1322" s="17" t="s">
        <v>13</v>
      </c>
      <c r="F1322" s="16" t="s">
        <v>4320</v>
      </c>
    </row>
    <row r="1323" spans="1:6" x14ac:dyDescent="0.25">
      <c r="A1323" s="16" t="s">
        <v>4321</v>
      </c>
      <c r="B1323" s="17" t="s">
        <v>4322</v>
      </c>
      <c r="C1323" s="17" t="s">
        <v>11</v>
      </c>
      <c r="D1323" s="17" t="s">
        <v>12</v>
      </c>
      <c r="E1323" s="17" t="s">
        <v>13</v>
      </c>
      <c r="F1323" s="16" t="s">
        <v>4323</v>
      </c>
    </row>
    <row r="1324" spans="1:6" x14ac:dyDescent="0.25">
      <c r="A1324" s="16" t="s">
        <v>4324</v>
      </c>
      <c r="B1324" s="17" t="s">
        <v>4325</v>
      </c>
      <c r="C1324" s="17" t="s">
        <v>11</v>
      </c>
      <c r="D1324" s="17" t="s">
        <v>59</v>
      </c>
      <c r="E1324" s="17" t="s">
        <v>13</v>
      </c>
      <c r="F1324" s="16" t="s">
        <v>4326</v>
      </c>
    </row>
    <row r="1325" spans="1:6" x14ac:dyDescent="0.25">
      <c r="A1325" s="16" t="s">
        <v>4327</v>
      </c>
      <c r="B1325" s="17" t="s">
        <v>4328</v>
      </c>
      <c r="C1325" s="17" t="s">
        <v>11</v>
      </c>
      <c r="D1325" s="17" t="s">
        <v>59</v>
      </c>
      <c r="E1325" s="17" t="s">
        <v>13</v>
      </c>
      <c r="F1325" s="16" t="s">
        <v>4329</v>
      </c>
    </row>
    <row r="1326" spans="1:6" x14ac:dyDescent="0.25">
      <c r="A1326" s="16" t="s">
        <v>4330</v>
      </c>
      <c r="B1326" s="17" t="s">
        <v>4331</v>
      </c>
      <c r="C1326" s="17" t="s">
        <v>11</v>
      </c>
      <c r="D1326" s="17" t="s">
        <v>12</v>
      </c>
      <c r="E1326" s="17" t="s">
        <v>13</v>
      </c>
      <c r="F1326" s="16" t="s">
        <v>4332</v>
      </c>
    </row>
    <row r="1327" spans="1:6" x14ac:dyDescent="0.25">
      <c r="A1327" s="16" t="s">
        <v>4333</v>
      </c>
      <c r="B1327" s="17" t="s">
        <v>4334</v>
      </c>
      <c r="C1327" s="17" t="s">
        <v>11</v>
      </c>
      <c r="D1327" s="17" t="s">
        <v>12</v>
      </c>
      <c r="E1327" s="17" t="s">
        <v>13</v>
      </c>
      <c r="F1327" s="16" t="s">
        <v>4335</v>
      </c>
    </row>
    <row r="1328" spans="1:6" x14ac:dyDescent="0.25">
      <c r="A1328" s="16" t="s">
        <v>4336</v>
      </c>
      <c r="B1328" s="17" t="s">
        <v>4337</v>
      </c>
      <c r="C1328" s="17" t="s">
        <v>11</v>
      </c>
      <c r="D1328" s="17" t="s">
        <v>250</v>
      </c>
      <c r="E1328" s="17" t="s">
        <v>20</v>
      </c>
      <c r="F1328" s="16" t="s">
        <v>4338</v>
      </c>
    </row>
    <row r="1329" spans="1:6" x14ac:dyDescent="0.25">
      <c r="A1329" s="16" t="s">
        <v>4339</v>
      </c>
      <c r="B1329" s="17" t="s">
        <v>4340</v>
      </c>
      <c r="C1329" s="17" t="s">
        <v>11</v>
      </c>
      <c r="D1329" s="17" t="s">
        <v>12</v>
      </c>
      <c r="E1329" s="17" t="s">
        <v>13</v>
      </c>
      <c r="F1329" s="16" t="s">
        <v>4341</v>
      </c>
    </row>
    <row r="1330" spans="1:6" x14ac:dyDescent="0.25">
      <c r="A1330" s="16" t="s">
        <v>4342</v>
      </c>
      <c r="B1330" s="17" t="s">
        <v>4343</v>
      </c>
      <c r="C1330" s="17" t="s">
        <v>11</v>
      </c>
      <c r="D1330" s="17" t="s">
        <v>12</v>
      </c>
      <c r="E1330" s="17" t="s">
        <v>13</v>
      </c>
      <c r="F1330" s="16" t="s">
        <v>4344</v>
      </c>
    </row>
    <row r="1331" spans="1:6" x14ac:dyDescent="0.25">
      <c r="A1331" s="16" t="s">
        <v>4345</v>
      </c>
      <c r="B1331" s="17" t="s">
        <v>4346</v>
      </c>
      <c r="C1331" s="17" t="s">
        <v>11</v>
      </c>
      <c r="D1331" s="17" t="s">
        <v>12</v>
      </c>
      <c r="E1331" s="17" t="s">
        <v>13</v>
      </c>
      <c r="F1331" s="16" t="s">
        <v>4347</v>
      </c>
    </row>
    <row r="1332" spans="1:6" x14ac:dyDescent="0.25">
      <c r="A1332" s="16" t="s">
        <v>4348</v>
      </c>
      <c r="B1332" s="17" t="s">
        <v>4349</v>
      </c>
      <c r="C1332" s="17" t="s">
        <v>11</v>
      </c>
      <c r="D1332" s="17" t="s">
        <v>12</v>
      </c>
      <c r="E1332" s="17" t="s">
        <v>13</v>
      </c>
      <c r="F1332" s="16" t="s">
        <v>4350</v>
      </c>
    </row>
    <row r="1333" spans="1:6" x14ac:dyDescent="0.25">
      <c r="A1333" s="16" t="s">
        <v>4351</v>
      </c>
      <c r="B1333" s="17" t="s">
        <v>4352</v>
      </c>
      <c r="C1333" s="17" t="s">
        <v>11</v>
      </c>
      <c r="D1333" s="17" t="s">
        <v>59</v>
      </c>
      <c r="E1333" s="17" t="s">
        <v>13</v>
      </c>
      <c r="F1333" s="16" t="s">
        <v>4353</v>
      </c>
    </row>
    <row r="1334" spans="1:6" x14ac:dyDescent="0.25">
      <c r="A1334" s="16" t="s">
        <v>4354</v>
      </c>
      <c r="B1334" s="17" t="s">
        <v>4355</v>
      </c>
      <c r="C1334" s="17" t="s">
        <v>11</v>
      </c>
      <c r="D1334" s="17" t="s">
        <v>89</v>
      </c>
      <c r="E1334" s="17" t="s">
        <v>20</v>
      </c>
      <c r="F1334" s="16" t="s">
        <v>4356</v>
      </c>
    </row>
    <row r="1335" spans="1:6" x14ac:dyDescent="0.25">
      <c r="A1335" s="16" t="s">
        <v>4357</v>
      </c>
      <c r="B1335" s="17" t="s">
        <v>4358</v>
      </c>
      <c r="C1335" s="17" t="s">
        <v>11</v>
      </c>
      <c r="D1335" s="17" t="s">
        <v>12</v>
      </c>
      <c r="E1335" s="17" t="s">
        <v>13</v>
      </c>
      <c r="F1335" s="16" t="s">
        <v>4359</v>
      </c>
    </row>
    <row r="1336" spans="1:6" x14ac:dyDescent="0.25">
      <c r="A1336" s="16" t="s">
        <v>4360</v>
      </c>
      <c r="B1336" s="17" t="s">
        <v>4361</v>
      </c>
      <c r="C1336" s="17" t="s">
        <v>11</v>
      </c>
      <c r="D1336" s="17" t="s">
        <v>12</v>
      </c>
      <c r="E1336" s="17" t="s">
        <v>13</v>
      </c>
      <c r="F1336" s="16" t="s">
        <v>4362</v>
      </c>
    </row>
    <row r="1337" spans="1:6" x14ac:dyDescent="0.25">
      <c r="A1337" s="16" t="s">
        <v>4363</v>
      </c>
      <c r="B1337" s="17" t="s">
        <v>4364</v>
      </c>
      <c r="C1337" s="17" t="s">
        <v>11</v>
      </c>
      <c r="D1337" s="17" t="s">
        <v>12</v>
      </c>
      <c r="E1337" s="17" t="s">
        <v>13</v>
      </c>
      <c r="F1337" s="16" t="s">
        <v>4365</v>
      </c>
    </row>
    <row r="1338" spans="1:6" x14ac:dyDescent="0.25">
      <c r="A1338" s="16" t="s">
        <v>4366</v>
      </c>
      <c r="B1338" s="17" t="s">
        <v>4367</v>
      </c>
      <c r="C1338" s="17" t="s">
        <v>11</v>
      </c>
      <c r="D1338" s="17" t="s">
        <v>570</v>
      </c>
      <c r="E1338" s="17" t="s">
        <v>20</v>
      </c>
      <c r="F1338" s="16" t="s">
        <v>4368</v>
      </c>
    </row>
    <row r="1339" spans="1:6" x14ac:dyDescent="0.25">
      <c r="A1339" s="16" t="s">
        <v>4369</v>
      </c>
      <c r="B1339" s="17" t="s">
        <v>4370</v>
      </c>
      <c r="C1339" s="17" t="s">
        <v>11</v>
      </c>
      <c r="D1339" s="17" t="s">
        <v>89</v>
      </c>
      <c r="E1339" s="17" t="s">
        <v>20</v>
      </c>
      <c r="F1339" s="16" t="s">
        <v>4371</v>
      </c>
    </row>
    <row r="1340" spans="1:6" x14ac:dyDescent="0.25">
      <c r="A1340" s="16" t="s">
        <v>4372</v>
      </c>
      <c r="B1340" s="17" t="s">
        <v>4373</v>
      </c>
      <c r="C1340" s="17" t="s">
        <v>1235</v>
      </c>
      <c r="D1340" s="17" t="s">
        <v>4374</v>
      </c>
      <c r="E1340" s="17" t="s">
        <v>1237</v>
      </c>
      <c r="F1340" s="16" t="s">
        <v>4375</v>
      </c>
    </row>
    <row r="1341" spans="1:6" x14ac:dyDescent="0.25">
      <c r="A1341" s="16" t="s">
        <v>4376</v>
      </c>
      <c r="B1341" s="17" t="s">
        <v>4377</v>
      </c>
      <c r="C1341" s="17" t="s">
        <v>11</v>
      </c>
      <c r="D1341" s="17" t="s">
        <v>32</v>
      </c>
      <c r="E1341" s="17" t="s">
        <v>20</v>
      </c>
      <c r="F1341" s="16" t="s">
        <v>4378</v>
      </c>
    </row>
    <row r="1342" spans="1:6" x14ac:dyDescent="0.25">
      <c r="A1342" s="16" t="s">
        <v>4379</v>
      </c>
      <c r="B1342" s="17" t="s">
        <v>4380</v>
      </c>
      <c r="C1342" s="17" t="s">
        <v>11</v>
      </c>
      <c r="D1342" s="17" t="s">
        <v>1766</v>
      </c>
      <c r="E1342" s="17" t="s">
        <v>13</v>
      </c>
      <c r="F1342" s="16" t="s">
        <v>4381</v>
      </c>
    </row>
    <row r="1343" spans="1:6" x14ac:dyDescent="0.25">
      <c r="A1343" s="16" t="s">
        <v>4382</v>
      </c>
      <c r="B1343" s="17" t="s">
        <v>4383</v>
      </c>
      <c r="C1343" s="17" t="s">
        <v>1235</v>
      </c>
      <c r="D1343" s="17" t="s">
        <v>3377</v>
      </c>
      <c r="E1343" s="17" t="s">
        <v>1237</v>
      </c>
      <c r="F1343" s="16" t="s">
        <v>4384</v>
      </c>
    </row>
    <row r="1344" spans="1:6" x14ac:dyDescent="0.25">
      <c r="A1344" s="16" t="s">
        <v>4385</v>
      </c>
      <c r="B1344" s="17" t="s">
        <v>4386</v>
      </c>
      <c r="C1344" s="17" t="s">
        <v>11</v>
      </c>
      <c r="D1344" s="17" t="s">
        <v>19</v>
      </c>
      <c r="E1344" s="17" t="s">
        <v>20</v>
      </c>
      <c r="F1344" s="16" t="s">
        <v>4387</v>
      </c>
    </row>
    <row r="1345" spans="1:6" x14ac:dyDescent="0.25">
      <c r="A1345" s="16" t="s">
        <v>4388</v>
      </c>
      <c r="B1345" s="17" t="s">
        <v>4389</v>
      </c>
      <c r="C1345" s="17" t="s">
        <v>11</v>
      </c>
      <c r="D1345" s="17" t="s">
        <v>291</v>
      </c>
      <c r="E1345" s="17" t="s">
        <v>20</v>
      </c>
      <c r="F1345" s="16" t="s">
        <v>4390</v>
      </c>
    </row>
    <row r="1346" spans="1:6" x14ac:dyDescent="0.25">
      <c r="A1346" s="16" t="s">
        <v>4391</v>
      </c>
      <c r="B1346" s="17" t="s">
        <v>4392</v>
      </c>
      <c r="C1346" s="17" t="s">
        <v>11</v>
      </c>
      <c r="D1346" s="17" t="s">
        <v>80</v>
      </c>
      <c r="E1346" s="17" t="s">
        <v>20</v>
      </c>
      <c r="F1346" s="16" t="s">
        <v>4393</v>
      </c>
    </row>
    <row r="1347" spans="1:6" x14ac:dyDescent="0.25">
      <c r="A1347" s="16" t="s">
        <v>4394</v>
      </c>
      <c r="B1347" s="17" t="s">
        <v>4395</v>
      </c>
      <c r="C1347" s="17" t="s">
        <v>11</v>
      </c>
      <c r="D1347" s="17" t="s">
        <v>83</v>
      </c>
      <c r="E1347" s="17" t="s">
        <v>20</v>
      </c>
      <c r="F1347" s="16" t="s">
        <v>4396</v>
      </c>
    </row>
    <row r="1348" spans="1:6" x14ac:dyDescent="0.25">
      <c r="A1348" s="16" t="s">
        <v>4397</v>
      </c>
      <c r="B1348" s="17" t="s">
        <v>4398</v>
      </c>
      <c r="C1348" s="17" t="s">
        <v>11</v>
      </c>
      <c r="D1348" s="17" t="s">
        <v>250</v>
      </c>
      <c r="E1348" s="17" t="s">
        <v>20</v>
      </c>
      <c r="F1348" s="16" t="s">
        <v>4399</v>
      </c>
    </row>
    <row r="1349" spans="1:6" x14ac:dyDescent="0.25">
      <c r="A1349" s="16" t="s">
        <v>4400</v>
      </c>
      <c r="B1349" s="17" t="s">
        <v>4401</v>
      </c>
      <c r="C1349" s="17" t="s">
        <v>11</v>
      </c>
      <c r="D1349" s="17" t="s">
        <v>83</v>
      </c>
      <c r="E1349" s="17" t="s">
        <v>20</v>
      </c>
      <c r="F1349" s="16" t="s">
        <v>4402</v>
      </c>
    </row>
    <row r="1350" spans="1:6" x14ac:dyDescent="0.25">
      <c r="A1350" s="16" t="s">
        <v>4403</v>
      </c>
      <c r="B1350" s="17" t="s">
        <v>4404</v>
      </c>
      <c r="C1350" s="17" t="s">
        <v>11</v>
      </c>
      <c r="D1350" s="17" t="s">
        <v>83</v>
      </c>
      <c r="E1350" s="17" t="s">
        <v>20</v>
      </c>
      <c r="F1350" s="16" t="s">
        <v>4405</v>
      </c>
    </row>
    <row r="1351" spans="1:6" x14ac:dyDescent="0.25">
      <c r="A1351" s="16" t="s">
        <v>4406</v>
      </c>
      <c r="B1351" s="17" t="s">
        <v>4407</v>
      </c>
      <c r="C1351" s="17" t="s">
        <v>11</v>
      </c>
      <c r="D1351" s="17" t="s">
        <v>12</v>
      </c>
      <c r="E1351" s="17" t="s">
        <v>13</v>
      </c>
      <c r="F1351" s="16" t="s">
        <v>4408</v>
      </c>
    </row>
    <row r="1352" spans="1:6" x14ac:dyDescent="0.25">
      <c r="A1352" s="16" t="s">
        <v>4409</v>
      </c>
      <c r="B1352" s="17" t="s">
        <v>4410</v>
      </c>
      <c r="C1352" s="17" t="s">
        <v>11</v>
      </c>
      <c r="D1352" s="17" t="s">
        <v>26</v>
      </c>
      <c r="E1352" s="17" t="s">
        <v>20</v>
      </c>
      <c r="F1352" s="16" t="s">
        <v>4411</v>
      </c>
    </row>
    <row r="1353" spans="1:6" x14ac:dyDescent="0.25">
      <c r="A1353" s="16" t="s">
        <v>4412</v>
      </c>
      <c r="B1353" s="17" t="s">
        <v>4413</v>
      </c>
      <c r="C1353" s="17" t="s">
        <v>11</v>
      </c>
      <c r="D1353" s="17" t="s">
        <v>12</v>
      </c>
      <c r="E1353" s="17" t="s">
        <v>13</v>
      </c>
      <c r="F1353" s="16" t="s">
        <v>4414</v>
      </c>
    </row>
    <row r="1354" spans="1:6" x14ac:dyDescent="0.25">
      <c r="A1354" s="16" t="s">
        <v>4415</v>
      </c>
      <c r="B1354" s="17" t="s">
        <v>4416</v>
      </c>
      <c r="C1354" s="17" t="s">
        <v>11</v>
      </c>
      <c r="D1354" s="17" t="s">
        <v>233</v>
      </c>
      <c r="E1354" s="17" t="s">
        <v>20</v>
      </c>
      <c r="F1354" s="16" t="s">
        <v>4417</v>
      </c>
    </row>
    <row r="1355" spans="1:6" x14ac:dyDescent="0.25">
      <c r="A1355" s="16" t="s">
        <v>4418</v>
      </c>
      <c r="B1355" s="17" t="s">
        <v>4419</v>
      </c>
      <c r="C1355" s="17" t="s">
        <v>11</v>
      </c>
      <c r="D1355" s="17" t="s">
        <v>89</v>
      </c>
      <c r="E1355" s="17" t="s">
        <v>20</v>
      </c>
      <c r="F1355" s="16" t="s">
        <v>4420</v>
      </c>
    </row>
    <row r="1356" spans="1:6" x14ac:dyDescent="0.25">
      <c r="A1356" s="16" t="s">
        <v>4421</v>
      </c>
      <c r="B1356" s="17" t="s">
        <v>4422</v>
      </c>
      <c r="C1356" s="17" t="s">
        <v>11</v>
      </c>
      <c r="D1356" s="17" t="s">
        <v>83</v>
      </c>
      <c r="E1356" s="17" t="s">
        <v>20</v>
      </c>
      <c r="F1356" s="16" t="s">
        <v>4423</v>
      </c>
    </row>
    <row r="1357" spans="1:6" x14ac:dyDescent="0.25">
      <c r="A1357" s="16" t="s">
        <v>4424</v>
      </c>
      <c r="B1357" s="17" t="s">
        <v>4425</v>
      </c>
      <c r="C1357" s="17" t="s">
        <v>11</v>
      </c>
      <c r="D1357" s="17" t="s">
        <v>19</v>
      </c>
      <c r="E1357" s="17" t="s">
        <v>20</v>
      </c>
      <c r="F1357" s="16" t="s">
        <v>4426</v>
      </c>
    </row>
    <row r="1358" spans="1:6" x14ac:dyDescent="0.25">
      <c r="A1358" s="16" t="s">
        <v>4427</v>
      </c>
      <c r="B1358" s="17" t="s">
        <v>4428</v>
      </c>
      <c r="C1358" s="17" t="s">
        <v>11</v>
      </c>
      <c r="D1358" s="17" t="s">
        <v>74</v>
      </c>
      <c r="E1358" s="17" t="s">
        <v>20</v>
      </c>
      <c r="F1358" s="16" t="s">
        <v>4429</v>
      </c>
    </row>
    <row r="1359" spans="1:6" x14ac:dyDescent="0.25">
      <c r="A1359" s="16" t="s">
        <v>4430</v>
      </c>
      <c r="B1359" s="17" t="s">
        <v>4431</v>
      </c>
      <c r="C1359" s="17" t="s">
        <v>11</v>
      </c>
      <c r="D1359" s="17" t="s">
        <v>83</v>
      </c>
      <c r="E1359" s="17" t="s">
        <v>20</v>
      </c>
      <c r="F1359" s="16" t="s">
        <v>4432</v>
      </c>
    </row>
    <row r="1360" spans="1:6" x14ac:dyDescent="0.25">
      <c r="A1360" s="16" t="s">
        <v>4433</v>
      </c>
      <c r="B1360" s="17" t="s">
        <v>4434</v>
      </c>
      <c r="C1360" s="17" t="s">
        <v>11</v>
      </c>
      <c r="D1360" s="17" t="s">
        <v>32</v>
      </c>
      <c r="E1360" s="17" t="s">
        <v>20</v>
      </c>
      <c r="F1360" s="16" t="s">
        <v>4435</v>
      </c>
    </row>
    <row r="1361" spans="1:6" x14ac:dyDescent="0.25">
      <c r="A1361" s="16" t="s">
        <v>4436</v>
      </c>
      <c r="B1361" s="17" t="s">
        <v>4437</v>
      </c>
      <c r="C1361" s="17" t="s">
        <v>11</v>
      </c>
      <c r="D1361" s="17" t="s">
        <v>670</v>
      </c>
      <c r="E1361" s="17" t="s">
        <v>20</v>
      </c>
      <c r="F1361" s="16" t="s">
        <v>4438</v>
      </c>
    </row>
    <row r="1362" spans="1:6" x14ac:dyDescent="0.25">
      <c r="A1362" s="16" t="s">
        <v>4439</v>
      </c>
      <c r="B1362" s="17" t="s">
        <v>4440</v>
      </c>
      <c r="C1362" s="17" t="s">
        <v>11</v>
      </c>
      <c r="D1362" s="17" t="s">
        <v>148</v>
      </c>
      <c r="E1362" s="17" t="s">
        <v>20</v>
      </c>
      <c r="F1362" s="16" t="s">
        <v>4441</v>
      </c>
    </row>
    <row r="1363" spans="1:6" x14ac:dyDescent="0.25">
      <c r="A1363" s="16" t="s">
        <v>4442</v>
      </c>
      <c r="B1363" s="17" t="s">
        <v>4443</v>
      </c>
      <c r="C1363" s="17" t="s">
        <v>1235</v>
      </c>
      <c r="D1363" s="17" t="s">
        <v>4374</v>
      </c>
      <c r="E1363" s="17" t="s">
        <v>1237</v>
      </c>
      <c r="F1363" s="16" t="s">
        <v>4444</v>
      </c>
    </row>
    <row r="1364" spans="1:6" x14ac:dyDescent="0.25">
      <c r="A1364" s="16" t="s">
        <v>4445</v>
      </c>
      <c r="B1364" s="17" t="s">
        <v>4446</v>
      </c>
      <c r="C1364" s="17" t="s">
        <v>11</v>
      </c>
      <c r="D1364" s="17" t="s">
        <v>32</v>
      </c>
      <c r="E1364" s="17" t="s">
        <v>20</v>
      </c>
      <c r="F1364" s="16" t="s">
        <v>4447</v>
      </c>
    </row>
    <row r="1365" spans="1:6" x14ac:dyDescent="0.25">
      <c r="A1365" s="16" t="s">
        <v>4448</v>
      </c>
      <c r="B1365" s="17" t="s">
        <v>4449</v>
      </c>
      <c r="C1365" s="17" t="s">
        <v>11</v>
      </c>
      <c r="D1365" s="17" t="s">
        <v>291</v>
      </c>
      <c r="E1365" s="17" t="s">
        <v>20</v>
      </c>
      <c r="F1365" s="16" t="s">
        <v>4450</v>
      </c>
    </row>
    <row r="1366" spans="1:6" x14ac:dyDescent="0.25">
      <c r="A1366" s="16" t="s">
        <v>4451</v>
      </c>
      <c r="B1366" s="17" t="s">
        <v>4452</v>
      </c>
      <c r="C1366" s="17" t="s">
        <v>11</v>
      </c>
      <c r="D1366" s="17" t="s">
        <v>570</v>
      </c>
      <c r="E1366" s="17" t="s">
        <v>20</v>
      </c>
      <c r="F1366" s="16" t="s">
        <v>4453</v>
      </c>
    </row>
    <row r="1367" spans="1:6" x14ac:dyDescent="0.25">
      <c r="A1367" s="16" t="s">
        <v>4454</v>
      </c>
      <c r="B1367" s="17" t="s">
        <v>4455</v>
      </c>
      <c r="C1367" s="17" t="s">
        <v>11</v>
      </c>
      <c r="D1367" s="17" t="s">
        <v>32</v>
      </c>
      <c r="E1367" s="17" t="s">
        <v>20</v>
      </c>
      <c r="F1367" s="16" t="s">
        <v>4456</v>
      </c>
    </row>
    <row r="1368" spans="1:6" x14ac:dyDescent="0.25">
      <c r="A1368" s="16" t="s">
        <v>4457</v>
      </c>
      <c r="B1368" s="17" t="s">
        <v>4458</v>
      </c>
      <c r="C1368" s="17" t="s">
        <v>11</v>
      </c>
      <c r="D1368" s="17" t="s">
        <v>570</v>
      </c>
      <c r="E1368" s="17" t="s">
        <v>20</v>
      </c>
      <c r="F1368" s="16" t="s">
        <v>4459</v>
      </c>
    </row>
    <row r="1369" spans="1:6" x14ac:dyDescent="0.25">
      <c r="A1369" s="16" t="s">
        <v>4460</v>
      </c>
      <c r="B1369" s="17" t="s">
        <v>4461</v>
      </c>
      <c r="C1369" s="17" t="s">
        <v>11</v>
      </c>
      <c r="D1369" s="17" t="s">
        <v>32</v>
      </c>
      <c r="E1369" s="17" t="s">
        <v>20</v>
      </c>
      <c r="F1369" s="16" t="s">
        <v>4462</v>
      </c>
    </row>
    <row r="1370" spans="1:6" x14ac:dyDescent="0.25">
      <c r="A1370" s="16" t="s">
        <v>4463</v>
      </c>
      <c r="B1370" s="17" t="s">
        <v>4464</v>
      </c>
      <c r="C1370" s="17" t="s">
        <v>11</v>
      </c>
      <c r="D1370" s="17" t="s">
        <v>32</v>
      </c>
      <c r="E1370" s="17" t="s">
        <v>20</v>
      </c>
      <c r="F1370" s="16" t="s">
        <v>4465</v>
      </c>
    </row>
    <row r="1371" spans="1:6" x14ac:dyDescent="0.25">
      <c r="A1371" s="16" t="s">
        <v>4466</v>
      </c>
      <c r="B1371" s="17" t="s">
        <v>4467</v>
      </c>
      <c r="C1371" s="17" t="s">
        <v>11</v>
      </c>
      <c r="D1371" s="17" t="s">
        <v>32</v>
      </c>
      <c r="E1371" s="17" t="s">
        <v>20</v>
      </c>
      <c r="F1371" s="16" t="s">
        <v>4468</v>
      </c>
    </row>
    <row r="1372" spans="1:6" x14ac:dyDescent="0.25">
      <c r="A1372" s="16" t="s">
        <v>4469</v>
      </c>
      <c r="B1372" s="17" t="s">
        <v>4470</v>
      </c>
      <c r="C1372" s="17" t="s">
        <v>11</v>
      </c>
      <c r="D1372" s="17" t="s">
        <v>26</v>
      </c>
      <c r="E1372" s="17" t="s">
        <v>20</v>
      </c>
      <c r="F1372" s="16" t="s">
        <v>4471</v>
      </c>
    </row>
    <row r="1373" spans="1:6" x14ac:dyDescent="0.25">
      <c r="A1373" s="16" t="s">
        <v>4472</v>
      </c>
      <c r="B1373" s="17" t="s">
        <v>4473</v>
      </c>
      <c r="C1373" s="17" t="s">
        <v>11</v>
      </c>
      <c r="D1373" s="17" t="s">
        <v>83</v>
      </c>
      <c r="E1373" s="17" t="s">
        <v>20</v>
      </c>
      <c r="F1373" s="16" t="s">
        <v>4474</v>
      </c>
    </row>
    <row r="1374" spans="1:6" x14ac:dyDescent="0.25">
      <c r="A1374" s="16" t="s">
        <v>4475</v>
      </c>
      <c r="B1374" s="17" t="s">
        <v>4476</v>
      </c>
      <c r="C1374" s="17" t="s">
        <v>11</v>
      </c>
      <c r="D1374" s="17" t="s">
        <v>74</v>
      </c>
      <c r="E1374" s="17" t="s">
        <v>20</v>
      </c>
      <c r="F1374" s="16" t="s">
        <v>4477</v>
      </c>
    </row>
    <row r="1375" spans="1:6" x14ac:dyDescent="0.25">
      <c r="A1375" s="16" t="s">
        <v>4478</v>
      </c>
      <c r="B1375" s="17" t="s">
        <v>4479</v>
      </c>
      <c r="C1375" s="17" t="s">
        <v>11</v>
      </c>
      <c r="D1375" s="17" t="s">
        <v>83</v>
      </c>
      <c r="E1375" s="17" t="s">
        <v>20</v>
      </c>
      <c r="F1375" s="16" t="s">
        <v>4480</v>
      </c>
    </row>
    <row r="1376" spans="1:6" x14ac:dyDescent="0.25">
      <c r="A1376" s="16" t="s">
        <v>4481</v>
      </c>
      <c r="B1376" s="17" t="s">
        <v>4482</v>
      </c>
      <c r="C1376" s="17" t="s">
        <v>11</v>
      </c>
      <c r="D1376" s="17" t="s">
        <v>32</v>
      </c>
      <c r="E1376" s="17" t="s">
        <v>20</v>
      </c>
      <c r="F1376" s="16" t="s">
        <v>4483</v>
      </c>
    </row>
    <row r="1377" spans="1:6" x14ac:dyDescent="0.25">
      <c r="A1377" s="16" t="s">
        <v>4484</v>
      </c>
      <c r="B1377" s="17" t="s">
        <v>4485</v>
      </c>
      <c r="C1377" s="17" t="s">
        <v>11</v>
      </c>
      <c r="D1377" s="17" t="s">
        <v>32</v>
      </c>
      <c r="E1377" s="17" t="s">
        <v>20</v>
      </c>
      <c r="F1377" s="16" t="s">
        <v>4486</v>
      </c>
    </row>
    <row r="1378" spans="1:6" x14ac:dyDescent="0.25">
      <c r="A1378" s="16" t="s">
        <v>4487</v>
      </c>
      <c r="B1378" s="17" t="s">
        <v>4488</v>
      </c>
      <c r="C1378" s="17" t="s">
        <v>11</v>
      </c>
      <c r="D1378" s="17" t="s">
        <v>80</v>
      </c>
      <c r="E1378" s="17" t="s">
        <v>20</v>
      </c>
      <c r="F1378" s="16" t="s">
        <v>4489</v>
      </c>
    </row>
    <row r="1379" spans="1:6" x14ac:dyDescent="0.25">
      <c r="A1379" s="16" t="s">
        <v>4490</v>
      </c>
      <c r="B1379" s="17" t="s">
        <v>4491</v>
      </c>
      <c r="C1379" s="17" t="s">
        <v>11</v>
      </c>
      <c r="D1379" s="17" t="s">
        <v>80</v>
      </c>
      <c r="E1379" s="17" t="s">
        <v>20</v>
      </c>
      <c r="F1379" s="16" t="s">
        <v>4492</v>
      </c>
    </row>
    <row r="1380" spans="1:6" x14ac:dyDescent="0.25">
      <c r="A1380" s="16" t="s">
        <v>4493</v>
      </c>
      <c r="B1380" s="17" t="s">
        <v>4494</v>
      </c>
      <c r="C1380" s="17" t="s">
        <v>11</v>
      </c>
      <c r="D1380" s="17" t="s">
        <v>32</v>
      </c>
      <c r="E1380" s="17" t="s">
        <v>20</v>
      </c>
      <c r="F1380" s="16" t="s">
        <v>4495</v>
      </c>
    </row>
    <row r="1381" spans="1:6" x14ac:dyDescent="0.25">
      <c r="A1381" s="16" t="s">
        <v>4496</v>
      </c>
      <c r="B1381" s="17" t="s">
        <v>4497</v>
      </c>
      <c r="C1381" s="17" t="s">
        <v>11</v>
      </c>
      <c r="D1381" s="17" t="s">
        <v>182</v>
      </c>
      <c r="E1381" s="17" t="s">
        <v>20</v>
      </c>
      <c r="F1381" s="16" t="s">
        <v>4498</v>
      </c>
    </row>
    <row r="1382" spans="1:6" x14ac:dyDescent="0.25">
      <c r="A1382" s="16" t="s">
        <v>4499</v>
      </c>
      <c r="B1382" s="17" t="s">
        <v>4500</v>
      </c>
      <c r="C1382" s="17" t="s">
        <v>11</v>
      </c>
      <c r="D1382" s="17" t="s">
        <v>32</v>
      </c>
      <c r="E1382" s="17" t="s">
        <v>20</v>
      </c>
      <c r="F1382" s="16" t="s">
        <v>4501</v>
      </c>
    </row>
    <row r="1383" spans="1:6" x14ac:dyDescent="0.25">
      <c r="A1383" s="16" t="s">
        <v>4502</v>
      </c>
      <c r="B1383" s="17" t="s">
        <v>4503</v>
      </c>
      <c r="C1383" s="17" t="s">
        <v>11</v>
      </c>
      <c r="D1383" s="17" t="s">
        <v>148</v>
      </c>
      <c r="E1383" s="17" t="s">
        <v>20</v>
      </c>
      <c r="F1383" s="16" t="s">
        <v>4504</v>
      </c>
    </row>
    <row r="1384" spans="1:6" x14ac:dyDescent="0.25">
      <c r="A1384" s="16" t="s">
        <v>4505</v>
      </c>
      <c r="B1384" s="17" t="s">
        <v>4506</v>
      </c>
      <c r="C1384" s="17" t="s">
        <v>11</v>
      </c>
      <c r="D1384" s="17" t="s">
        <v>89</v>
      </c>
      <c r="E1384" s="17" t="s">
        <v>20</v>
      </c>
      <c r="F1384" s="16" t="s">
        <v>4507</v>
      </c>
    </row>
    <row r="1385" spans="1:6" x14ac:dyDescent="0.25">
      <c r="A1385" s="16" t="s">
        <v>4508</v>
      </c>
      <c r="B1385" s="17" t="s">
        <v>4509</v>
      </c>
      <c r="C1385" s="17" t="s">
        <v>11</v>
      </c>
      <c r="D1385" s="17" t="s">
        <v>670</v>
      </c>
      <c r="E1385" s="17" t="s">
        <v>20</v>
      </c>
      <c r="F1385" s="16" t="s">
        <v>4510</v>
      </c>
    </row>
    <row r="1386" spans="1:6" x14ac:dyDescent="0.25">
      <c r="A1386" s="16" t="s">
        <v>4511</v>
      </c>
      <c r="B1386" s="17" t="s">
        <v>4512</v>
      </c>
      <c r="C1386" s="17" t="s">
        <v>11</v>
      </c>
      <c r="D1386" s="17" t="s">
        <v>26</v>
      </c>
      <c r="E1386" s="17" t="s">
        <v>20</v>
      </c>
      <c r="F1386" s="16" t="s">
        <v>4513</v>
      </c>
    </row>
    <row r="1387" spans="1:6" x14ac:dyDescent="0.25">
      <c r="A1387" s="16" t="s">
        <v>4514</v>
      </c>
      <c r="B1387" s="17" t="s">
        <v>4515</v>
      </c>
      <c r="C1387" s="17" t="s">
        <v>11</v>
      </c>
      <c r="D1387" s="17" t="s">
        <v>26</v>
      </c>
      <c r="E1387" s="17" t="s">
        <v>20</v>
      </c>
      <c r="F1387" s="16" t="s">
        <v>4516</v>
      </c>
    </row>
    <row r="1388" spans="1:6" x14ac:dyDescent="0.25">
      <c r="A1388" s="16" t="s">
        <v>4517</v>
      </c>
      <c r="B1388" s="17" t="s">
        <v>4518</v>
      </c>
      <c r="C1388" s="17" t="s">
        <v>11</v>
      </c>
      <c r="D1388" s="17" t="s">
        <v>811</v>
      </c>
      <c r="E1388" s="17" t="s">
        <v>20</v>
      </c>
      <c r="F1388" s="16" t="s">
        <v>4519</v>
      </c>
    </row>
    <row r="1389" spans="1:6" x14ac:dyDescent="0.25">
      <c r="A1389" s="16" t="s">
        <v>4520</v>
      </c>
      <c r="B1389" s="17" t="s">
        <v>4521</v>
      </c>
      <c r="C1389" s="17" t="s">
        <v>11</v>
      </c>
      <c r="D1389" s="17" t="s">
        <v>32</v>
      </c>
      <c r="E1389" s="17" t="s">
        <v>20</v>
      </c>
      <c r="F1389" s="16" t="s">
        <v>4522</v>
      </c>
    </row>
    <row r="1390" spans="1:6" x14ac:dyDescent="0.25">
      <c r="A1390" s="16" t="s">
        <v>4523</v>
      </c>
      <c r="B1390" s="17" t="s">
        <v>4524</v>
      </c>
      <c r="C1390" s="17" t="s">
        <v>11</v>
      </c>
      <c r="D1390" s="17" t="s">
        <v>32</v>
      </c>
      <c r="E1390" s="17" t="s">
        <v>20</v>
      </c>
      <c r="F1390" s="16" t="s">
        <v>4525</v>
      </c>
    </row>
    <row r="1391" spans="1:6" x14ac:dyDescent="0.25">
      <c r="A1391" s="16" t="s">
        <v>4526</v>
      </c>
      <c r="B1391" s="17" t="s">
        <v>4527</v>
      </c>
      <c r="C1391" s="17" t="s">
        <v>11</v>
      </c>
      <c r="D1391" s="17" t="s">
        <v>26</v>
      </c>
      <c r="E1391" s="17" t="s">
        <v>20</v>
      </c>
      <c r="F1391" s="16" t="s">
        <v>4528</v>
      </c>
    </row>
    <row r="1392" spans="1:6" x14ac:dyDescent="0.25">
      <c r="A1392" s="16" t="s">
        <v>4529</v>
      </c>
      <c r="B1392" s="17" t="s">
        <v>4530</v>
      </c>
      <c r="C1392" s="17" t="s">
        <v>11</v>
      </c>
      <c r="D1392" s="17" t="s">
        <v>80</v>
      </c>
      <c r="E1392" s="17" t="s">
        <v>20</v>
      </c>
      <c r="F1392" s="16" t="s">
        <v>4531</v>
      </c>
    </row>
    <row r="1393" spans="1:6" x14ac:dyDescent="0.25">
      <c r="A1393" s="16" t="s">
        <v>4532</v>
      </c>
      <c r="B1393" s="17" t="s">
        <v>4533</v>
      </c>
      <c r="C1393" s="17" t="s">
        <v>11</v>
      </c>
      <c r="D1393" s="17" t="s">
        <v>32</v>
      </c>
      <c r="E1393" s="17" t="s">
        <v>20</v>
      </c>
      <c r="F1393" s="16" t="s">
        <v>4534</v>
      </c>
    </row>
    <row r="1394" spans="1:6" x14ac:dyDescent="0.25">
      <c r="A1394" s="16" t="s">
        <v>4535</v>
      </c>
      <c r="B1394" s="17" t="s">
        <v>4536</v>
      </c>
      <c r="C1394" s="17" t="s">
        <v>11</v>
      </c>
      <c r="D1394" s="17" t="s">
        <v>649</v>
      </c>
      <c r="E1394" s="17" t="s">
        <v>20</v>
      </c>
      <c r="F1394" s="16" t="s">
        <v>4537</v>
      </c>
    </row>
    <row r="1395" spans="1:6" x14ac:dyDescent="0.25">
      <c r="A1395" s="16" t="s">
        <v>4538</v>
      </c>
      <c r="B1395" s="17" t="s">
        <v>4539</v>
      </c>
      <c r="C1395" s="17" t="s">
        <v>11</v>
      </c>
      <c r="D1395" s="17" t="s">
        <v>570</v>
      </c>
      <c r="E1395" s="17" t="s">
        <v>20</v>
      </c>
      <c r="F1395" s="16" t="s">
        <v>4540</v>
      </c>
    </row>
    <row r="1396" spans="1:6" x14ac:dyDescent="0.25">
      <c r="A1396" s="16" t="s">
        <v>4541</v>
      </c>
      <c r="B1396" s="17" t="s">
        <v>4542</v>
      </c>
      <c r="C1396" s="17" t="s">
        <v>11</v>
      </c>
      <c r="D1396" s="17" t="s">
        <v>576</v>
      </c>
      <c r="E1396" s="17" t="s">
        <v>20</v>
      </c>
      <c r="F1396" s="16" t="s">
        <v>4543</v>
      </c>
    </row>
    <row r="1397" spans="1:6" x14ac:dyDescent="0.25">
      <c r="A1397" s="16" t="s">
        <v>4544</v>
      </c>
      <c r="B1397" s="17" t="s">
        <v>4545</v>
      </c>
      <c r="C1397" s="17" t="s">
        <v>11</v>
      </c>
      <c r="D1397" s="17" t="s">
        <v>12</v>
      </c>
      <c r="E1397" s="17" t="s">
        <v>13</v>
      </c>
      <c r="F1397" s="16" t="s">
        <v>4546</v>
      </c>
    </row>
    <row r="1398" spans="1:6" x14ac:dyDescent="0.25">
      <c r="A1398" s="16" t="s">
        <v>4547</v>
      </c>
      <c r="B1398" s="17" t="s">
        <v>4548</v>
      </c>
      <c r="C1398" s="17" t="s">
        <v>11</v>
      </c>
      <c r="D1398" s="17" t="s">
        <v>83</v>
      </c>
      <c r="E1398" s="17" t="s">
        <v>20</v>
      </c>
      <c r="F1398" s="16" t="s">
        <v>4549</v>
      </c>
    </row>
    <row r="1399" spans="1:6" x14ac:dyDescent="0.25">
      <c r="A1399" s="16" t="s">
        <v>4550</v>
      </c>
      <c r="B1399" s="17" t="s">
        <v>4551</v>
      </c>
      <c r="C1399" s="17" t="s">
        <v>11</v>
      </c>
      <c r="D1399" s="17" t="s">
        <v>186</v>
      </c>
      <c r="E1399" s="17" t="s">
        <v>20</v>
      </c>
      <c r="F1399" s="16" t="s">
        <v>4552</v>
      </c>
    </row>
    <row r="1400" spans="1:6" x14ac:dyDescent="0.25">
      <c r="A1400" s="16" t="s">
        <v>4553</v>
      </c>
      <c r="B1400" s="17" t="s">
        <v>4554</v>
      </c>
      <c r="C1400" s="17" t="s">
        <v>11</v>
      </c>
      <c r="D1400" s="17" t="s">
        <v>12</v>
      </c>
      <c r="E1400" s="17" t="s">
        <v>13</v>
      </c>
      <c r="F1400" s="16" t="s">
        <v>4555</v>
      </c>
    </row>
    <row r="1401" spans="1:6" x14ac:dyDescent="0.25">
      <c r="A1401" s="16" t="s">
        <v>4556</v>
      </c>
      <c r="B1401" s="17" t="s">
        <v>4557</v>
      </c>
      <c r="C1401" s="17" t="s">
        <v>11</v>
      </c>
      <c r="D1401" s="17" t="s">
        <v>12</v>
      </c>
      <c r="E1401" s="17" t="s">
        <v>13</v>
      </c>
      <c r="F1401" s="16" t="s">
        <v>4558</v>
      </c>
    </row>
    <row r="1402" spans="1:6" x14ac:dyDescent="0.25">
      <c r="A1402" s="16" t="s">
        <v>4559</v>
      </c>
      <c r="B1402" s="17" t="s">
        <v>4560</v>
      </c>
      <c r="C1402" s="17" t="s">
        <v>11</v>
      </c>
      <c r="D1402" s="17" t="s">
        <v>59</v>
      </c>
      <c r="E1402" s="17" t="s">
        <v>13</v>
      </c>
      <c r="F1402" s="16" t="s">
        <v>4561</v>
      </c>
    </row>
    <row r="1403" spans="1:6" x14ac:dyDescent="0.25">
      <c r="A1403" s="16" t="s">
        <v>4562</v>
      </c>
      <c r="B1403" s="17" t="s">
        <v>4563</v>
      </c>
      <c r="C1403" s="17" t="s">
        <v>11</v>
      </c>
      <c r="D1403" s="17" t="s">
        <v>12</v>
      </c>
      <c r="E1403" s="17" t="s">
        <v>13</v>
      </c>
      <c r="F1403" s="16" t="s">
        <v>4564</v>
      </c>
    </row>
    <row r="1404" spans="1:6" x14ac:dyDescent="0.25">
      <c r="A1404" s="16" t="s">
        <v>4565</v>
      </c>
      <c r="B1404" s="17" t="s">
        <v>4566</v>
      </c>
      <c r="C1404" s="17" t="s">
        <v>11</v>
      </c>
      <c r="D1404" s="17" t="s">
        <v>12</v>
      </c>
      <c r="E1404" s="17" t="s">
        <v>13</v>
      </c>
      <c r="F1404" s="16" t="s">
        <v>4567</v>
      </c>
    </row>
    <row r="1405" spans="1:6" x14ac:dyDescent="0.25">
      <c r="A1405" s="16" t="s">
        <v>4568</v>
      </c>
      <c r="B1405" s="17" t="s">
        <v>4569</v>
      </c>
      <c r="C1405" s="17" t="s">
        <v>11</v>
      </c>
      <c r="D1405" s="17" t="s">
        <v>12</v>
      </c>
      <c r="E1405" s="17" t="s">
        <v>13</v>
      </c>
      <c r="F1405" s="16" t="s">
        <v>4570</v>
      </c>
    </row>
    <row r="1406" spans="1:6" x14ac:dyDescent="0.25">
      <c r="A1406" s="16" t="s">
        <v>4571</v>
      </c>
      <c r="B1406" s="17" t="s">
        <v>4572</v>
      </c>
      <c r="C1406" s="17" t="s">
        <v>11</v>
      </c>
      <c r="D1406" s="17" t="s">
        <v>12</v>
      </c>
      <c r="E1406" s="17" t="s">
        <v>13</v>
      </c>
      <c r="F1406" s="16" t="s">
        <v>4573</v>
      </c>
    </row>
    <row r="1407" spans="1:6" x14ac:dyDescent="0.25">
      <c r="A1407" s="16" t="s">
        <v>4574</v>
      </c>
      <c r="B1407" s="17" t="s">
        <v>4575</v>
      </c>
      <c r="C1407" s="17" t="s">
        <v>11</v>
      </c>
      <c r="D1407" s="17" t="s">
        <v>12</v>
      </c>
      <c r="E1407" s="17" t="s">
        <v>13</v>
      </c>
      <c r="F1407" s="16" t="s">
        <v>4576</v>
      </c>
    </row>
    <row r="1408" spans="1:6" x14ac:dyDescent="0.25">
      <c r="A1408" s="16" t="s">
        <v>4577</v>
      </c>
      <c r="B1408" s="17" t="s">
        <v>4578</v>
      </c>
      <c r="C1408" s="17" t="s">
        <v>11</v>
      </c>
      <c r="D1408" s="17" t="s">
        <v>83</v>
      </c>
      <c r="E1408" s="17" t="s">
        <v>20</v>
      </c>
      <c r="F1408" s="16" t="s">
        <v>4579</v>
      </c>
    </row>
    <row r="1409" spans="1:6" x14ac:dyDescent="0.25">
      <c r="A1409" s="16" t="s">
        <v>4580</v>
      </c>
      <c r="B1409" s="17" t="s">
        <v>4581</v>
      </c>
      <c r="C1409" s="17" t="s">
        <v>11</v>
      </c>
      <c r="D1409" s="17" t="s">
        <v>649</v>
      </c>
      <c r="E1409" s="17" t="s">
        <v>20</v>
      </c>
      <c r="F1409" s="16" t="s">
        <v>4582</v>
      </c>
    </row>
    <row r="1410" spans="1:6" x14ac:dyDescent="0.25">
      <c r="A1410" s="16" t="s">
        <v>4583</v>
      </c>
      <c r="B1410" s="17" t="s">
        <v>4584</v>
      </c>
      <c r="C1410" s="17" t="s">
        <v>11</v>
      </c>
      <c r="D1410" s="17" t="s">
        <v>12</v>
      </c>
      <c r="E1410" s="17" t="s">
        <v>13</v>
      </c>
      <c r="F1410" s="16" t="s">
        <v>4585</v>
      </c>
    </row>
    <row r="1411" spans="1:6" x14ac:dyDescent="0.25">
      <c r="A1411" s="16" t="s">
        <v>4586</v>
      </c>
      <c r="B1411" s="17" t="s">
        <v>4587</v>
      </c>
      <c r="C1411" s="17" t="s">
        <v>11</v>
      </c>
      <c r="D1411" s="17" t="s">
        <v>12</v>
      </c>
      <c r="E1411" s="17" t="s">
        <v>13</v>
      </c>
      <c r="F1411" s="16" t="s">
        <v>4588</v>
      </c>
    </row>
    <row r="1412" spans="1:6" x14ac:dyDescent="0.25">
      <c r="A1412" s="16" t="s">
        <v>4589</v>
      </c>
      <c r="B1412" s="17" t="s">
        <v>4590</v>
      </c>
      <c r="C1412" s="17" t="s">
        <v>11</v>
      </c>
      <c r="D1412" s="17" t="s">
        <v>12</v>
      </c>
      <c r="E1412" s="17" t="s">
        <v>13</v>
      </c>
      <c r="F1412" s="16" t="s">
        <v>4591</v>
      </c>
    </row>
    <row r="1413" spans="1:6" x14ac:dyDescent="0.25">
      <c r="A1413" s="16" t="s">
        <v>4592</v>
      </c>
      <c r="B1413" s="17" t="s">
        <v>4593</v>
      </c>
      <c r="C1413" s="17" t="s">
        <v>11</v>
      </c>
      <c r="D1413" s="17" t="s">
        <v>26</v>
      </c>
      <c r="E1413" s="17" t="s">
        <v>20</v>
      </c>
      <c r="F1413" s="16" t="s">
        <v>4594</v>
      </c>
    </row>
    <row r="1414" spans="1:6" x14ac:dyDescent="0.25">
      <c r="A1414" s="16" t="s">
        <v>4595</v>
      </c>
      <c r="B1414" s="17" t="s">
        <v>4596</v>
      </c>
      <c r="C1414" s="17" t="s">
        <v>11</v>
      </c>
      <c r="D1414" s="17" t="s">
        <v>32</v>
      </c>
      <c r="E1414" s="17" t="s">
        <v>20</v>
      </c>
      <c r="F1414" s="16" t="s">
        <v>4597</v>
      </c>
    </row>
    <row r="1415" spans="1:6" x14ac:dyDescent="0.25">
      <c r="A1415" s="16" t="s">
        <v>4598</v>
      </c>
      <c r="B1415" s="17" t="s">
        <v>4599</v>
      </c>
      <c r="C1415" s="17" t="s">
        <v>11</v>
      </c>
      <c r="D1415" s="17" t="s">
        <v>12</v>
      </c>
      <c r="E1415" s="17" t="s">
        <v>13</v>
      </c>
      <c r="F1415" s="16" t="s">
        <v>4600</v>
      </c>
    </row>
    <row r="1416" spans="1:6" x14ac:dyDescent="0.25">
      <c r="A1416" s="16" t="s">
        <v>4601</v>
      </c>
      <c r="B1416" s="17" t="s">
        <v>4602</v>
      </c>
      <c r="C1416" s="17" t="s">
        <v>11</v>
      </c>
      <c r="D1416" s="17" t="s">
        <v>32</v>
      </c>
      <c r="E1416" s="17" t="s">
        <v>20</v>
      </c>
      <c r="F1416" s="16" t="s">
        <v>4603</v>
      </c>
    </row>
    <row r="1417" spans="1:6" x14ac:dyDescent="0.25">
      <c r="A1417" s="16" t="s">
        <v>4604</v>
      </c>
      <c r="B1417" s="17" t="s">
        <v>4605</v>
      </c>
      <c r="C1417" s="17" t="s">
        <v>11</v>
      </c>
      <c r="D1417" s="17" t="s">
        <v>59</v>
      </c>
      <c r="E1417" s="17" t="s">
        <v>13</v>
      </c>
      <c r="F1417" s="16" t="s">
        <v>4606</v>
      </c>
    </row>
    <row r="1418" spans="1:6" x14ac:dyDescent="0.25">
      <c r="A1418" s="16" t="s">
        <v>4607</v>
      </c>
      <c r="B1418" s="17" t="s">
        <v>4608</v>
      </c>
      <c r="C1418" s="17" t="s">
        <v>11</v>
      </c>
      <c r="D1418" s="17" t="s">
        <v>80</v>
      </c>
      <c r="E1418" s="17" t="s">
        <v>20</v>
      </c>
      <c r="F1418" s="16" t="s">
        <v>4609</v>
      </c>
    </row>
    <row r="1419" spans="1:6" x14ac:dyDescent="0.25">
      <c r="A1419" s="16" t="s">
        <v>4610</v>
      </c>
      <c r="B1419" s="17" t="s">
        <v>4611</v>
      </c>
      <c r="C1419" s="17" t="s">
        <v>11</v>
      </c>
      <c r="D1419" s="17" t="s">
        <v>182</v>
      </c>
      <c r="E1419" s="17" t="s">
        <v>20</v>
      </c>
      <c r="F1419" s="16" t="s">
        <v>4612</v>
      </c>
    </row>
    <row r="1420" spans="1:6" x14ac:dyDescent="0.25">
      <c r="A1420" s="16" t="s">
        <v>4613</v>
      </c>
      <c r="B1420" s="17" t="s">
        <v>4614</v>
      </c>
      <c r="C1420" s="17" t="s">
        <v>11</v>
      </c>
      <c r="D1420" s="17" t="s">
        <v>32</v>
      </c>
      <c r="E1420" s="17" t="s">
        <v>20</v>
      </c>
      <c r="F1420" s="16" t="s">
        <v>4615</v>
      </c>
    </row>
    <row r="1421" spans="1:6" x14ac:dyDescent="0.25">
      <c r="A1421" s="16" t="s">
        <v>4616</v>
      </c>
      <c r="B1421" s="17" t="s">
        <v>4617</v>
      </c>
      <c r="C1421" s="17" t="s">
        <v>11</v>
      </c>
      <c r="D1421" s="17" t="s">
        <v>83</v>
      </c>
      <c r="E1421" s="17" t="s">
        <v>20</v>
      </c>
      <c r="F1421" s="16" t="s">
        <v>4618</v>
      </c>
    </row>
    <row r="1422" spans="1:6" x14ac:dyDescent="0.25">
      <c r="A1422" s="16" t="s">
        <v>4619</v>
      </c>
      <c r="B1422" s="17" t="s">
        <v>4620</v>
      </c>
      <c r="C1422" s="17" t="s">
        <v>11</v>
      </c>
      <c r="D1422" s="17" t="s">
        <v>80</v>
      </c>
      <c r="E1422" s="17" t="s">
        <v>20</v>
      </c>
      <c r="F1422" s="16" t="s">
        <v>4621</v>
      </c>
    </row>
    <row r="1423" spans="1:6" x14ac:dyDescent="0.25">
      <c r="A1423" s="16" t="s">
        <v>4622</v>
      </c>
      <c r="B1423" s="17" t="s">
        <v>4623</v>
      </c>
      <c r="C1423" s="17" t="s">
        <v>11</v>
      </c>
      <c r="D1423" s="17" t="s">
        <v>182</v>
      </c>
      <c r="E1423" s="17" t="s">
        <v>20</v>
      </c>
      <c r="F1423" s="16" t="s">
        <v>4624</v>
      </c>
    </row>
    <row r="1424" spans="1:6" x14ac:dyDescent="0.25">
      <c r="A1424" s="16" t="s">
        <v>4625</v>
      </c>
      <c r="B1424" s="17" t="s">
        <v>4626</v>
      </c>
      <c r="C1424" s="17" t="s">
        <v>11</v>
      </c>
      <c r="D1424" s="17" t="s">
        <v>32</v>
      </c>
      <c r="E1424" s="17" t="s">
        <v>20</v>
      </c>
      <c r="F1424" s="16" t="s">
        <v>4627</v>
      </c>
    </row>
    <row r="1425" spans="1:6" x14ac:dyDescent="0.25">
      <c r="A1425" s="16" t="s">
        <v>4628</v>
      </c>
      <c r="B1425" s="17" t="s">
        <v>4629</v>
      </c>
      <c r="C1425" s="17" t="s">
        <v>11</v>
      </c>
      <c r="D1425" s="17" t="s">
        <v>12</v>
      </c>
      <c r="E1425" s="17" t="s">
        <v>13</v>
      </c>
      <c r="F1425" s="16" t="s">
        <v>4630</v>
      </c>
    </row>
    <row r="1426" spans="1:6" x14ac:dyDescent="0.25">
      <c r="A1426" s="16" t="s">
        <v>4631</v>
      </c>
      <c r="B1426" s="17" t="s">
        <v>4632</v>
      </c>
      <c r="C1426" s="17" t="s">
        <v>11</v>
      </c>
      <c r="D1426" s="17" t="s">
        <v>811</v>
      </c>
      <c r="E1426" s="17" t="s">
        <v>20</v>
      </c>
      <c r="F1426" s="16" t="s">
        <v>4633</v>
      </c>
    </row>
    <row r="1427" spans="1:6" x14ac:dyDescent="0.25">
      <c r="A1427" s="16" t="s">
        <v>4634</v>
      </c>
      <c r="B1427" s="17" t="s">
        <v>4635</v>
      </c>
      <c r="C1427" s="17" t="s">
        <v>11</v>
      </c>
      <c r="D1427" s="17" t="s">
        <v>12</v>
      </c>
      <c r="E1427" s="17" t="s">
        <v>13</v>
      </c>
      <c r="F1427" s="16" t="s">
        <v>4636</v>
      </c>
    </row>
    <row r="1428" spans="1:6" x14ac:dyDescent="0.25">
      <c r="A1428" s="16" t="s">
        <v>4637</v>
      </c>
      <c r="B1428" s="17" t="s">
        <v>4638</v>
      </c>
      <c r="C1428" s="17" t="s">
        <v>11</v>
      </c>
      <c r="D1428" s="17" t="s">
        <v>12</v>
      </c>
      <c r="E1428" s="17" t="s">
        <v>13</v>
      </c>
      <c r="F1428" s="16" t="s">
        <v>4639</v>
      </c>
    </row>
    <row r="1429" spans="1:6" x14ac:dyDescent="0.25">
      <c r="A1429" s="16" t="s">
        <v>4640</v>
      </c>
      <c r="B1429" s="17" t="s">
        <v>4641</v>
      </c>
      <c r="C1429" s="17" t="s">
        <v>11</v>
      </c>
      <c r="D1429" s="17" t="s">
        <v>74</v>
      </c>
      <c r="E1429" s="17" t="s">
        <v>20</v>
      </c>
      <c r="F1429" s="16" t="s">
        <v>4642</v>
      </c>
    </row>
    <row r="1430" spans="1:6" x14ac:dyDescent="0.25">
      <c r="A1430" s="16" t="s">
        <v>4643</v>
      </c>
      <c r="B1430" s="17" t="s">
        <v>4644</v>
      </c>
      <c r="C1430" s="17" t="s">
        <v>11</v>
      </c>
      <c r="D1430" s="17" t="s">
        <v>182</v>
      </c>
      <c r="E1430" s="17" t="s">
        <v>20</v>
      </c>
      <c r="F1430" s="16" t="s">
        <v>4645</v>
      </c>
    </row>
    <row r="1431" spans="1:6" x14ac:dyDescent="0.25">
      <c r="A1431" s="16" t="s">
        <v>4646</v>
      </c>
      <c r="B1431" s="17" t="s">
        <v>4647</v>
      </c>
      <c r="C1431" s="17" t="s">
        <v>11</v>
      </c>
      <c r="D1431" s="17" t="s">
        <v>68</v>
      </c>
      <c r="E1431" s="17" t="s">
        <v>20</v>
      </c>
      <c r="F1431" s="16" t="s">
        <v>4648</v>
      </c>
    </row>
    <row r="1432" spans="1:6" x14ac:dyDescent="0.25">
      <c r="A1432" s="16" t="s">
        <v>4649</v>
      </c>
      <c r="B1432" s="17" t="s">
        <v>4650</v>
      </c>
      <c r="C1432" s="17" t="s">
        <v>11</v>
      </c>
      <c r="D1432" s="17" t="s">
        <v>12</v>
      </c>
      <c r="E1432" s="17" t="s">
        <v>13</v>
      </c>
      <c r="F1432" s="16" t="s">
        <v>4651</v>
      </c>
    </row>
    <row r="1433" spans="1:6" x14ac:dyDescent="0.25">
      <c r="A1433" s="16" t="s">
        <v>4652</v>
      </c>
      <c r="B1433" s="17" t="s">
        <v>4653</v>
      </c>
      <c r="C1433" s="17" t="s">
        <v>11</v>
      </c>
      <c r="D1433" s="17" t="s">
        <v>26</v>
      </c>
      <c r="E1433" s="17" t="s">
        <v>20</v>
      </c>
      <c r="F1433" s="16" t="s">
        <v>4654</v>
      </c>
    </row>
    <row r="1434" spans="1:6" x14ac:dyDescent="0.25">
      <c r="A1434" s="16" t="s">
        <v>4655</v>
      </c>
      <c r="B1434" s="17" t="s">
        <v>4656</v>
      </c>
      <c r="C1434" s="17" t="s">
        <v>11</v>
      </c>
      <c r="D1434" s="17" t="s">
        <v>186</v>
      </c>
      <c r="E1434" s="17" t="s">
        <v>20</v>
      </c>
      <c r="F1434" s="16" t="s">
        <v>4657</v>
      </c>
    </row>
    <row r="1435" spans="1:6" x14ac:dyDescent="0.25">
      <c r="A1435" s="16" t="s">
        <v>4658</v>
      </c>
      <c r="B1435" s="17" t="s">
        <v>4659</v>
      </c>
      <c r="C1435" s="17" t="s">
        <v>11</v>
      </c>
      <c r="D1435" s="17" t="s">
        <v>26</v>
      </c>
      <c r="E1435" s="17" t="s">
        <v>20</v>
      </c>
      <c r="F1435" s="16" t="s">
        <v>4660</v>
      </c>
    </row>
    <row r="1436" spans="1:6" x14ac:dyDescent="0.25">
      <c r="A1436" s="16" t="s">
        <v>4661</v>
      </c>
      <c r="B1436" s="17" t="s">
        <v>4662</v>
      </c>
      <c r="C1436" s="17" t="s">
        <v>11</v>
      </c>
      <c r="D1436" s="17" t="s">
        <v>74</v>
      </c>
      <c r="E1436" s="17" t="s">
        <v>20</v>
      </c>
      <c r="F1436" s="16" t="s">
        <v>4663</v>
      </c>
    </row>
    <row r="1437" spans="1:6" x14ac:dyDescent="0.25">
      <c r="A1437" s="16" t="s">
        <v>4664</v>
      </c>
      <c r="B1437" s="17" t="s">
        <v>4665</v>
      </c>
      <c r="C1437" s="17" t="s">
        <v>11</v>
      </c>
      <c r="D1437" s="17" t="s">
        <v>182</v>
      </c>
      <c r="E1437" s="17" t="s">
        <v>20</v>
      </c>
      <c r="F1437" s="16" t="s">
        <v>4666</v>
      </c>
    </row>
    <row r="1438" spans="1:6" x14ac:dyDescent="0.25">
      <c r="A1438" s="16" t="s">
        <v>4667</v>
      </c>
      <c r="B1438" s="17" t="s">
        <v>4668</v>
      </c>
      <c r="C1438" s="17" t="s">
        <v>11</v>
      </c>
      <c r="D1438" s="17" t="s">
        <v>182</v>
      </c>
      <c r="E1438" s="17" t="s">
        <v>20</v>
      </c>
      <c r="F1438" s="16" t="s">
        <v>4669</v>
      </c>
    </row>
    <row r="1439" spans="1:6" x14ac:dyDescent="0.25">
      <c r="A1439" s="16" t="s">
        <v>4670</v>
      </c>
      <c r="B1439" s="17" t="s">
        <v>4671</v>
      </c>
      <c r="C1439" s="17" t="s">
        <v>11</v>
      </c>
      <c r="D1439" s="17" t="s">
        <v>12</v>
      </c>
      <c r="E1439" s="17" t="s">
        <v>13</v>
      </c>
      <c r="F1439" s="16" t="s">
        <v>4672</v>
      </c>
    </row>
    <row r="1440" spans="1:6" x14ac:dyDescent="0.25">
      <c r="A1440" s="16" t="s">
        <v>4673</v>
      </c>
      <c r="B1440" s="17" t="s">
        <v>4674</v>
      </c>
      <c r="C1440" s="17" t="s">
        <v>11</v>
      </c>
      <c r="D1440" s="17" t="s">
        <v>12</v>
      </c>
      <c r="E1440" s="17" t="s">
        <v>13</v>
      </c>
      <c r="F1440" s="16" t="s">
        <v>4675</v>
      </c>
    </row>
    <row r="1441" spans="1:6" x14ac:dyDescent="0.25">
      <c r="A1441" s="16" t="s">
        <v>4676</v>
      </c>
      <c r="B1441" s="17" t="s">
        <v>4677</v>
      </c>
      <c r="C1441" s="17" t="s">
        <v>11</v>
      </c>
      <c r="D1441" s="17" t="s">
        <v>12</v>
      </c>
      <c r="E1441" s="17" t="s">
        <v>13</v>
      </c>
      <c r="F1441" s="16" t="s">
        <v>4678</v>
      </c>
    </row>
    <row r="1442" spans="1:6" x14ac:dyDescent="0.25">
      <c r="A1442" s="16" t="s">
        <v>4679</v>
      </c>
      <c r="B1442" s="17" t="s">
        <v>4680</v>
      </c>
      <c r="C1442" s="17" t="s">
        <v>11</v>
      </c>
      <c r="D1442" s="17" t="s">
        <v>12</v>
      </c>
      <c r="E1442" s="17" t="s">
        <v>13</v>
      </c>
      <c r="F1442" s="16" t="s">
        <v>4681</v>
      </c>
    </row>
    <row r="1443" spans="1:6" x14ac:dyDescent="0.25">
      <c r="A1443" s="16" t="s">
        <v>4682</v>
      </c>
      <c r="B1443" s="17" t="s">
        <v>4683</v>
      </c>
      <c r="C1443" s="17" t="s">
        <v>11</v>
      </c>
      <c r="D1443" s="17" t="s">
        <v>186</v>
      </c>
      <c r="E1443" s="17" t="s">
        <v>20</v>
      </c>
      <c r="F1443" s="16" t="s">
        <v>4684</v>
      </c>
    </row>
    <row r="1444" spans="1:6" x14ac:dyDescent="0.25">
      <c r="A1444" s="16" t="s">
        <v>4685</v>
      </c>
      <c r="B1444" s="17" t="s">
        <v>4686</v>
      </c>
      <c r="C1444" s="17" t="s">
        <v>11</v>
      </c>
      <c r="D1444" s="17" t="s">
        <v>12</v>
      </c>
      <c r="E1444" s="17" t="s">
        <v>13</v>
      </c>
      <c r="F1444" s="16" t="s">
        <v>4687</v>
      </c>
    </row>
    <row r="1445" spans="1:6" x14ac:dyDescent="0.25">
      <c r="A1445" s="16" t="s">
        <v>4688</v>
      </c>
      <c r="B1445" s="17" t="s">
        <v>4689</v>
      </c>
      <c r="C1445" s="17" t="s">
        <v>11</v>
      </c>
      <c r="D1445" s="17" t="s">
        <v>12</v>
      </c>
      <c r="E1445" s="17" t="s">
        <v>13</v>
      </c>
      <c r="F1445" s="16" t="s">
        <v>4690</v>
      </c>
    </row>
    <row r="1446" spans="1:6" x14ac:dyDescent="0.25">
      <c r="A1446" s="16" t="s">
        <v>4691</v>
      </c>
      <c r="B1446" s="17" t="s">
        <v>4692</v>
      </c>
      <c r="C1446" s="17" t="s">
        <v>11</v>
      </c>
      <c r="D1446" s="17" t="s">
        <v>12</v>
      </c>
      <c r="E1446" s="17" t="s">
        <v>13</v>
      </c>
      <c r="F1446" s="16" t="s">
        <v>4693</v>
      </c>
    </row>
    <row r="1447" spans="1:6" x14ac:dyDescent="0.25">
      <c r="A1447" s="16" t="s">
        <v>4694</v>
      </c>
      <c r="B1447" s="17" t="s">
        <v>4695</v>
      </c>
      <c r="C1447" s="17" t="s">
        <v>11</v>
      </c>
      <c r="D1447" s="17" t="s">
        <v>12</v>
      </c>
      <c r="E1447" s="17" t="s">
        <v>13</v>
      </c>
      <c r="F1447" s="16" t="s">
        <v>4696</v>
      </c>
    </row>
    <row r="1448" spans="1:6" x14ac:dyDescent="0.25">
      <c r="A1448" s="16" t="s">
        <v>4697</v>
      </c>
      <c r="B1448" s="17" t="s">
        <v>4698</v>
      </c>
      <c r="C1448" s="17" t="s">
        <v>11</v>
      </c>
      <c r="D1448" s="17" t="s">
        <v>12</v>
      </c>
      <c r="E1448" s="17" t="s">
        <v>13</v>
      </c>
      <c r="F1448" s="16" t="s">
        <v>4699</v>
      </c>
    </row>
    <row r="1449" spans="1:6" x14ac:dyDescent="0.25">
      <c r="A1449" s="16" t="s">
        <v>4700</v>
      </c>
      <c r="B1449" s="17" t="s">
        <v>4701</v>
      </c>
      <c r="C1449" s="17" t="s">
        <v>11</v>
      </c>
      <c r="D1449" s="17" t="s">
        <v>12</v>
      </c>
      <c r="E1449" s="17" t="s">
        <v>13</v>
      </c>
      <c r="F1449" s="16" t="s">
        <v>4702</v>
      </c>
    </row>
    <row r="1450" spans="1:6" x14ac:dyDescent="0.25">
      <c r="A1450" s="16" t="s">
        <v>4703</v>
      </c>
      <c r="B1450" s="17" t="s">
        <v>4704</v>
      </c>
      <c r="C1450" s="17" t="s">
        <v>11</v>
      </c>
      <c r="D1450" s="17" t="s">
        <v>12</v>
      </c>
      <c r="E1450" s="17" t="s">
        <v>13</v>
      </c>
      <c r="F1450" s="16" t="s">
        <v>4705</v>
      </c>
    </row>
    <row r="1451" spans="1:6" x14ac:dyDescent="0.25">
      <c r="A1451" s="16" t="s">
        <v>4706</v>
      </c>
      <c r="B1451" s="17" t="s">
        <v>4707</v>
      </c>
      <c r="C1451" s="17" t="s">
        <v>11</v>
      </c>
      <c r="D1451" s="17" t="s">
        <v>12</v>
      </c>
      <c r="E1451" s="17" t="s">
        <v>13</v>
      </c>
      <c r="F1451" s="16" t="s">
        <v>4708</v>
      </c>
    </row>
    <row r="1452" spans="1:6" x14ac:dyDescent="0.25">
      <c r="A1452" s="16" t="s">
        <v>4709</v>
      </c>
      <c r="B1452" s="17" t="s">
        <v>4710</v>
      </c>
      <c r="C1452" s="17" t="s">
        <v>11</v>
      </c>
      <c r="D1452" s="17" t="s">
        <v>12</v>
      </c>
      <c r="E1452" s="17" t="s">
        <v>13</v>
      </c>
      <c r="F1452" s="16" t="s">
        <v>4711</v>
      </c>
    </row>
    <row r="1453" spans="1:6" x14ac:dyDescent="0.25">
      <c r="A1453" s="16" t="s">
        <v>4712</v>
      </c>
      <c r="B1453" s="17" t="s">
        <v>4713</v>
      </c>
      <c r="C1453" s="17" t="s">
        <v>11</v>
      </c>
      <c r="D1453" s="17" t="s">
        <v>32</v>
      </c>
      <c r="E1453" s="17" t="s">
        <v>20</v>
      </c>
      <c r="F1453" s="16" t="s">
        <v>4714</v>
      </c>
    </row>
    <row r="1454" spans="1:6" x14ac:dyDescent="0.25">
      <c r="A1454" s="16" t="s">
        <v>4715</v>
      </c>
      <c r="B1454" s="17" t="s">
        <v>4716</v>
      </c>
      <c r="C1454" s="17" t="s">
        <v>11</v>
      </c>
      <c r="D1454" s="17" t="s">
        <v>32</v>
      </c>
      <c r="E1454" s="17" t="s">
        <v>20</v>
      </c>
      <c r="F1454" s="16" t="s">
        <v>4717</v>
      </c>
    </row>
    <row r="1455" spans="1:6" x14ac:dyDescent="0.25">
      <c r="A1455" s="16" t="s">
        <v>4718</v>
      </c>
      <c r="B1455" s="17" t="s">
        <v>4719</v>
      </c>
      <c r="C1455" s="17" t="s">
        <v>11</v>
      </c>
      <c r="D1455" s="17" t="s">
        <v>83</v>
      </c>
      <c r="E1455" s="17" t="s">
        <v>20</v>
      </c>
      <c r="F1455" s="16" t="s">
        <v>4720</v>
      </c>
    </row>
    <row r="1456" spans="1:6" x14ac:dyDescent="0.25">
      <c r="A1456" s="16" t="s">
        <v>4721</v>
      </c>
      <c r="B1456" s="17" t="s">
        <v>4722</v>
      </c>
      <c r="C1456" s="17" t="s">
        <v>11</v>
      </c>
      <c r="D1456" s="17" t="s">
        <v>68</v>
      </c>
      <c r="E1456" s="17" t="s">
        <v>20</v>
      </c>
      <c r="F1456" s="16" t="s">
        <v>4723</v>
      </c>
    </row>
    <row r="1457" spans="1:6" x14ac:dyDescent="0.25">
      <c r="A1457" s="16" t="s">
        <v>4724</v>
      </c>
      <c r="B1457" s="17" t="s">
        <v>4725</v>
      </c>
      <c r="C1457" s="17" t="s">
        <v>11</v>
      </c>
      <c r="D1457" s="17" t="s">
        <v>12</v>
      </c>
      <c r="E1457" s="17" t="s">
        <v>13</v>
      </c>
      <c r="F1457" s="16" t="s">
        <v>4726</v>
      </c>
    </row>
    <row r="1458" spans="1:6" x14ac:dyDescent="0.25">
      <c r="A1458" s="16" t="s">
        <v>4727</v>
      </c>
      <c r="B1458" s="17" t="s">
        <v>4728</v>
      </c>
      <c r="C1458" s="17" t="s">
        <v>11</v>
      </c>
      <c r="D1458" s="17" t="s">
        <v>80</v>
      </c>
      <c r="E1458" s="17" t="s">
        <v>20</v>
      </c>
      <c r="F1458" s="16" t="s">
        <v>4729</v>
      </c>
    </row>
    <row r="1459" spans="1:6" x14ac:dyDescent="0.25">
      <c r="A1459" s="16" t="s">
        <v>4730</v>
      </c>
      <c r="B1459" s="17" t="s">
        <v>4731</v>
      </c>
      <c r="C1459" s="17" t="s">
        <v>11</v>
      </c>
      <c r="D1459" s="17" t="s">
        <v>80</v>
      </c>
      <c r="E1459" s="17" t="s">
        <v>20</v>
      </c>
      <c r="F1459" s="16" t="s">
        <v>4732</v>
      </c>
    </row>
    <row r="1460" spans="1:6" x14ac:dyDescent="0.25">
      <c r="A1460" s="16" t="s">
        <v>4733</v>
      </c>
      <c r="B1460" s="17" t="s">
        <v>4734</v>
      </c>
      <c r="C1460" s="17" t="s">
        <v>11</v>
      </c>
      <c r="D1460" s="17" t="s">
        <v>68</v>
      </c>
      <c r="E1460" s="17" t="s">
        <v>20</v>
      </c>
      <c r="F1460" s="16" t="s">
        <v>4735</v>
      </c>
    </row>
    <row r="1461" spans="1:6" x14ac:dyDescent="0.25">
      <c r="A1461" s="16" t="s">
        <v>4736</v>
      </c>
      <c r="B1461" s="17" t="s">
        <v>4737</v>
      </c>
      <c r="C1461" s="17" t="s">
        <v>11</v>
      </c>
      <c r="D1461" s="17" t="s">
        <v>32</v>
      </c>
      <c r="E1461" s="17" t="s">
        <v>20</v>
      </c>
      <c r="F1461" s="16" t="s">
        <v>4738</v>
      </c>
    </row>
    <row r="1462" spans="1:6" x14ac:dyDescent="0.25">
      <c r="A1462" s="16" t="s">
        <v>4739</v>
      </c>
      <c r="B1462" s="17" t="s">
        <v>4740</v>
      </c>
      <c r="C1462" s="17" t="s">
        <v>11</v>
      </c>
      <c r="D1462" s="17" t="s">
        <v>12</v>
      </c>
      <c r="E1462" s="17" t="s">
        <v>13</v>
      </c>
      <c r="F1462" s="16" t="s">
        <v>4741</v>
      </c>
    </row>
    <row r="1463" spans="1:6" x14ac:dyDescent="0.25">
      <c r="A1463" s="16" t="s">
        <v>4742</v>
      </c>
      <c r="B1463" s="17" t="s">
        <v>4743</v>
      </c>
      <c r="C1463" s="17" t="s">
        <v>11</v>
      </c>
      <c r="D1463" s="17" t="s">
        <v>32</v>
      </c>
      <c r="E1463" s="17" t="s">
        <v>20</v>
      </c>
      <c r="F1463" s="16" t="s">
        <v>4744</v>
      </c>
    </row>
    <row r="1464" spans="1:6" x14ac:dyDescent="0.25">
      <c r="A1464" s="16" t="s">
        <v>4745</v>
      </c>
      <c r="B1464" s="17" t="s">
        <v>4746</v>
      </c>
      <c r="C1464" s="17" t="s">
        <v>11</v>
      </c>
      <c r="D1464" s="17" t="s">
        <v>233</v>
      </c>
      <c r="E1464" s="17" t="s">
        <v>20</v>
      </c>
      <c r="F1464" s="16" t="s">
        <v>4747</v>
      </c>
    </row>
    <row r="1465" spans="1:6" x14ac:dyDescent="0.25">
      <c r="A1465" s="16" t="s">
        <v>4748</v>
      </c>
      <c r="B1465" s="17" t="s">
        <v>4749</v>
      </c>
      <c r="C1465" s="17" t="s">
        <v>11</v>
      </c>
      <c r="D1465" s="17" t="s">
        <v>32</v>
      </c>
      <c r="E1465" s="17" t="s">
        <v>20</v>
      </c>
      <c r="F1465" s="16" t="s">
        <v>4750</v>
      </c>
    </row>
    <row r="1466" spans="1:6" x14ac:dyDescent="0.25">
      <c r="A1466" s="16" t="s">
        <v>4751</v>
      </c>
      <c r="B1466" s="17" t="s">
        <v>4752</v>
      </c>
      <c r="C1466" s="17" t="s">
        <v>11</v>
      </c>
      <c r="D1466" s="17" t="s">
        <v>182</v>
      </c>
      <c r="E1466" s="17" t="s">
        <v>20</v>
      </c>
      <c r="F1466" s="16" t="s">
        <v>4753</v>
      </c>
    </row>
    <row r="1467" spans="1:6" x14ac:dyDescent="0.25">
      <c r="A1467" s="16" t="s">
        <v>4754</v>
      </c>
      <c r="B1467" s="17" t="s">
        <v>4755</v>
      </c>
      <c r="C1467" s="17" t="s">
        <v>11</v>
      </c>
      <c r="D1467" s="17" t="s">
        <v>32</v>
      </c>
      <c r="E1467" s="17" t="s">
        <v>20</v>
      </c>
      <c r="F1467" s="16" t="s">
        <v>4756</v>
      </c>
    </row>
    <row r="1468" spans="1:6" x14ac:dyDescent="0.25">
      <c r="A1468" s="16" t="s">
        <v>4757</v>
      </c>
      <c r="B1468" s="17" t="s">
        <v>4758</v>
      </c>
      <c r="C1468" s="17" t="s">
        <v>11</v>
      </c>
      <c r="D1468" s="17" t="s">
        <v>12</v>
      </c>
      <c r="E1468" s="17" t="s">
        <v>13</v>
      </c>
      <c r="F1468" s="16" t="s">
        <v>4759</v>
      </c>
    </row>
    <row r="1469" spans="1:6" x14ac:dyDescent="0.25">
      <c r="A1469" s="16" t="s">
        <v>4760</v>
      </c>
      <c r="B1469" s="17" t="s">
        <v>4761</v>
      </c>
      <c r="C1469" s="17" t="s">
        <v>11</v>
      </c>
      <c r="D1469" s="17" t="s">
        <v>12</v>
      </c>
      <c r="E1469" s="17" t="s">
        <v>13</v>
      </c>
      <c r="F1469" s="16" t="s">
        <v>4762</v>
      </c>
    </row>
    <row r="1470" spans="1:6" x14ac:dyDescent="0.25">
      <c r="A1470" s="16" t="s">
        <v>4763</v>
      </c>
      <c r="B1470" s="17" t="s">
        <v>4764</v>
      </c>
      <c r="C1470" s="17" t="s">
        <v>11</v>
      </c>
      <c r="D1470" s="17" t="s">
        <v>12</v>
      </c>
      <c r="E1470" s="17" t="s">
        <v>13</v>
      </c>
      <c r="F1470" s="16" t="s">
        <v>4765</v>
      </c>
    </row>
    <row r="1471" spans="1:6" x14ac:dyDescent="0.25">
      <c r="A1471" s="16" t="s">
        <v>4766</v>
      </c>
      <c r="B1471" s="17" t="s">
        <v>4767</v>
      </c>
      <c r="C1471" s="17" t="s">
        <v>11</v>
      </c>
      <c r="D1471" s="17" t="s">
        <v>182</v>
      </c>
      <c r="E1471" s="17" t="s">
        <v>20</v>
      </c>
      <c r="F1471" s="16" t="s">
        <v>4768</v>
      </c>
    </row>
    <row r="1472" spans="1:6" x14ac:dyDescent="0.25">
      <c r="A1472" s="16" t="s">
        <v>4769</v>
      </c>
      <c r="B1472" s="17" t="s">
        <v>4770</v>
      </c>
      <c r="C1472" s="17" t="s">
        <v>11</v>
      </c>
      <c r="D1472" s="17" t="s">
        <v>83</v>
      </c>
      <c r="E1472" s="17" t="s">
        <v>20</v>
      </c>
      <c r="F1472" s="16" t="s">
        <v>4771</v>
      </c>
    </row>
    <row r="1473" spans="1:6" x14ac:dyDescent="0.25">
      <c r="A1473" s="16" t="s">
        <v>4772</v>
      </c>
      <c r="B1473" s="17" t="s">
        <v>4773</v>
      </c>
      <c r="C1473" s="17" t="s">
        <v>11</v>
      </c>
      <c r="D1473" s="17" t="s">
        <v>68</v>
      </c>
      <c r="E1473" s="17" t="s">
        <v>20</v>
      </c>
      <c r="F1473" s="16" t="s">
        <v>4774</v>
      </c>
    </row>
    <row r="1474" spans="1:6" x14ac:dyDescent="0.25">
      <c r="A1474" s="16" t="s">
        <v>4775</v>
      </c>
      <c r="B1474" s="17" t="s">
        <v>4776</v>
      </c>
      <c r="C1474" s="17" t="s">
        <v>11</v>
      </c>
      <c r="D1474" s="17" t="s">
        <v>12</v>
      </c>
      <c r="E1474" s="17" t="s">
        <v>13</v>
      </c>
      <c r="F1474" s="16" t="s">
        <v>4777</v>
      </c>
    </row>
    <row r="1475" spans="1:6" x14ac:dyDescent="0.25">
      <c r="A1475" s="16" t="s">
        <v>4778</v>
      </c>
      <c r="B1475" s="17" t="s">
        <v>4779</v>
      </c>
      <c r="C1475" s="17" t="s">
        <v>11</v>
      </c>
      <c r="D1475" s="17" t="s">
        <v>12</v>
      </c>
      <c r="E1475" s="17" t="s">
        <v>13</v>
      </c>
      <c r="F1475" s="16" t="s">
        <v>4780</v>
      </c>
    </row>
    <row r="1476" spans="1:6" x14ac:dyDescent="0.25">
      <c r="A1476" s="16" t="s">
        <v>4781</v>
      </c>
      <c r="B1476" s="17" t="s">
        <v>4782</v>
      </c>
      <c r="C1476" s="17" t="s">
        <v>11</v>
      </c>
      <c r="D1476" s="17" t="s">
        <v>12</v>
      </c>
      <c r="E1476" s="17" t="s">
        <v>13</v>
      </c>
      <c r="F1476" s="16" t="s">
        <v>4783</v>
      </c>
    </row>
    <row r="1477" spans="1:6" x14ac:dyDescent="0.25">
      <c r="A1477" s="16" t="s">
        <v>4784</v>
      </c>
      <c r="B1477" s="17" t="s">
        <v>4785</v>
      </c>
      <c r="C1477" s="17" t="s">
        <v>11</v>
      </c>
      <c r="D1477" s="17" t="s">
        <v>12</v>
      </c>
      <c r="E1477" s="17" t="s">
        <v>13</v>
      </c>
      <c r="F1477" s="16" t="s">
        <v>4786</v>
      </c>
    </row>
    <row r="1478" spans="1:6" x14ac:dyDescent="0.25">
      <c r="A1478" s="16" t="s">
        <v>4787</v>
      </c>
      <c r="B1478" s="17" t="s">
        <v>4788</v>
      </c>
      <c r="C1478" s="17" t="s">
        <v>11</v>
      </c>
      <c r="D1478" s="17" t="s">
        <v>12</v>
      </c>
      <c r="E1478" s="17" t="s">
        <v>13</v>
      </c>
      <c r="F1478" s="16" t="s">
        <v>4789</v>
      </c>
    </row>
    <row r="1479" spans="1:6" x14ac:dyDescent="0.25">
      <c r="A1479" s="16" t="s">
        <v>4790</v>
      </c>
      <c r="B1479" s="17" t="s">
        <v>4791</v>
      </c>
      <c r="C1479" s="17" t="s">
        <v>11</v>
      </c>
      <c r="D1479" s="17" t="s">
        <v>12</v>
      </c>
      <c r="E1479" s="17" t="s">
        <v>13</v>
      </c>
      <c r="F1479" s="16" t="s">
        <v>4792</v>
      </c>
    </row>
    <row r="1480" spans="1:6" x14ac:dyDescent="0.25">
      <c r="A1480" s="16" t="s">
        <v>4793</v>
      </c>
      <c r="B1480" s="17" t="s">
        <v>4794</v>
      </c>
      <c r="C1480" s="17" t="s">
        <v>11</v>
      </c>
      <c r="D1480" s="17" t="s">
        <v>12</v>
      </c>
      <c r="E1480" s="17" t="s">
        <v>13</v>
      </c>
      <c r="F1480" s="16" t="s">
        <v>4795</v>
      </c>
    </row>
    <row r="1481" spans="1:6" x14ac:dyDescent="0.25">
      <c r="A1481" s="16" t="s">
        <v>4796</v>
      </c>
      <c r="B1481" s="17" t="s">
        <v>4797</v>
      </c>
      <c r="C1481" s="17" t="s">
        <v>11</v>
      </c>
      <c r="D1481" s="17" t="s">
        <v>12</v>
      </c>
      <c r="E1481" s="17" t="s">
        <v>13</v>
      </c>
      <c r="F1481" s="16" t="s">
        <v>4798</v>
      </c>
    </row>
    <row r="1482" spans="1:6" x14ac:dyDescent="0.25">
      <c r="A1482" s="16" t="s">
        <v>4799</v>
      </c>
      <c r="B1482" s="17" t="s">
        <v>4800</v>
      </c>
      <c r="C1482" s="17" t="s">
        <v>11</v>
      </c>
      <c r="D1482" s="17" t="s">
        <v>83</v>
      </c>
      <c r="E1482" s="17" t="s">
        <v>20</v>
      </c>
      <c r="F1482" s="16" t="s">
        <v>4801</v>
      </c>
    </row>
    <row r="1483" spans="1:6" x14ac:dyDescent="0.25">
      <c r="A1483" s="16" t="s">
        <v>4802</v>
      </c>
      <c r="B1483" s="17" t="s">
        <v>4803</v>
      </c>
      <c r="C1483" s="17" t="s">
        <v>11</v>
      </c>
      <c r="D1483" s="17" t="s">
        <v>12</v>
      </c>
      <c r="E1483" s="17" t="s">
        <v>13</v>
      </c>
      <c r="F1483" s="16" t="s">
        <v>4804</v>
      </c>
    </row>
    <row r="1484" spans="1:6" x14ac:dyDescent="0.25">
      <c r="A1484" s="16" t="s">
        <v>4805</v>
      </c>
      <c r="B1484" s="17" t="s">
        <v>4806</v>
      </c>
      <c r="C1484" s="17" t="s">
        <v>11</v>
      </c>
      <c r="D1484" s="17" t="s">
        <v>12</v>
      </c>
      <c r="E1484" s="17" t="s">
        <v>13</v>
      </c>
      <c r="F1484" s="16" t="s">
        <v>4807</v>
      </c>
    </row>
    <row r="1485" spans="1:6" x14ac:dyDescent="0.25">
      <c r="A1485" s="16" t="s">
        <v>4808</v>
      </c>
      <c r="B1485" s="17" t="s">
        <v>4809</v>
      </c>
      <c r="C1485" s="17" t="s">
        <v>11</v>
      </c>
      <c r="D1485" s="17" t="s">
        <v>649</v>
      </c>
      <c r="E1485" s="17" t="s">
        <v>20</v>
      </c>
      <c r="F1485" s="16" t="s">
        <v>4810</v>
      </c>
    </row>
    <row r="1486" spans="1:6" x14ac:dyDescent="0.25">
      <c r="A1486" s="16" t="s">
        <v>4811</v>
      </c>
      <c r="B1486" s="17" t="s">
        <v>4812</v>
      </c>
      <c r="C1486" s="17" t="s">
        <v>11</v>
      </c>
      <c r="D1486" s="17" t="s">
        <v>12</v>
      </c>
      <c r="E1486" s="17" t="s">
        <v>13</v>
      </c>
      <c r="F1486" s="16" t="s">
        <v>4813</v>
      </c>
    </row>
    <row r="1487" spans="1:6" x14ac:dyDescent="0.25">
      <c r="A1487" s="16" t="s">
        <v>4814</v>
      </c>
      <c r="B1487" s="17" t="s">
        <v>4815</v>
      </c>
      <c r="C1487" s="17" t="s">
        <v>11</v>
      </c>
      <c r="D1487" s="17" t="s">
        <v>12</v>
      </c>
      <c r="E1487" s="17" t="s">
        <v>13</v>
      </c>
      <c r="F1487" s="16" t="s">
        <v>4816</v>
      </c>
    </row>
    <row r="1488" spans="1:6" x14ac:dyDescent="0.25">
      <c r="A1488" s="16" t="s">
        <v>4817</v>
      </c>
      <c r="B1488" s="17" t="s">
        <v>4818</v>
      </c>
      <c r="C1488" s="17" t="s">
        <v>11</v>
      </c>
      <c r="D1488" s="17" t="s">
        <v>12</v>
      </c>
      <c r="E1488" s="17" t="s">
        <v>13</v>
      </c>
      <c r="F1488" s="16" t="s">
        <v>4819</v>
      </c>
    </row>
    <row r="1489" spans="1:6" x14ac:dyDescent="0.25">
      <c r="A1489" s="16" t="s">
        <v>4820</v>
      </c>
      <c r="B1489" s="17" t="s">
        <v>4821</v>
      </c>
      <c r="C1489" s="17" t="s">
        <v>11</v>
      </c>
      <c r="D1489" s="17" t="s">
        <v>12</v>
      </c>
      <c r="E1489" s="17" t="s">
        <v>13</v>
      </c>
      <c r="F1489" s="16" t="s">
        <v>4822</v>
      </c>
    </row>
    <row r="1490" spans="1:6" x14ac:dyDescent="0.25">
      <c r="A1490" s="16" t="s">
        <v>4823</v>
      </c>
      <c r="B1490" s="17" t="s">
        <v>4824</v>
      </c>
      <c r="C1490" s="17" t="s">
        <v>11</v>
      </c>
      <c r="D1490" s="17" t="s">
        <v>74</v>
      </c>
      <c r="E1490" s="17" t="s">
        <v>20</v>
      </c>
      <c r="F1490" s="16" t="s">
        <v>4825</v>
      </c>
    </row>
    <row r="1491" spans="1:6" x14ac:dyDescent="0.25">
      <c r="A1491" s="16" t="s">
        <v>4826</v>
      </c>
      <c r="B1491" s="17" t="s">
        <v>4827</v>
      </c>
      <c r="C1491" s="17" t="s">
        <v>11</v>
      </c>
      <c r="D1491" s="17" t="s">
        <v>12</v>
      </c>
      <c r="E1491" s="17" t="s">
        <v>13</v>
      </c>
      <c r="F1491" s="16" t="s">
        <v>4828</v>
      </c>
    </row>
    <row r="1492" spans="1:6" x14ac:dyDescent="0.25">
      <c r="A1492" s="16" t="s">
        <v>4829</v>
      </c>
      <c r="B1492" s="17" t="s">
        <v>4830</v>
      </c>
      <c r="C1492" s="17" t="s">
        <v>11</v>
      </c>
      <c r="D1492" s="17" t="s">
        <v>12</v>
      </c>
      <c r="E1492" s="17" t="s">
        <v>13</v>
      </c>
      <c r="F1492" s="16" t="s">
        <v>4831</v>
      </c>
    </row>
    <row r="1493" spans="1:6" x14ac:dyDescent="0.25">
      <c r="A1493" s="16" t="s">
        <v>4832</v>
      </c>
      <c r="B1493" s="17" t="s">
        <v>4833</v>
      </c>
      <c r="C1493" s="17" t="s">
        <v>11</v>
      </c>
      <c r="D1493" s="17" t="s">
        <v>12</v>
      </c>
      <c r="E1493" s="17" t="s">
        <v>13</v>
      </c>
      <c r="F1493" s="16" t="s">
        <v>4834</v>
      </c>
    </row>
    <row r="1494" spans="1:6" x14ac:dyDescent="0.25">
      <c r="A1494" s="16" t="s">
        <v>4835</v>
      </c>
      <c r="B1494" s="17" t="s">
        <v>4836</v>
      </c>
      <c r="C1494" s="17" t="s">
        <v>11</v>
      </c>
      <c r="D1494" s="17" t="s">
        <v>12</v>
      </c>
      <c r="E1494" s="17" t="s">
        <v>13</v>
      </c>
      <c r="F1494" s="16" t="s">
        <v>4837</v>
      </c>
    </row>
    <row r="1495" spans="1:6" x14ac:dyDescent="0.25">
      <c r="A1495" s="16" t="s">
        <v>4838</v>
      </c>
      <c r="B1495" s="17" t="s">
        <v>4839</v>
      </c>
      <c r="C1495" s="17" t="s">
        <v>11</v>
      </c>
      <c r="D1495" s="17" t="s">
        <v>12</v>
      </c>
      <c r="E1495" s="17" t="s">
        <v>13</v>
      </c>
      <c r="F1495" s="16" t="s">
        <v>4840</v>
      </c>
    </row>
    <row r="1496" spans="1:6" x14ac:dyDescent="0.25">
      <c r="A1496" s="16" t="s">
        <v>4841</v>
      </c>
      <c r="B1496" s="17" t="s">
        <v>4842</v>
      </c>
      <c r="C1496" s="17" t="s">
        <v>11</v>
      </c>
      <c r="D1496" s="17" t="s">
        <v>12</v>
      </c>
      <c r="E1496" s="17" t="s">
        <v>13</v>
      </c>
      <c r="F1496" s="16" t="s">
        <v>4843</v>
      </c>
    </row>
    <row r="1497" spans="1:6" x14ac:dyDescent="0.25">
      <c r="A1497" s="16" t="s">
        <v>4844</v>
      </c>
      <c r="B1497" s="17" t="s">
        <v>4845</v>
      </c>
      <c r="C1497" s="17" t="s">
        <v>11</v>
      </c>
      <c r="D1497" s="17" t="s">
        <v>12</v>
      </c>
      <c r="E1497" s="17" t="s">
        <v>13</v>
      </c>
      <c r="F1497" s="16" t="s">
        <v>4846</v>
      </c>
    </row>
    <row r="1498" spans="1:6" x14ac:dyDescent="0.25">
      <c r="A1498" s="16" t="s">
        <v>4847</v>
      </c>
      <c r="B1498" s="17" t="s">
        <v>4848</v>
      </c>
      <c r="C1498" s="17" t="s">
        <v>11</v>
      </c>
      <c r="D1498" s="17" t="s">
        <v>12</v>
      </c>
      <c r="E1498" s="17" t="s">
        <v>13</v>
      </c>
      <c r="F1498" s="16" t="s">
        <v>4849</v>
      </c>
    </row>
    <row r="1499" spans="1:6" x14ac:dyDescent="0.25">
      <c r="A1499" s="16" t="s">
        <v>4850</v>
      </c>
      <c r="B1499" s="17" t="s">
        <v>4851</v>
      </c>
      <c r="C1499" s="17" t="s">
        <v>11</v>
      </c>
      <c r="D1499" s="17" t="s">
        <v>12</v>
      </c>
      <c r="E1499" s="17" t="s">
        <v>13</v>
      </c>
      <c r="F1499" s="16" t="s">
        <v>4852</v>
      </c>
    </row>
    <row r="1500" spans="1:6" x14ac:dyDescent="0.25">
      <c r="A1500" s="16" t="s">
        <v>4853</v>
      </c>
      <c r="B1500" s="17" t="s">
        <v>4854</v>
      </c>
      <c r="C1500" s="17" t="s">
        <v>11</v>
      </c>
      <c r="D1500" s="17" t="s">
        <v>12</v>
      </c>
      <c r="E1500" s="17" t="s">
        <v>13</v>
      </c>
      <c r="F1500" s="16" t="s">
        <v>4855</v>
      </c>
    </row>
    <row r="1501" spans="1:6" x14ac:dyDescent="0.25">
      <c r="A1501" s="16" t="s">
        <v>4856</v>
      </c>
      <c r="B1501" s="17" t="s">
        <v>4857</v>
      </c>
      <c r="C1501" s="17" t="s">
        <v>11</v>
      </c>
      <c r="D1501" s="17" t="s">
        <v>12</v>
      </c>
      <c r="E1501" s="17" t="s">
        <v>13</v>
      </c>
      <c r="F1501" s="16" t="s">
        <v>4858</v>
      </c>
    </row>
    <row r="1502" spans="1:6" x14ac:dyDescent="0.25">
      <c r="A1502" s="16" t="s">
        <v>4859</v>
      </c>
      <c r="B1502" s="17" t="s">
        <v>4860</v>
      </c>
      <c r="C1502" s="17" t="s">
        <v>11</v>
      </c>
      <c r="D1502" s="17" t="s">
        <v>12</v>
      </c>
      <c r="E1502" s="17" t="s">
        <v>13</v>
      </c>
      <c r="F1502" s="16" t="s">
        <v>4861</v>
      </c>
    </row>
    <row r="1503" spans="1:6" x14ac:dyDescent="0.25">
      <c r="A1503" s="16" t="s">
        <v>4862</v>
      </c>
      <c r="B1503" s="17" t="s">
        <v>4863</v>
      </c>
      <c r="C1503" s="17" t="s">
        <v>11</v>
      </c>
      <c r="D1503" s="17" t="s">
        <v>12</v>
      </c>
      <c r="E1503" s="17" t="s">
        <v>13</v>
      </c>
      <c r="F1503" s="16" t="s">
        <v>4864</v>
      </c>
    </row>
    <row r="1504" spans="1:6" x14ac:dyDescent="0.25">
      <c r="A1504" s="16" t="s">
        <v>4865</v>
      </c>
      <c r="B1504" s="17" t="s">
        <v>4866</v>
      </c>
      <c r="C1504" s="17" t="s">
        <v>11</v>
      </c>
      <c r="D1504" s="17" t="s">
        <v>12</v>
      </c>
      <c r="E1504" s="17" t="s">
        <v>13</v>
      </c>
      <c r="F1504" s="16" t="s">
        <v>4867</v>
      </c>
    </row>
    <row r="1505" spans="1:6" x14ac:dyDescent="0.25">
      <c r="A1505" s="16" t="s">
        <v>4868</v>
      </c>
      <c r="B1505" s="17" t="s">
        <v>4869</v>
      </c>
      <c r="C1505" s="17" t="s">
        <v>11</v>
      </c>
      <c r="D1505" s="17" t="s">
        <v>12</v>
      </c>
      <c r="E1505" s="17" t="s">
        <v>13</v>
      </c>
      <c r="F1505" s="16" t="s">
        <v>4870</v>
      </c>
    </row>
    <row r="1506" spans="1:6" x14ac:dyDescent="0.25">
      <c r="A1506" s="16" t="s">
        <v>4871</v>
      </c>
      <c r="B1506" s="17" t="s">
        <v>4872</v>
      </c>
      <c r="C1506" s="17" t="s">
        <v>11</v>
      </c>
      <c r="D1506" s="17" t="s">
        <v>12</v>
      </c>
      <c r="E1506" s="17" t="s">
        <v>13</v>
      </c>
      <c r="F1506" s="16" t="s">
        <v>4873</v>
      </c>
    </row>
    <row r="1507" spans="1:6" x14ac:dyDescent="0.25">
      <c r="A1507" s="16" t="s">
        <v>4874</v>
      </c>
      <c r="B1507" s="17" t="s">
        <v>4875</v>
      </c>
      <c r="C1507" s="17" t="s">
        <v>11</v>
      </c>
      <c r="D1507" s="17" t="s">
        <v>12</v>
      </c>
      <c r="E1507" s="17" t="s">
        <v>13</v>
      </c>
      <c r="F1507" s="16" t="s">
        <v>4876</v>
      </c>
    </row>
    <row r="1508" spans="1:6" x14ac:dyDescent="0.25">
      <c r="A1508" s="16" t="s">
        <v>4877</v>
      </c>
      <c r="B1508" s="17" t="s">
        <v>4878</v>
      </c>
      <c r="C1508" s="17" t="s">
        <v>11</v>
      </c>
      <c r="D1508" s="17" t="s">
        <v>12</v>
      </c>
      <c r="E1508" s="17" t="s">
        <v>13</v>
      </c>
      <c r="F1508" s="16" t="s">
        <v>4879</v>
      </c>
    </row>
    <row r="1509" spans="1:6" x14ac:dyDescent="0.25">
      <c r="A1509" s="16" t="s">
        <v>4880</v>
      </c>
      <c r="B1509" s="17" t="s">
        <v>4881</v>
      </c>
      <c r="C1509" s="17" t="s">
        <v>11</v>
      </c>
      <c r="D1509" s="17" t="s">
        <v>32</v>
      </c>
      <c r="E1509" s="17" t="s">
        <v>20</v>
      </c>
      <c r="F1509" s="16" t="s">
        <v>4882</v>
      </c>
    </row>
    <row r="1510" spans="1:6" x14ac:dyDescent="0.25">
      <c r="A1510" s="16" t="s">
        <v>4883</v>
      </c>
      <c r="B1510" s="17" t="s">
        <v>4884</v>
      </c>
      <c r="C1510" s="17" t="s">
        <v>11</v>
      </c>
      <c r="D1510" s="17" t="s">
        <v>544</v>
      </c>
      <c r="E1510" s="17" t="s">
        <v>20</v>
      </c>
      <c r="F1510" s="16" t="s">
        <v>4885</v>
      </c>
    </row>
    <row r="1511" spans="1:6" x14ac:dyDescent="0.25">
      <c r="A1511" s="16" t="s">
        <v>4886</v>
      </c>
      <c r="B1511" s="17" t="s">
        <v>4887</v>
      </c>
      <c r="C1511" s="17" t="s">
        <v>11</v>
      </c>
      <c r="D1511" s="17" t="s">
        <v>83</v>
      </c>
      <c r="E1511" s="17" t="s">
        <v>20</v>
      </c>
      <c r="F1511" s="16" t="s">
        <v>4888</v>
      </c>
    </row>
    <row r="1512" spans="1:6" x14ac:dyDescent="0.25">
      <c r="A1512" s="16" t="s">
        <v>4889</v>
      </c>
      <c r="B1512" s="17" t="s">
        <v>4890</v>
      </c>
      <c r="C1512" s="17" t="s">
        <v>11</v>
      </c>
      <c r="D1512" s="17" t="s">
        <v>291</v>
      </c>
      <c r="E1512" s="17" t="s">
        <v>20</v>
      </c>
      <c r="F1512" s="16" t="s">
        <v>4891</v>
      </c>
    </row>
    <row r="1513" spans="1:6" x14ac:dyDescent="0.25">
      <c r="A1513" s="16" t="s">
        <v>4892</v>
      </c>
      <c r="B1513" s="17" t="s">
        <v>4893</v>
      </c>
      <c r="C1513" s="17" t="s">
        <v>11</v>
      </c>
      <c r="D1513" s="17" t="s">
        <v>74</v>
      </c>
      <c r="E1513" s="17" t="s">
        <v>20</v>
      </c>
      <c r="F1513" s="16" t="s">
        <v>4894</v>
      </c>
    </row>
    <row r="1514" spans="1:6" x14ac:dyDescent="0.25">
      <c r="A1514" s="16" t="s">
        <v>4895</v>
      </c>
      <c r="B1514" s="17" t="s">
        <v>4896</v>
      </c>
      <c r="C1514" s="17" t="s">
        <v>11</v>
      </c>
      <c r="D1514" s="17" t="s">
        <v>32</v>
      </c>
      <c r="E1514" s="17" t="s">
        <v>20</v>
      </c>
      <c r="F1514" s="16" t="s">
        <v>4897</v>
      </c>
    </row>
    <row r="1515" spans="1:6" x14ac:dyDescent="0.25">
      <c r="A1515" s="16" t="s">
        <v>4898</v>
      </c>
      <c r="B1515" s="17" t="s">
        <v>4899</v>
      </c>
      <c r="C1515" s="17" t="s">
        <v>11</v>
      </c>
      <c r="D1515" s="17" t="s">
        <v>19</v>
      </c>
      <c r="E1515" s="17" t="s">
        <v>20</v>
      </c>
      <c r="F1515" s="16" t="s">
        <v>4900</v>
      </c>
    </row>
    <row r="1516" spans="1:6" x14ac:dyDescent="0.25">
      <c r="A1516" s="16" t="s">
        <v>4901</v>
      </c>
      <c r="B1516" s="17" t="s">
        <v>4902</v>
      </c>
      <c r="C1516" s="17" t="s">
        <v>11</v>
      </c>
      <c r="D1516" s="17" t="s">
        <v>811</v>
      </c>
      <c r="E1516" s="17" t="s">
        <v>20</v>
      </c>
      <c r="F1516" s="16" t="s">
        <v>4903</v>
      </c>
    </row>
    <row r="1517" spans="1:6" x14ac:dyDescent="0.25">
      <c r="A1517" s="16" t="s">
        <v>4904</v>
      </c>
      <c r="B1517" s="17" t="s">
        <v>4905</v>
      </c>
      <c r="C1517" s="17" t="s">
        <v>11</v>
      </c>
      <c r="D1517" s="17" t="s">
        <v>544</v>
      </c>
      <c r="E1517" s="17" t="s">
        <v>20</v>
      </c>
      <c r="F1517" s="16" t="s">
        <v>4906</v>
      </c>
    </row>
    <row r="1518" spans="1:6" x14ac:dyDescent="0.25">
      <c r="A1518" s="16" t="s">
        <v>4907</v>
      </c>
      <c r="B1518" s="17" t="s">
        <v>4908</v>
      </c>
      <c r="C1518" s="17" t="s">
        <v>11</v>
      </c>
      <c r="D1518" s="17" t="s">
        <v>12</v>
      </c>
      <c r="E1518" s="17" t="s">
        <v>13</v>
      </c>
      <c r="F1518" s="16" t="s">
        <v>4909</v>
      </c>
    </row>
    <row r="1519" spans="1:6" x14ac:dyDescent="0.25">
      <c r="A1519" s="16" t="s">
        <v>4910</v>
      </c>
      <c r="B1519" s="17" t="s">
        <v>4911</v>
      </c>
      <c r="C1519" s="17" t="s">
        <v>11</v>
      </c>
      <c r="D1519" s="17" t="s">
        <v>32</v>
      </c>
      <c r="E1519" s="17" t="s">
        <v>20</v>
      </c>
      <c r="F1519" s="16" t="s">
        <v>4912</v>
      </c>
    </row>
    <row r="1520" spans="1:6" x14ac:dyDescent="0.25">
      <c r="A1520" s="16" t="s">
        <v>4913</v>
      </c>
      <c r="B1520" s="17" t="s">
        <v>4914</v>
      </c>
      <c r="C1520" s="17" t="s">
        <v>11</v>
      </c>
      <c r="D1520" s="17" t="s">
        <v>32</v>
      </c>
      <c r="E1520" s="17" t="s">
        <v>20</v>
      </c>
      <c r="F1520" s="16" t="s">
        <v>4915</v>
      </c>
    </row>
    <row r="1521" spans="1:6" x14ac:dyDescent="0.25">
      <c r="A1521" s="16" t="s">
        <v>4916</v>
      </c>
      <c r="B1521" s="17" t="s">
        <v>4917</v>
      </c>
      <c r="C1521" s="17" t="s">
        <v>11</v>
      </c>
      <c r="D1521" s="17" t="s">
        <v>12</v>
      </c>
      <c r="E1521" s="17" t="s">
        <v>13</v>
      </c>
      <c r="F1521" s="16" t="s">
        <v>4918</v>
      </c>
    </row>
    <row r="1522" spans="1:6" x14ac:dyDescent="0.25">
      <c r="A1522" s="16" t="s">
        <v>4919</v>
      </c>
      <c r="B1522" s="17" t="s">
        <v>4920</v>
      </c>
      <c r="C1522" s="17" t="s">
        <v>11</v>
      </c>
      <c r="D1522" s="17" t="s">
        <v>186</v>
      </c>
      <c r="E1522" s="17" t="s">
        <v>20</v>
      </c>
      <c r="F1522" s="16" t="s">
        <v>4921</v>
      </c>
    </row>
    <row r="1523" spans="1:6" x14ac:dyDescent="0.25">
      <c r="A1523" s="16" t="s">
        <v>4922</v>
      </c>
      <c r="B1523" s="17" t="s">
        <v>4923</v>
      </c>
      <c r="C1523" s="17" t="s">
        <v>11</v>
      </c>
      <c r="D1523" s="17" t="s">
        <v>32</v>
      </c>
      <c r="E1523" s="17" t="s">
        <v>20</v>
      </c>
      <c r="F1523" s="16" t="s">
        <v>4924</v>
      </c>
    </row>
    <row r="1524" spans="1:6" x14ac:dyDescent="0.25">
      <c r="A1524" s="16" t="s">
        <v>4925</v>
      </c>
      <c r="B1524" s="17" t="s">
        <v>4926</v>
      </c>
      <c r="C1524" s="17" t="s">
        <v>11</v>
      </c>
      <c r="D1524" s="17" t="s">
        <v>32</v>
      </c>
      <c r="E1524" s="17" t="s">
        <v>20</v>
      </c>
      <c r="F1524" s="16" t="s">
        <v>4927</v>
      </c>
    </row>
    <row r="1525" spans="1:6" x14ac:dyDescent="0.25">
      <c r="A1525" s="16" t="s">
        <v>4928</v>
      </c>
      <c r="B1525" s="17" t="s">
        <v>4929</v>
      </c>
      <c r="C1525" s="17" t="s">
        <v>11</v>
      </c>
      <c r="D1525" s="17" t="s">
        <v>12</v>
      </c>
      <c r="E1525" s="17" t="s">
        <v>13</v>
      </c>
      <c r="F1525" s="16" t="s">
        <v>4930</v>
      </c>
    </row>
    <row r="1526" spans="1:6" x14ac:dyDescent="0.25">
      <c r="A1526" s="16" t="s">
        <v>4931</v>
      </c>
      <c r="B1526" s="17" t="s">
        <v>4932</v>
      </c>
      <c r="C1526" s="17" t="s">
        <v>11</v>
      </c>
      <c r="D1526" s="17" t="s">
        <v>12</v>
      </c>
      <c r="E1526" s="17" t="s">
        <v>13</v>
      </c>
      <c r="F1526" s="16" t="s">
        <v>4933</v>
      </c>
    </row>
    <row r="1527" spans="1:6" x14ac:dyDescent="0.25">
      <c r="A1527" s="16" t="s">
        <v>4934</v>
      </c>
      <c r="B1527" s="17" t="s">
        <v>4935</v>
      </c>
      <c r="C1527" s="17" t="s">
        <v>11</v>
      </c>
      <c r="D1527" s="17" t="s">
        <v>12</v>
      </c>
      <c r="E1527" s="17" t="s">
        <v>13</v>
      </c>
      <c r="F1527" s="16" t="s">
        <v>4936</v>
      </c>
    </row>
    <row r="1528" spans="1:6" x14ac:dyDescent="0.25">
      <c r="A1528" s="16" t="s">
        <v>4937</v>
      </c>
      <c r="B1528" s="17" t="s">
        <v>4938</v>
      </c>
      <c r="C1528" s="17" t="s">
        <v>11</v>
      </c>
      <c r="D1528" s="17" t="s">
        <v>12</v>
      </c>
      <c r="E1528" s="17" t="s">
        <v>13</v>
      </c>
      <c r="F1528" s="16" t="s">
        <v>4939</v>
      </c>
    </row>
    <row r="1529" spans="1:6" x14ac:dyDescent="0.25">
      <c r="A1529" s="16" t="s">
        <v>4940</v>
      </c>
      <c r="B1529" s="17" t="s">
        <v>4941</v>
      </c>
      <c r="C1529" s="17" t="s">
        <v>11</v>
      </c>
      <c r="D1529" s="17" t="s">
        <v>12</v>
      </c>
      <c r="E1529" s="17" t="s">
        <v>13</v>
      </c>
      <c r="F1529" s="16" t="s">
        <v>4942</v>
      </c>
    </row>
    <row r="1530" spans="1:6" x14ac:dyDescent="0.25">
      <c r="A1530" s="16" t="s">
        <v>4943</v>
      </c>
      <c r="B1530" s="17" t="s">
        <v>4944</v>
      </c>
      <c r="C1530" s="17" t="s">
        <v>11</v>
      </c>
      <c r="D1530" s="17" t="s">
        <v>12</v>
      </c>
      <c r="E1530" s="17" t="s">
        <v>13</v>
      </c>
      <c r="F1530" s="16" t="s">
        <v>4945</v>
      </c>
    </row>
    <row r="1531" spans="1:6" x14ac:dyDescent="0.25">
      <c r="A1531" s="16" t="s">
        <v>4946</v>
      </c>
      <c r="B1531" s="17" t="s">
        <v>4947</v>
      </c>
      <c r="C1531" s="17" t="s">
        <v>11</v>
      </c>
      <c r="D1531" s="17" t="s">
        <v>12</v>
      </c>
      <c r="E1531" s="17" t="s">
        <v>13</v>
      </c>
      <c r="F1531" s="16" t="s">
        <v>4948</v>
      </c>
    </row>
    <row r="1532" spans="1:6" x14ac:dyDescent="0.25">
      <c r="A1532" s="16" t="s">
        <v>4949</v>
      </c>
      <c r="B1532" s="17" t="s">
        <v>4950</v>
      </c>
      <c r="C1532" s="17" t="s">
        <v>11</v>
      </c>
      <c r="D1532" s="17" t="s">
        <v>59</v>
      </c>
      <c r="E1532" s="17" t="s">
        <v>13</v>
      </c>
      <c r="F1532" s="16" t="s">
        <v>4951</v>
      </c>
    </row>
    <row r="1533" spans="1:6" x14ac:dyDescent="0.25">
      <c r="A1533" s="16" t="s">
        <v>4952</v>
      </c>
      <c r="B1533" s="17" t="s">
        <v>4953</v>
      </c>
      <c r="C1533" s="17" t="s">
        <v>11</v>
      </c>
      <c r="D1533" s="17" t="s">
        <v>12</v>
      </c>
      <c r="E1533" s="17" t="s">
        <v>13</v>
      </c>
      <c r="F1533" s="16" t="s">
        <v>4954</v>
      </c>
    </row>
    <row r="1534" spans="1:6" x14ac:dyDescent="0.25">
      <c r="A1534" s="16" t="s">
        <v>4955</v>
      </c>
      <c r="B1534" s="17" t="s">
        <v>4956</v>
      </c>
      <c r="C1534" s="17" t="s">
        <v>11</v>
      </c>
      <c r="D1534" s="17" t="s">
        <v>32</v>
      </c>
      <c r="E1534" s="17" t="s">
        <v>20</v>
      </c>
      <c r="F1534" s="16" t="s">
        <v>4957</v>
      </c>
    </row>
    <row r="1535" spans="1:6" x14ac:dyDescent="0.25">
      <c r="A1535" s="16" t="s">
        <v>4958</v>
      </c>
      <c r="B1535" s="17" t="s">
        <v>4959</v>
      </c>
      <c r="C1535" s="17" t="s">
        <v>11</v>
      </c>
      <c r="D1535" s="17" t="s">
        <v>12</v>
      </c>
      <c r="E1535" s="17" t="s">
        <v>13</v>
      </c>
      <c r="F1535" s="16" t="s">
        <v>4960</v>
      </c>
    </row>
    <row r="1536" spans="1:6" x14ac:dyDescent="0.25">
      <c r="A1536" s="16" t="s">
        <v>4961</v>
      </c>
      <c r="B1536" s="17" t="s">
        <v>4962</v>
      </c>
      <c r="C1536" s="17" t="s">
        <v>11</v>
      </c>
      <c r="D1536" s="17" t="s">
        <v>32</v>
      </c>
      <c r="E1536" s="17" t="s">
        <v>20</v>
      </c>
      <c r="F1536" s="16" t="s">
        <v>4963</v>
      </c>
    </row>
    <row r="1537" spans="1:6" x14ac:dyDescent="0.25">
      <c r="A1537" s="16" t="s">
        <v>4964</v>
      </c>
      <c r="B1537" s="17" t="s">
        <v>4965</v>
      </c>
      <c r="C1537" s="17" t="s">
        <v>11</v>
      </c>
      <c r="D1537" s="17" t="s">
        <v>250</v>
      </c>
      <c r="E1537" s="17" t="s">
        <v>20</v>
      </c>
      <c r="F1537" s="16" t="s">
        <v>4966</v>
      </c>
    </row>
    <row r="1538" spans="1:6" x14ac:dyDescent="0.25">
      <c r="A1538" s="16" t="s">
        <v>4967</v>
      </c>
      <c r="B1538" s="17" t="s">
        <v>4968</v>
      </c>
      <c r="C1538" s="17" t="s">
        <v>11</v>
      </c>
      <c r="D1538" s="17" t="s">
        <v>32</v>
      </c>
      <c r="E1538" s="17" t="s">
        <v>20</v>
      </c>
      <c r="F1538" s="16" t="s">
        <v>4969</v>
      </c>
    </row>
    <row r="1539" spans="1:6" x14ac:dyDescent="0.25">
      <c r="A1539" s="16" t="s">
        <v>4970</v>
      </c>
      <c r="B1539" s="17" t="s">
        <v>4971</v>
      </c>
      <c r="C1539" s="17" t="s">
        <v>11</v>
      </c>
      <c r="D1539" s="17" t="s">
        <v>32</v>
      </c>
      <c r="E1539" s="17" t="s">
        <v>20</v>
      </c>
      <c r="F1539" s="16" t="s">
        <v>4972</v>
      </c>
    </row>
    <row r="1540" spans="1:6" x14ac:dyDescent="0.25">
      <c r="A1540" s="16" t="s">
        <v>4973</v>
      </c>
      <c r="B1540" s="17" t="s">
        <v>4974</v>
      </c>
      <c r="C1540" s="17" t="s">
        <v>11</v>
      </c>
      <c r="D1540" s="17" t="s">
        <v>80</v>
      </c>
      <c r="E1540" s="17" t="s">
        <v>20</v>
      </c>
      <c r="F1540" s="16" t="s">
        <v>4975</v>
      </c>
    </row>
    <row r="1541" spans="1:6" x14ac:dyDescent="0.25">
      <c r="A1541" s="16" t="s">
        <v>4976</v>
      </c>
      <c r="B1541" s="17" t="s">
        <v>4977</v>
      </c>
      <c r="C1541" s="17" t="s">
        <v>11</v>
      </c>
      <c r="D1541" s="17" t="s">
        <v>74</v>
      </c>
      <c r="E1541" s="17" t="s">
        <v>20</v>
      </c>
      <c r="F1541" s="16" t="s">
        <v>4978</v>
      </c>
    </row>
    <row r="1542" spans="1:6" x14ac:dyDescent="0.25">
      <c r="A1542" s="16" t="s">
        <v>4979</v>
      </c>
      <c r="B1542" s="17" t="s">
        <v>4980</v>
      </c>
      <c r="C1542" s="17" t="s">
        <v>359</v>
      </c>
      <c r="D1542" s="17" t="s">
        <v>32</v>
      </c>
      <c r="E1542" s="17" t="s">
        <v>20</v>
      </c>
      <c r="F1542" s="16" t="s">
        <v>4981</v>
      </c>
    </row>
    <row r="1543" spans="1:6" x14ac:dyDescent="0.25">
      <c r="A1543" s="16" t="s">
        <v>4982</v>
      </c>
      <c r="B1543" s="17" t="s">
        <v>4983</v>
      </c>
      <c r="C1543" s="17" t="s">
        <v>11</v>
      </c>
      <c r="D1543" s="17" t="s">
        <v>12</v>
      </c>
      <c r="E1543" s="17" t="s">
        <v>13</v>
      </c>
      <c r="F1543" s="16" t="s">
        <v>4984</v>
      </c>
    </row>
    <row r="1544" spans="1:6" x14ac:dyDescent="0.25">
      <c r="A1544" s="16" t="s">
        <v>4985</v>
      </c>
      <c r="B1544" s="17" t="s">
        <v>4986</v>
      </c>
      <c r="C1544" s="17" t="s">
        <v>11</v>
      </c>
      <c r="D1544" s="17" t="s">
        <v>148</v>
      </c>
      <c r="E1544" s="17" t="s">
        <v>20</v>
      </c>
      <c r="F1544" s="16" t="s">
        <v>4987</v>
      </c>
    </row>
    <row r="1545" spans="1:6" x14ac:dyDescent="0.25">
      <c r="A1545" s="16" t="s">
        <v>4988</v>
      </c>
      <c r="B1545" s="17" t="s">
        <v>4989</v>
      </c>
      <c r="C1545" s="17" t="s">
        <v>11</v>
      </c>
      <c r="D1545" s="17" t="s">
        <v>32</v>
      </c>
      <c r="E1545" s="17" t="s">
        <v>20</v>
      </c>
      <c r="F1545" s="16" t="s">
        <v>4990</v>
      </c>
    </row>
    <row r="1546" spans="1:6" x14ac:dyDescent="0.25">
      <c r="A1546" s="16" t="s">
        <v>4991</v>
      </c>
      <c r="B1546" s="17" t="s">
        <v>4992</v>
      </c>
      <c r="C1546" s="17" t="s">
        <v>11</v>
      </c>
      <c r="D1546" s="17" t="s">
        <v>83</v>
      </c>
      <c r="E1546" s="17" t="s">
        <v>20</v>
      </c>
      <c r="F1546" s="16" t="s">
        <v>4993</v>
      </c>
    </row>
    <row r="1547" spans="1:6" x14ac:dyDescent="0.25">
      <c r="A1547" s="16" t="s">
        <v>4994</v>
      </c>
      <c r="B1547" s="17" t="s">
        <v>4995</v>
      </c>
      <c r="C1547" s="17" t="s">
        <v>11</v>
      </c>
      <c r="D1547" s="17" t="s">
        <v>32</v>
      </c>
      <c r="E1547" s="17" t="s">
        <v>20</v>
      </c>
      <c r="F1547" s="16" t="s">
        <v>4996</v>
      </c>
    </row>
    <row r="1548" spans="1:6" x14ac:dyDescent="0.25">
      <c r="A1548" s="16" t="s">
        <v>4997</v>
      </c>
      <c r="B1548" s="17" t="s">
        <v>4998</v>
      </c>
      <c r="C1548" s="17" t="s">
        <v>11</v>
      </c>
      <c r="D1548" s="17" t="s">
        <v>12</v>
      </c>
      <c r="E1548" s="17" t="s">
        <v>13</v>
      </c>
      <c r="F1548" s="16" t="s">
        <v>4999</v>
      </c>
    </row>
    <row r="1549" spans="1:6" x14ac:dyDescent="0.25">
      <c r="A1549" s="16" t="s">
        <v>5000</v>
      </c>
      <c r="B1549" s="17" t="s">
        <v>5001</v>
      </c>
      <c r="C1549" s="17" t="s">
        <v>11</v>
      </c>
      <c r="D1549" s="17" t="s">
        <v>12</v>
      </c>
      <c r="E1549" s="17" t="s">
        <v>13</v>
      </c>
      <c r="F1549" s="16" t="s">
        <v>5002</v>
      </c>
    </row>
    <row r="1550" spans="1:6" x14ac:dyDescent="0.25">
      <c r="A1550" s="16" t="s">
        <v>5003</v>
      </c>
      <c r="B1550" s="17" t="s">
        <v>5004</v>
      </c>
      <c r="C1550" s="17" t="s">
        <v>11</v>
      </c>
      <c r="D1550" s="17" t="s">
        <v>233</v>
      </c>
      <c r="E1550" s="17" t="s">
        <v>20</v>
      </c>
      <c r="F1550" s="16" t="s">
        <v>5005</v>
      </c>
    </row>
    <row r="1551" spans="1:6" x14ac:dyDescent="0.25">
      <c r="A1551" s="16" t="s">
        <v>5006</v>
      </c>
      <c r="B1551" s="17" t="s">
        <v>5007</v>
      </c>
      <c r="C1551" s="17" t="s">
        <v>11</v>
      </c>
      <c r="D1551" s="17" t="s">
        <v>12</v>
      </c>
      <c r="E1551" s="17" t="s">
        <v>13</v>
      </c>
      <c r="F1551" s="16" t="s">
        <v>5008</v>
      </c>
    </row>
    <row r="1552" spans="1:6" x14ac:dyDescent="0.25">
      <c r="A1552" s="16" t="s">
        <v>5009</v>
      </c>
      <c r="B1552" s="17" t="s">
        <v>5010</v>
      </c>
      <c r="C1552" s="17" t="s">
        <v>11</v>
      </c>
      <c r="D1552" s="17" t="s">
        <v>12</v>
      </c>
      <c r="E1552" s="17" t="s">
        <v>13</v>
      </c>
      <c r="F1552" s="16" t="s">
        <v>5011</v>
      </c>
    </row>
    <row r="1553" spans="1:6" x14ac:dyDescent="0.25">
      <c r="A1553" s="16" t="s">
        <v>5012</v>
      </c>
      <c r="B1553" s="17" t="s">
        <v>5013</v>
      </c>
      <c r="C1553" s="17" t="s">
        <v>11</v>
      </c>
      <c r="D1553" s="17" t="s">
        <v>12</v>
      </c>
      <c r="E1553" s="17" t="s">
        <v>13</v>
      </c>
      <c r="F1553" s="16" t="s">
        <v>5014</v>
      </c>
    </row>
    <row r="1554" spans="1:6" x14ac:dyDescent="0.25">
      <c r="A1554" s="16" t="s">
        <v>5015</v>
      </c>
      <c r="B1554" s="17" t="s">
        <v>5016</v>
      </c>
      <c r="C1554" s="17" t="s">
        <v>11</v>
      </c>
      <c r="D1554" s="17" t="s">
        <v>186</v>
      </c>
      <c r="E1554" s="17" t="s">
        <v>20</v>
      </c>
      <c r="F1554" s="16" t="s">
        <v>5017</v>
      </c>
    </row>
    <row r="1555" spans="1:6" x14ac:dyDescent="0.25">
      <c r="A1555" s="16" t="s">
        <v>5018</v>
      </c>
      <c r="B1555" s="17" t="s">
        <v>5019</v>
      </c>
      <c r="C1555" s="17" t="s">
        <v>11</v>
      </c>
      <c r="D1555" s="17" t="s">
        <v>12</v>
      </c>
      <c r="E1555" s="17" t="s">
        <v>13</v>
      </c>
      <c r="F1555" s="16" t="s">
        <v>5020</v>
      </c>
    </row>
    <row r="1556" spans="1:6" x14ac:dyDescent="0.25">
      <c r="A1556" s="16" t="s">
        <v>5021</v>
      </c>
      <c r="B1556" s="17" t="s">
        <v>5022</v>
      </c>
      <c r="C1556" s="17" t="s">
        <v>11</v>
      </c>
      <c r="D1556" s="17" t="s">
        <v>32</v>
      </c>
      <c r="E1556" s="17" t="s">
        <v>20</v>
      </c>
      <c r="F1556" s="16" t="s">
        <v>5023</v>
      </c>
    </row>
    <row r="1557" spans="1:6" x14ac:dyDescent="0.25">
      <c r="A1557" s="16" t="s">
        <v>5024</v>
      </c>
      <c r="B1557" s="17" t="s">
        <v>5025</v>
      </c>
      <c r="C1557" s="17" t="s">
        <v>11</v>
      </c>
      <c r="D1557" s="17" t="s">
        <v>12</v>
      </c>
      <c r="E1557" s="17" t="s">
        <v>13</v>
      </c>
      <c r="F1557" s="16" t="s">
        <v>5026</v>
      </c>
    </row>
    <row r="1558" spans="1:6" x14ac:dyDescent="0.25">
      <c r="A1558" s="16" t="s">
        <v>5027</v>
      </c>
      <c r="B1558" s="17" t="s">
        <v>5028</v>
      </c>
      <c r="C1558" s="17" t="s">
        <v>11</v>
      </c>
      <c r="D1558" s="17" t="s">
        <v>32</v>
      </c>
      <c r="E1558" s="17" t="s">
        <v>20</v>
      </c>
      <c r="F1558" s="16" t="s">
        <v>5029</v>
      </c>
    </row>
    <row r="1559" spans="1:6" x14ac:dyDescent="0.25">
      <c r="A1559" s="16" t="s">
        <v>5030</v>
      </c>
      <c r="B1559" s="17" t="s">
        <v>5031</v>
      </c>
      <c r="C1559" s="17" t="s">
        <v>359</v>
      </c>
      <c r="D1559" s="17" t="s">
        <v>32</v>
      </c>
      <c r="E1559" s="17" t="s">
        <v>20</v>
      </c>
      <c r="F1559" s="16" t="s">
        <v>5032</v>
      </c>
    </row>
    <row r="1560" spans="1:6" x14ac:dyDescent="0.25">
      <c r="A1560" s="16" t="s">
        <v>5033</v>
      </c>
      <c r="B1560" s="17" t="s">
        <v>5034</v>
      </c>
      <c r="C1560" s="17" t="s">
        <v>11</v>
      </c>
      <c r="D1560" s="17" t="s">
        <v>250</v>
      </c>
      <c r="E1560" s="17" t="s">
        <v>20</v>
      </c>
      <c r="F1560" s="16" t="s">
        <v>5035</v>
      </c>
    </row>
    <row r="1561" spans="1:6" x14ac:dyDescent="0.25">
      <c r="A1561" s="16" t="s">
        <v>5036</v>
      </c>
      <c r="B1561" s="17" t="s">
        <v>5037</v>
      </c>
      <c r="C1561" s="17" t="s">
        <v>11</v>
      </c>
      <c r="D1561" s="17" t="s">
        <v>32</v>
      </c>
      <c r="E1561" s="17" t="s">
        <v>20</v>
      </c>
      <c r="F1561" s="16" t="s">
        <v>5038</v>
      </c>
    </row>
    <row r="1562" spans="1:6" x14ac:dyDescent="0.25">
      <c r="A1562" s="16" t="s">
        <v>5039</v>
      </c>
      <c r="B1562" s="17" t="s">
        <v>5040</v>
      </c>
      <c r="C1562" s="17" t="s">
        <v>11</v>
      </c>
      <c r="D1562" s="17" t="s">
        <v>811</v>
      </c>
      <c r="E1562" s="17" t="s">
        <v>20</v>
      </c>
      <c r="F1562" s="16" t="s">
        <v>5041</v>
      </c>
    </row>
    <row r="1563" spans="1:6" x14ac:dyDescent="0.25">
      <c r="A1563" s="16" t="s">
        <v>5042</v>
      </c>
      <c r="B1563" s="17" t="s">
        <v>5043</v>
      </c>
      <c r="C1563" s="17" t="s">
        <v>11</v>
      </c>
      <c r="D1563" s="17" t="s">
        <v>74</v>
      </c>
      <c r="E1563" s="17" t="s">
        <v>20</v>
      </c>
      <c r="F1563" s="16" t="s">
        <v>5044</v>
      </c>
    </row>
    <row r="1564" spans="1:6" x14ac:dyDescent="0.25">
      <c r="A1564" s="16" t="s">
        <v>5045</v>
      </c>
      <c r="B1564" s="17" t="s">
        <v>5046</v>
      </c>
      <c r="C1564" s="17" t="s">
        <v>11</v>
      </c>
      <c r="D1564" s="17" t="s">
        <v>26</v>
      </c>
      <c r="E1564" s="17" t="s">
        <v>20</v>
      </c>
      <c r="F1564" s="16" t="s">
        <v>5047</v>
      </c>
    </row>
    <row r="1565" spans="1:6" x14ac:dyDescent="0.25">
      <c r="A1565" s="16" t="s">
        <v>5048</v>
      </c>
      <c r="B1565" s="17" t="s">
        <v>5049</v>
      </c>
      <c r="C1565" s="17" t="s">
        <v>11</v>
      </c>
      <c r="D1565" s="17" t="s">
        <v>186</v>
      </c>
      <c r="E1565" s="17" t="s">
        <v>20</v>
      </c>
      <c r="F1565" s="16" t="s">
        <v>5050</v>
      </c>
    </row>
    <row r="1566" spans="1:6" x14ac:dyDescent="0.25">
      <c r="A1566" s="16" t="s">
        <v>5051</v>
      </c>
      <c r="B1566" s="17" t="s">
        <v>5052</v>
      </c>
      <c r="C1566" s="17" t="s">
        <v>11</v>
      </c>
      <c r="D1566" s="17" t="s">
        <v>12</v>
      </c>
      <c r="E1566" s="17" t="s">
        <v>13</v>
      </c>
      <c r="F1566" s="16" t="s">
        <v>5053</v>
      </c>
    </row>
    <row r="1567" spans="1:6" x14ac:dyDescent="0.25">
      <c r="A1567" s="16" t="s">
        <v>5054</v>
      </c>
      <c r="B1567" s="17" t="s">
        <v>5055</v>
      </c>
      <c r="C1567" s="17" t="s">
        <v>11</v>
      </c>
      <c r="D1567" s="17" t="s">
        <v>32</v>
      </c>
      <c r="E1567" s="17" t="s">
        <v>20</v>
      </c>
      <c r="F1567" s="16" t="s">
        <v>5056</v>
      </c>
    </row>
    <row r="1568" spans="1:6" x14ac:dyDescent="0.25">
      <c r="A1568" s="16" t="s">
        <v>5057</v>
      </c>
      <c r="B1568" s="17" t="s">
        <v>5058</v>
      </c>
      <c r="C1568" s="17" t="s">
        <v>11</v>
      </c>
      <c r="D1568" s="17" t="s">
        <v>80</v>
      </c>
      <c r="E1568" s="17" t="s">
        <v>20</v>
      </c>
      <c r="F1568" s="16" t="s">
        <v>5059</v>
      </c>
    </row>
    <row r="1569" spans="1:6" x14ac:dyDescent="0.25">
      <c r="A1569" s="16" t="s">
        <v>5060</v>
      </c>
      <c r="B1569" s="17" t="s">
        <v>5061</v>
      </c>
      <c r="C1569" s="17" t="s">
        <v>11</v>
      </c>
      <c r="D1569" s="17" t="s">
        <v>12</v>
      </c>
      <c r="E1569" s="17" t="s">
        <v>13</v>
      </c>
      <c r="F1569" s="16" t="s">
        <v>5062</v>
      </c>
    </row>
    <row r="1570" spans="1:6" x14ac:dyDescent="0.25">
      <c r="A1570" s="16" t="s">
        <v>5063</v>
      </c>
      <c r="B1570" s="17" t="s">
        <v>5064</v>
      </c>
      <c r="C1570" s="17" t="s">
        <v>11</v>
      </c>
      <c r="D1570" s="17" t="s">
        <v>32</v>
      </c>
      <c r="E1570" s="17" t="s">
        <v>20</v>
      </c>
      <c r="F1570" s="16" t="s">
        <v>5065</v>
      </c>
    </row>
    <row r="1571" spans="1:6" x14ac:dyDescent="0.25">
      <c r="A1571" s="16" t="s">
        <v>5066</v>
      </c>
      <c r="B1571" s="17" t="s">
        <v>5067</v>
      </c>
      <c r="C1571" s="17" t="s">
        <v>11</v>
      </c>
      <c r="D1571" s="17" t="s">
        <v>182</v>
      </c>
      <c r="E1571" s="17" t="s">
        <v>20</v>
      </c>
      <c r="F1571" s="16" t="s">
        <v>5068</v>
      </c>
    </row>
    <row r="1572" spans="1:6" x14ac:dyDescent="0.25">
      <c r="A1572" s="16" t="s">
        <v>5069</v>
      </c>
      <c r="B1572" s="17" t="s">
        <v>5070</v>
      </c>
      <c r="C1572" s="17" t="s">
        <v>11</v>
      </c>
      <c r="D1572" s="17" t="s">
        <v>32</v>
      </c>
      <c r="E1572" s="17" t="s">
        <v>20</v>
      </c>
      <c r="F1572" s="16" t="s">
        <v>5071</v>
      </c>
    </row>
    <row r="1573" spans="1:6" x14ac:dyDescent="0.25">
      <c r="A1573" s="16" t="s">
        <v>5072</v>
      </c>
      <c r="B1573" s="17" t="s">
        <v>5073</v>
      </c>
      <c r="C1573" s="17" t="s">
        <v>11</v>
      </c>
      <c r="D1573" s="17" t="s">
        <v>32</v>
      </c>
      <c r="E1573" s="17" t="s">
        <v>20</v>
      </c>
      <c r="F1573" s="16" t="s">
        <v>5074</v>
      </c>
    </row>
    <row r="1574" spans="1:6" x14ac:dyDescent="0.25">
      <c r="A1574" s="16" t="s">
        <v>5075</v>
      </c>
      <c r="B1574" s="17" t="s">
        <v>5076</v>
      </c>
      <c r="C1574" s="17" t="s">
        <v>11</v>
      </c>
      <c r="D1574" s="17" t="s">
        <v>182</v>
      </c>
      <c r="E1574" s="17" t="s">
        <v>20</v>
      </c>
      <c r="F1574" s="16" t="s">
        <v>5077</v>
      </c>
    </row>
    <row r="1575" spans="1:6" x14ac:dyDescent="0.25">
      <c r="A1575" s="16" t="s">
        <v>5078</v>
      </c>
      <c r="B1575" s="17" t="s">
        <v>5079</v>
      </c>
      <c r="C1575" s="17" t="s">
        <v>11</v>
      </c>
      <c r="D1575" s="17" t="s">
        <v>576</v>
      </c>
      <c r="E1575" s="17" t="s">
        <v>20</v>
      </c>
      <c r="F1575" s="16" t="s">
        <v>5080</v>
      </c>
    </row>
    <row r="1576" spans="1:6" x14ac:dyDescent="0.25">
      <c r="A1576" s="16" t="s">
        <v>5081</v>
      </c>
      <c r="B1576" s="17" t="s">
        <v>5082</v>
      </c>
      <c r="C1576" s="17" t="s">
        <v>11</v>
      </c>
      <c r="D1576" s="17" t="s">
        <v>74</v>
      </c>
      <c r="E1576" s="17" t="s">
        <v>20</v>
      </c>
      <c r="F1576" s="16" t="s">
        <v>5083</v>
      </c>
    </row>
    <row r="1577" spans="1:6" x14ac:dyDescent="0.25">
      <c r="A1577" s="16" t="s">
        <v>5084</v>
      </c>
      <c r="B1577" s="17" t="s">
        <v>5085</v>
      </c>
      <c r="C1577" s="17" t="s">
        <v>11</v>
      </c>
      <c r="D1577" s="17" t="s">
        <v>182</v>
      </c>
      <c r="E1577" s="17" t="s">
        <v>20</v>
      </c>
      <c r="F1577" s="16" t="s">
        <v>5086</v>
      </c>
    </row>
    <row r="1578" spans="1:6" x14ac:dyDescent="0.25">
      <c r="A1578" s="16" t="s">
        <v>5087</v>
      </c>
      <c r="B1578" s="17" t="s">
        <v>5088</v>
      </c>
      <c r="C1578" s="17" t="s">
        <v>11</v>
      </c>
      <c r="D1578" s="17" t="s">
        <v>32</v>
      </c>
      <c r="E1578" s="17" t="s">
        <v>20</v>
      </c>
      <c r="F1578" s="16" t="s">
        <v>5089</v>
      </c>
    </row>
    <row r="1579" spans="1:6" x14ac:dyDescent="0.25">
      <c r="A1579" s="16" t="s">
        <v>5090</v>
      </c>
      <c r="B1579" s="17" t="s">
        <v>5091</v>
      </c>
      <c r="C1579" s="17" t="s">
        <v>11</v>
      </c>
      <c r="D1579" s="17" t="s">
        <v>74</v>
      </c>
      <c r="E1579" s="17" t="s">
        <v>20</v>
      </c>
      <c r="F1579" s="16" t="s">
        <v>5092</v>
      </c>
    </row>
    <row r="1580" spans="1:6" x14ac:dyDescent="0.25">
      <c r="A1580" s="16" t="s">
        <v>5093</v>
      </c>
      <c r="B1580" s="17" t="s">
        <v>5094</v>
      </c>
      <c r="C1580" s="17" t="s">
        <v>11</v>
      </c>
      <c r="D1580" s="17" t="s">
        <v>19</v>
      </c>
      <c r="E1580" s="17" t="s">
        <v>20</v>
      </c>
      <c r="F1580" s="16" t="s">
        <v>5095</v>
      </c>
    </row>
    <row r="1581" spans="1:6" x14ac:dyDescent="0.25">
      <c r="A1581" s="16" t="s">
        <v>5096</v>
      </c>
      <c r="B1581" s="17" t="s">
        <v>5097</v>
      </c>
      <c r="C1581" s="17" t="s">
        <v>11</v>
      </c>
      <c r="D1581" s="17" t="s">
        <v>26</v>
      </c>
      <c r="E1581" s="17" t="s">
        <v>20</v>
      </c>
      <c r="F1581" s="16" t="s">
        <v>5098</v>
      </c>
    </row>
    <row r="1582" spans="1:6" x14ac:dyDescent="0.25">
      <c r="A1582" s="16" t="s">
        <v>5099</v>
      </c>
      <c r="B1582" s="17" t="s">
        <v>5100</v>
      </c>
      <c r="C1582" s="17" t="s">
        <v>11</v>
      </c>
      <c r="D1582" s="17" t="s">
        <v>59</v>
      </c>
      <c r="E1582" s="17" t="s">
        <v>13</v>
      </c>
      <c r="F1582" s="16" t="s">
        <v>5101</v>
      </c>
    </row>
    <row r="1583" spans="1:6" x14ac:dyDescent="0.25">
      <c r="A1583" s="16" t="s">
        <v>5102</v>
      </c>
      <c r="B1583" s="17" t="s">
        <v>5103</v>
      </c>
      <c r="C1583" s="17" t="s">
        <v>11</v>
      </c>
      <c r="D1583" s="17" t="s">
        <v>12</v>
      </c>
      <c r="E1583" s="17" t="s">
        <v>13</v>
      </c>
      <c r="F1583" s="16" t="s">
        <v>5104</v>
      </c>
    </row>
    <row r="1584" spans="1:6" x14ac:dyDescent="0.25">
      <c r="A1584" s="16" t="s">
        <v>5105</v>
      </c>
      <c r="B1584" s="17" t="s">
        <v>5106</v>
      </c>
      <c r="C1584" s="17" t="s">
        <v>11</v>
      </c>
      <c r="D1584" s="17" t="s">
        <v>32</v>
      </c>
      <c r="E1584" s="17" t="s">
        <v>20</v>
      </c>
      <c r="F1584" s="16" t="s">
        <v>5107</v>
      </c>
    </row>
    <row r="1585" spans="1:6" x14ac:dyDescent="0.25">
      <c r="A1585" s="16" t="s">
        <v>5108</v>
      </c>
      <c r="B1585" s="17" t="s">
        <v>5109</v>
      </c>
      <c r="C1585" s="17" t="s">
        <v>11</v>
      </c>
      <c r="D1585" s="17" t="s">
        <v>5110</v>
      </c>
      <c r="E1585" s="17" t="s">
        <v>13</v>
      </c>
      <c r="F1585" s="16" t="s">
        <v>5111</v>
      </c>
    </row>
    <row r="1586" spans="1:6" x14ac:dyDescent="0.25">
      <c r="A1586" s="16" t="s">
        <v>5112</v>
      </c>
      <c r="B1586" s="17" t="s">
        <v>5113</v>
      </c>
      <c r="C1586" s="17" t="s">
        <v>11</v>
      </c>
      <c r="D1586" s="17" t="s">
        <v>12</v>
      </c>
      <c r="E1586" s="17" t="s">
        <v>13</v>
      </c>
      <c r="F1586" s="16" t="s">
        <v>5114</v>
      </c>
    </row>
    <row r="1587" spans="1:6" x14ac:dyDescent="0.25">
      <c r="A1587" s="16" t="s">
        <v>5115</v>
      </c>
      <c r="B1587" s="17" t="s">
        <v>5116</v>
      </c>
      <c r="C1587" s="17" t="s">
        <v>11</v>
      </c>
      <c r="D1587" s="17" t="s">
        <v>1402</v>
      </c>
      <c r="E1587" s="17" t="s">
        <v>13</v>
      </c>
      <c r="F1587" s="16" t="s">
        <v>5117</v>
      </c>
    </row>
    <row r="1588" spans="1:6" x14ac:dyDescent="0.25">
      <c r="A1588" s="16" t="s">
        <v>5118</v>
      </c>
      <c r="B1588" s="17" t="s">
        <v>5119</v>
      </c>
      <c r="C1588" s="17" t="s">
        <v>11</v>
      </c>
      <c r="D1588" s="17" t="s">
        <v>32</v>
      </c>
      <c r="E1588" s="17" t="s">
        <v>20</v>
      </c>
      <c r="F1588" s="16" t="s">
        <v>5120</v>
      </c>
    </row>
    <row r="1589" spans="1:6" x14ac:dyDescent="0.25">
      <c r="A1589" s="16" t="s">
        <v>5121</v>
      </c>
      <c r="B1589" s="17" t="s">
        <v>5122</v>
      </c>
      <c r="C1589" s="17" t="s">
        <v>11</v>
      </c>
      <c r="D1589" s="17" t="s">
        <v>59</v>
      </c>
      <c r="E1589" s="17" t="s">
        <v>13</v>
      </c>
      <c r="F1589" s="16" t="s">
        <v>5123</v>
      </c>
    </row>
    <row r="1590" spans="1:6" x14ac:dyDescent="0.25">
      <c r="A1590" s="16" t="s">
        <v>5124</v>
      </c>
      <c r="B1590" s="17" t="s">
        <v>5125</v>
      </c>
      <c r="C1590" s="17" t="s">
        <v>11</v>
      </c>
      <c r="D1590" s="17" t="s">
        <v>12</v>
      </c>
      <c r="E1590" s="17" t="s">
        <v>13</v>
      </c>
      <c r="F1590" s="16" t="s">
        <v>5126</v>
      </c>
    </row>
    <row r="1591" spans="1:6" x14ac:dyDescent="0.25">
      <c r="A1591" s="16" t="s">
        <v>5127</v>
      </c>
      <c r="B1591" s="17" t="s">
        <v>5128</v>
      </c>
      <c r="C1591" s="17" t="s">
        <v>11</v>
      </c>
      <c r="D1591" s="17" t="s">
        <v>32</v>
      </c>
      <c r="E1591" s="17" t="s">
        <v>20</v>
      </c>
      <c r="F1591" s="16" t="s">
        <v>5129</v>
      </c>
    </row>
    <row r="1592" spans="1:6" x14ac:dyDescent="0.25">
      <c r="A1592" s="16" t="s">
        <v>5130</v>
      </c>
      <c r="B1592" s="17" t="s">
        <v>5131</v>
      </c>
      <c r="C1592" s="17" t="s">
        <v>11</v>
      </c>
      <c r="D1592" s="17" t="s">
        <v>12</v>
      </c>
      <c r="E1592" s="17" t="s">
        <v>13</v>
      </c>
      <c r="F1592" s="16" t="s">
        <v>5132</v>
      </c>
    </row>
    <row r="1593" spans="1:6" x14ac:dyDescent="0.25">
      <c r="A1593" s="16" t="s">
        <v>5133</v>
      </c>
      <c r="B1593" s="17" t="s">
        <v>5134</v>
      </c>
      <c r="C1593" s="17" t="s">
        <v>11</v>
      </c>
      <c r="D1593" s="17" t="s">
        <v>12</v>
      </c>
      <c r="E1593" s="17" t="s">
        <v>13</v>
      </c>
      <c r="F1593" s="16" t="s">
        <v>5135</v>
      </c>
    </row>
    <row r="1594" spans="1:6" x14ac:dyDescent="0.25">
      <c r="A1594" s="16" t="s">
        <v>5136</v>
      </c>
      <c r="B1594" s="17" t="s">
        <v>5137</v>
      </c>
      <c r="C1594" s="17" t="s">
        <v>11</v>
      </c>
      <c r="D1594" s="17" t="s">
        <v>32</v>
      </c>
      <c r="E1594" s="17" t="s">
        <v>20</v>
      </c>
      <c r="F1594" s="16" t="s">
        <v>5138</v>
      </c>
    </row>
    <row r="1595" spans="1:6" x14ac:dyDescent="0.25">
      <c r="A1595" s="16" t="s">
        <v>5139</v>
      </c>
      <c r="B1595" s="17" t="s">
        <v>5140</v>
      </c>
      <c r="C1595" s="17" t="s">
        <v>11</v>
      </c>
      <c r="D1595" s="17" t="s">
        <v>59</v>
      </c>
      <c r="E1595" s="17" t="s">
        <v>13</v>
      </c>
      <c r="F1595" s="16" t="s">
        <v>5141</v>
      </c>
    </row>
    <row r="1596" spans="1:6" x14ac:dyDescent="0.25">
      <c r="A1596" s="16" t="s">
        <v>5142</v>
      </c>
      <c r="B1596" s="17" t="s">
        <v>5143</v>
      </c>
      <c r="C1596" s="17" t="s">
        <v>11</v>
      </c>
      <c r="D1596" s="17" t="s">
        <v>12</v>
      </c>
      <c r="E1596" s="17" t="s">
        <v>13</v>
      </c>
      <c r="F1596" s="16" t="s">
        <v>5144</v>
      </c>
    </row>
    <row r="1597" spans="1:6" x14ac:dyDescent="0.25">
      <c r="A1597" s="16" t="s">
        <v>5145</v>
      </c>
      <c r="B1597" s="17" t="s">
        <v>5146</v>
      </c>
      <c r="C1597" s="17" t="s">
        <v>11</v>
      </c>
      <c r="D1597" s="17" t="s">
        <v>12</v>
      </c>
      <c r="E1597" s="17" t="s">
        <v>13</v>
      </c>
      <c r="F1597" s="16" t="s">
        <v>5147</v>
      </c>
    </row>
    <row r="1598" spans="1:6" x14ac:dyDescent="0.25">
      <c r="A1598" s="16" t="s">
        <v>5148</v>
      </c>
      <c r="B1598" s="17" t="s">
        <v>5149</v>
      </c>
      <c r="C1598" s="17" t="s">
        <v>11</v>
      </c>
      <c r="D1598" s="17" t="s">
        <v>12</v>
      </c>
      <c r="E1598" s="17" t="s">
        <v>13</v>
      </c>
      <c r="F1598" s="16" t="s">
        <v>5150</v>
      </c>
    </row>
    <row r="1599" spans="1:6" x14ac:dyDescent="0.25">
      <c r="A1599" s="16" t="s">
        <v>5151</v>
      </c>
      <c r="B1599" s="17" t="s">
        <v>5152</v>
      </c>
      <c r="C1599" s="17" t="s">
        <v>11</v>
      </c>
      <c r="D1599" s="17" t="s">
        <v>12</v>
      </c>
      <c r="E1599" s="17" t="s">
        <v>13</v>
      </c>
      <c r="F1599" s="16" t="s">
        <v>5153</v>
      </c>
    </row>
    <row r="1600" spans="1:6" x14ac:dyDescent="0.25">
      <c r="A1600" s="16" t="s">
        <v>5154</v>
      </c>
      <c r="B1600" s="17" t="s">
        <v>5155</v>
      </c>
      <c r="C1600" s="17" t="s">
        <v>11</v>
      </c>
      <c r="D1600" s="17" t="s">
        <v>12</v>
      </c>
      <c r="E1600" s="17" t="s">
        <v>13</v>
      </c>
      <c r="F1600" s="16" t="s">
        <v>5156</v>
      </c>
    </row>
    <row r="1601" spans="1:6" x14ac:dyDescent="0.25">
      <c r="A1601" s="16" t="s">
        <v>5157</v>
      </c>
      <c r="B1601" s="17" t="s">
        <v>5158</v>
      </c>
      <c r="C1601" s="17" t="s">
        <v>11</v>
      </c>
      <c r="D1601" s="17" t="s">
        <v>59</v>
      </c>
      <c r="E1601" s="17" t="s">
        <v>13</v>
      </c>
      <c r="F1601" s="16" t="s">
        <v>5159</v>
      </c>
    </row>
    <row r="1602" spans="1:6" x14ac:dyDescent="0.25">
      <c r="A1602" s="16" t="s">
        <v>5160</v>
      </c>
      <c r="B1602" s="17" t="s">
        <v>5161</v>
      </c>
      <c r="C1602" s="17" t="s">
        <v>11</v>
      </c>
      <c r="D1602" s="17" t="s">
        <v>12</v>
      </c>
      <c r="E1602" s="17" t="s">
        <v>13</v>
      </c>
      <c r="F1602" s="16" t="s">
        <v>5162</v>
      </c>
    </row>
    <row r="1603" spans="1:6" x14ac:dyDescent="0.25">
      <c r="A1603" s="16" t="s">
        <v>5163</v>
      </c>
      <c r="B1603" s="17" t="s">
        <v>5164</v>
      </c>
      <c r="C1603" s="17" t="s">
        <v>11</v>
      </c>
      <c r="D1603" s="17" t="s">
        <v>32</v>
      </c>
      <c r="E1603" s="17" t="s">
        <v>20</v>
      </c>
      <c r="F1603" s="16" t="s">
        <v>5165</v>
      </c>
    </row>
    <row r="1604" spans="1:6" x14ac:dyDescent="0.25">
      <c r="A1604" s="16" t="s">
        <v>5166</v>
      </c>
      <c r="B1604" s="17" t="s">
        <v>5167</v>
      </c>
      <c r="C1604" s="17" t="s">
        <v>11</v>
      </c>
      <c r="D1604" s="17" t="s">
        <v>12</v>
      </c>
      <c r="E1604" s="17" t="s">
        <v>13</v>
      </c>
      <c r="F1604" s="16" t="s">
        <v>5168</v>
      </c>
    </row>
    <row r="1605" spans="1:6" x14ac:dyDescent="0.25">
      <c r="A1605" s="16" t="s">
        <v>5169</v>
      </c>
      <c r="B1605" s="17" t="s">
        <v>5170</v>
      </c>
      <c r="C1605" s="17" t="s">
        <v>11</v>
      </c>
      <c r="D1605" s="17" t="s">
        <v>32</v>
      </c>
      <c r="E1605" s="17" t="s">
        <v>20</v>
      </c>
      <c r="F1605" s="16" t="s">
        <v>5171</v>
      </c>
    </row>
    <row r="1606" spans="1:6" x14ac:dyDescent="0.25">
      <c r="A1606" s="16" t="s">
        <v>5172</v>
      </c>
      <c r="B1606" s="17" t="s">
        <v>5173</v>
      </c>
      <c r="C1606" s="17" t="s">
        <v>11</v>
      </c>
      <c r="D1606" s="17" t="s">
        <v>12</v>
      </c>
      <c r="E1606" s="17" t="s">
        <v>13</v>
      </c>
      <c r="F1606" s="16" t="s">
        <v>5174</v>
      </c>
    </row>
    <row r="1607" spans="1:6" x14ac:dyDescent="0.25">
      <c r="A1607" s="16" t="s">
        <v>5175</v>
      </c>
      <c r="B1607" s="17" t="s">
        <v>5176</v>
      </c>
      <c r="C1607" s="17" t="s">
        <v>11</v>
      </c>
      <c r="D1607" s="17" t="s">
        <v>12</v>
      </c>
      <c r="E1607" s="17" t="s">
        <v>13</v>
      </c>
      <c r="F1607" s="16" t="s">
        <v>5177</v>
      </c>
    </row>
    <row r="1608" spans="1:6" x14ac:dyDescent="0.25">
      <c r="A1608" s="16" t="s">
        <v>5178</v>
      </c>
      <c r="B1608" s="17" t="s">
        <v>5179</v>
      </c>
      <c r="C1608" s="17" t="s">
        <v>11</v>
      </c>
      <c r="D1608" s="17" t="s">
        <v>12</v>
      </c>
      <c r="E1608" s="17" t="s">
        <v>13</v>
      </c>
      <c r="F1608" s="16" t="s">
        <v>5180</v>
      </c>
    </row>
    <row r="1609" spans="1:6" x14ac:dyDescent="0.25">
      <c r="A1609" s="16" t="s">
        <v>5181</v>
      </c>
      <c r="B1609" s="17" t="s">
        <v>5182</v>
      </c>
      <c r="C1609" s="17" t="s">
        <v>11</v>
      </c>
      <c r="D1609" s="17" t="s">
        <v>32</v>
      </c>
      <c r="E1609" s="17" t="s">
        <v>20</v>
      </c>
      <c r="F1609" s="16" t="s">
        <v>5183</v>
      </c>
    </row>
    <row r="1610" spans="1:6" x14ac:dyDescent="0.25">
      <c r="A1610" s="16" t="s">
        <v>5184</v>
      </c>
      <c r="B1610" s="17" t="s">
        <v>5185</v>
      </c>
      <c r="C1610" s="17" t="s">
        <v>11</v>
      </c>
      <c r="D1610" s="17" t="s">
        <v>12</v>
      </c>
      <c r="E1610" s="17" t="s">
        <v>13</v>
      </c>
      <c r="F1610" s="16" t="s">
        <v>5186</v>
      </c>
    </row>
    <row r="1611" spans="1:6" x14ac:dyDescent="0.25">
      <c r="A1611" s="16" t="s">
        <v>5187</v>
      </c>
      <c r="B1611" s="17" t="s">
        <v>5188</v>
      </c>
      <c r="C1611" s="17" t="s">
        <v>11</v>
      </c>
      <c r="D1611" s="17" t="s">
        <v>12</v>
      </c>
      <c r="E1611" s="17" t="s">
        <v>13</v>
      </c>
      <c r="F1611" s="16" t="s">
        <v>5189</v>
      </c>
    </row>
    <row r="1612" spans="1:6" x14ac:dyDescent="0.25">
      <c r="A1612" s="16" t="s">
        <v>5190</v>
      </c>
      <c r="B1612" s="17" t="s">
        <v>5191</v>
      </c>
      <c r="C1612" s="17" t="s">
        <v>11</v>
      </c>
      <c r="D1612" s="17" t="s">
        <v>12</v>
      </c>
      <c r="E1612" s="17" t="s">
        <v>13</v>
      </c>
      <c r="F1612" s="16" t="s">
        <v>5192</v>
      </c>
    </row>
    <row r="1613" spans="1:6" x14ac:dyDescent="0.25">
      <c r="A1613" s="16" t="s">
        <v>5193</v>
      </c>
      <c r="B1613" s="17" t="s">
        <v>5194</v>
      </c>
      <c r="C1613" s="17" t="s">
        <v>11</v>
      </c>
      <c r="D1613" s="17" t="s">
        <v>12</v>
      </c>
      <c r="E1613" s="17" t="s">
        <v>13</v>
      </c>
      <c r="F1613" s="16" t="s">
        <v>5195</v>
      </c>
    </row>
    <row r="1614" spans="1:6" x14ac:dyDescent="0.25">
      <c r="A1614" s="16" t="s">
        <v>5196</v>
      </c>
      <c r="B1614" s="17" t="s">
        <v>5197</v>
      </c>
      <c r="C1614" s="17" t="s">
        <v>11</v>
      </c>
      <c r="D1614" s="17" t="s">
        <v>12</v>
      </c>
      <c r="E1614" s="17" t="s">
        <v>13</v>
      </c>
      <c r="F1614" s="16" t="s">
        <v>5198</v>
      </c>
    </row>
    <row r="1615" spans="1:6" x14ac:dyDescent="0.25">
      <c r="A1615" s="16" t="s">
        <v>5199</v>
      </c>
      <c r="B1615" s="17" t="s">
        <v>5200</v>
      </c>
      <c r="C1615" s="17" t="s">
        <v>11</v>
      </c>
      <c r="D1615" s="17" t="s">
        <v>12</v>
      </c>
      <c r="E1615" s="17" t="s">
        <v>13</v>
      </c>
      <c r="F1615" s="16" t="s">
        <v>5201</v>
      </c>
    </row>
    <row r="1616" spans="1:6" x14ac:dyDescent="0.25">
      <c r="A1616" s="16" t="s">
        <v>5202</v>
      </c>
      <c r="B1616" s="17" t="s">
        <v>5203</v>
      </c>
      <c r="C1616" s="17" t="s">
        <v>11</v>
      </c>
      <c r="D1616" s="17" t="s">
        <v>12</v>
      </c>
      <c r="E1616" s="17" t="s">
        <v>13</v>
      </c>
      <c r="F1616" s="16" t="s">
        <v>5204</v>
      </c>
    </row>
    <row r="1617" spans="1:6" x14ac:dyDescent="0.25">
      <c r="A1617" s="16" t="s">
        <v>5205</v>
      </c>
      <c r="B1617" s="17" t="s">
        <v>5206</v>
      </c>
      <c r="C1617" s="17" t="s">
        <v>11</v>
      </c>
      <c r="D1617" s="17" t="s">
        <v>12</v>
      </c>
      <c r="E1617" s="17" t="s">
        <v>13</v>
      </c>
      <c r="F1617" s="16" t="s">
        <v>5207</v>
      </c>
    </row>
    <row r="1618" spans="1:6" x14ac:dyDescent="0.25">
      <c r="A1618" s="16" t="s">
        <v>5208</v>
      </c>
      <c r="B1618" s="17" t="s">
        <v>5209</v>
      </c>
      <c r="C1618" s="17" t="s">
        <v>11</v>
      </c>
      <c r="D1618" s="17" t="s">
        <v>32</v>
      </c>
      <c r="E1618" s="17" t="s">
        <v>20</v>
      </c>
      <c r="F1618" s="16" t="s">
        <v>5210</v>
      </c>
    </row>
    <row r="1619" spans="1:6" x14ac:dyDescent="0.25">
      <c r="A1619" s="16" t="s">
        <v>5211</v>
      </c>
      <c r="B1619" s="17" t="s">
        <v>5212</v>
      </c>
      <c r="C1619" s="17" t="s">
        <v>11</v>
      </c>
      <c r="D1619" s="17" t="s">
        <v>12</v>
      </c>
      <c r="E1619" s="17" t="s">
        <v>13</v>
      </c>
      <c r="F1619" s="16" t="s">
        <v>5213</v>
      </c>
    </row>
    <row r="1620" spans="1:6" x14ac:dyDescent="0.25">
      <c r="A1620" s="16" t="s">
        <v>5214</v>
      </c>
      <c r="B1620" s="17" t="s">
        <v>5215</v>
      </c>
      <c r="C1620" s="17" t="s">
        <v>11</v>
      </c>
      <c r="D1620" s="17" t="s">
        <v>12</v>
      </c>
      <c r="E1620" s="17" t="s">
        <v>13</v>
      </c>
      <c r="F1620" s="16" t="s">
        <v>5216</v>
      </c>
    </row>
    <row r="1621" spans="1:6" x14ac:dyDescent="0.25">
      <c r="A1621" s="16" t="s">
        <v>5217</v>
      </c>
      <c r="B1621" s="17" t="s">
        <v>5218</v>
      </c>
      <c r="C1621" s="17" t="s">
        <v>11</v>
      </c>
      <c r="D1621" s="17" t="s">
        <v>12</v>
      </c>
      <c r="E1621" s="17" t="s">
        <v>13</v>
      </c>
      <c r="F1621" s="16" t="s">
        <v>5219</v>
      </c>
    </row>
    <row r="1622" spans="1:6" x14ac:dyDescent="0.25">
      <c r="A1622" s="16" t="s">
        <v>5220</v>
      </c>
      <c r="B1622" s="17" t="s">
        <v>5221</v>
      </c>
      <c r="C1622" s="17" t="s">
        <v>11</v>
      </c>
      <c r="D1622" s="17" t="s">
        <v>12</v>
      </c>
      <c r="E1622" s="17" t="s">
        <v>13</v>
      </c>
      <c r="F1622" s="16" t="s">
        <v>5222</v>
      </c>
    </row>
    <row r="1623" spans="1:6" x14ac:dyDescent="0.25">
      <c r="A1623" s="16" t="s">
        <v>5223</v>
      </c>
      <c r="B1623" s="17" t="s">
        <v>5224</v>
      </c>
      <c r="C1623" s="17" t="s">
        <v>11</v>
      </c>
      <c r="D1623" s="17" t="s">
        <v>12</v>
      </c>
      <c r="E1623" s="17" t="s">
        <v>13</v>
      </c>
      <c r="F1623" s="16" t="s">
        <v>5225</v>
      </c>
    </row>
    <row r="1624" spans="1:6" x14ac:dyDescent="0.25">
      <c r="A1624" s="16" t="s">
        <v>5226</v>
      </c>
      <c r="B1624" s="17" t="s">
        <v>5227</v>
      </c>
      <c r="C1624" s="17" t="s">
        <v>11</v>
      </c>
      <c r="D1624" s="17" t="s">
        <v>12</v>
      </c>
      <c r="E1624" s="17" t="s">
        <v>13</v>
      </c>
      <c r="F1624" s="16" t="s">
        <v>5228</v>
      </c>
    </row>
    <row r="1625" spans="1:6" x14ac:dyDescent="0.25">
      <c r="A1625" s="16" t="s">
        <v>5229</v>
      </c>
      <c r="B1625" s="17" t="s">
        <v>5230</v>
      </c>
      <c r="C1625" s="17" t="s">
        <v>11</v>
      </c>
      <c r="D1625" s="17" t="s">
        <v>83</v>
      </c>
      <c r="E1625" s="17" t="s">
        <v>20</v>
      </c>
      <c r="F1625" s="16" t="s">
        <v>5231</v>
      </c>
    </row>
    <row r="1626" spans="1:6" x14ac:dyDescent="0.25">
      <c r="A1626" s="16" t="s">
        <v>5232</v>
      </c>
      <c r="B1626" s="17" t="s">
        <v>5233</v>
      </c>
      <c r="C1626" s="17" t="s">
        <v>11</v>
      </c>
      <c r="D1626" s="17" t="s">
        <v>186</v>
      </c>
      <c r="E1626" s="17" t="s">
        <v>20</v>
      </c>
      <c r="F1626" s="16" t="s">
        <v>5234</v>
      </c>
    </row>
    <row r="1627" spans="1:6" x14ac:dyDescent="0.25">
      <c r="A1627" s="16" t="s">
        <v>5235</v>
      </c>
      <c r="B1627" s="17" t="s">
        <v>5236</v>
      </c>
      <c r="C1627" s="17" t="s">
        <v>11</v>
      </c>
      <c r="D1627" s="17" t="s">
        <v>12</v>
      </c>
      <c r="E1627" s="17" t="s">
        <v>13</v>
      </c>
      <c r="F1627" s="16" t="s">
        <v>5237</v>
      </c>
    </row>
    <row r="1628" spans="1:6" x14ac:dyDescent="0.25">
      <c r="A1628" s="16" t="s">
        <v>5238</v>
      </c>
      <c r="B1628" s="17" t="s">
        <v>5239</v>
      </c>
      <c r="C1628" s="17" t="s">
        <v>11</v>
      </c>
      <c r="D1628" s="17" t="s">
        <v>12</v>
      </c>
      <c r="E1628" s="17" t="s">
        <v>13</v>
      </c>
      <c r="F1628" s="16" t="s">
        <v>5240</v>
      </c>
    </row>
    <row r="1629" spans="1:6" x14ac:dyDescent="0.25">
      <c r="A1629" s="16" t="s">
        <v>5241</v>
      </c>
      <c r="B1629" s="17" t="s">
        <v>5242</v>
      </c>
      <c r="C1629" s="17" t="s">
        <v>11</v>
      </c>
      <c r="D1629" s="17" t="s">
        <v>12</v>
      </c>
      <c r="E1629" s="17" t="s">
        <v>13</v>
      </c>
      <c r="F1629" s="16" t="s">
        <v>5243</v>
      </c>
    </row>
    <row r="1630" spans="1:6" x14ac:dyDescent="0.25">
      <c r="A1630" s="16" t="s">
        <v>5244</v>
      </c>
      <c r="B1630" s="17" t="s">
        <v>5245</v>
      </c>
      <c r="C1630" s="17" t="s">
        <v>11</v>
      </c>
      <c r="D1630" s="17" t="s">
        <v>12</v>
      </c>
      <c r="E1630" s="17" t="s">
        <v>13</v>
      </c>
      <c r="F1630" s="16" t="s">
        <v>5246</v>
      </c>
    </row>
    <row r="1631" spans="1:6" x14ac:dyDescent="0.25">
      <c r="A1631" s="16" t="s">
        <v>5247</v>
      </c>
      <c r="B1631" s="17" t="s">
        <v>5248</v>
      </c>
      <c r="C1631" s="17" t="s">
        <v>11</v>
      </c>
      <c r="D1631" s="17" t="s">
        <v>32</v>
      </c>
      <c r="E1631" s="17" t="s">
        <v>20</v>
      </c>
      <c r="F1631" s="16" t="s">
        <v>5249</v>
      </c>
    </row>
    <row r="1632" spans="1:6" x14ac:dyDescent="0.25">
      <c r="A1632" s="16" t="s">
        <v>5250</v>
      </c>
      <c r="B1632" s="17" t="s">
        <v>5251</v>
      </c>
      <c r="C1632" s="17" t="s">
        <v>11</v>
      </c>
      <c r="D1632" s="17" t="s">
        <v>186</v>
      </c>
      <c r="E1632" s="17" t="s">
        <v>20</v>
      </c>
      <c r="F1632" s="16" t="s">
        <v>5252</v>
      </c>
    </row>
    <row r="1633" spans="1:6" x14ac:dyDescent="0.25">
      <c r="A1633" s="16" t="s">
        <v>5253</v>
      </c>
      <c r="B1633" s="17" t="s">
        <v>5254</v>
      </c>
      <c r="C1633" s="17" t="s">
        <v>11</v>
      </c>
      <c r="D1633" s="17" t="s">
        <v>80</v>
      </c>
      <c r="E1633" s="17" t="s">
        <v>20</v>
      </c>
      <c r="F1633" s="16" t="s">
        <v>5255</v>
      </c>
    </row>
    <row r="1634" spans="1:6" x14ac:dyDescent="0.25">
      <c r="A1634" s="16" t="s">
        <v>5256</v>
      </c>
      <c r="B1634" s="17" t="s">
        <v>5257</v>
      </c>
      <c r="C1634" s="17" t="s">
        <v>11</v>
      </c>
      <c r="D1634" s="17" t="s">
        <v>12</v>
      </c>
      <c r="E1634" s="17" t="s">
        <v>13</v>
      </c>
      <c r="F1634" s="16" t="s">
        <v>5258</v>
      </c>
    </row>
    <row r="1635" spans="1:6" x14ac:dyDescent="0.25">
      <c r="A1635" s="16" t="s">
        <v>5259</v>
      </c>
      <c r="B1635" s="17" t="s">
        <v>5260</v>
      </c>
      <c r="C1635" s="17" t="s">
        <v>11</v>
      </c>
      <c r="D1635" s="17" t="s">
        <v>12</v>
      </c>
      <c r="E1635" s="17" t="s">
        <v>13</v>
      </c>
      <c r="F1635" s="16" t="s">
        <v>5261</v>
      </c>
    </row>
    <row r="1636" spans="1:6" x14ac:dyDescent="0.25">
      <c r="A1636" s="16" t="s">
        <v>5262</v>
      </c>
      <c r="B1636" s="17" t="s">
        <v>5263</v>
      </c>
      <c r="C1636" s="17" t="s">
        <v>11</v>
      </c>
      <c r="D1636" s="17" t="s">
        <v>12</v>
      </c>
      <c r="E1636" s="17" t="s">
        <v>13</v>
      </c>
      <c r="F1636" s="16" t="s">
        <v>5264</v>
      </c>
    </row>
    <row r="1637" spans="1:6" x14ac:dyDescent="0.25">
      <c r="A1637" s="16" t="s">
        <v>5265</v>
      </c>
      <c r="B1637" s="17" t="s">
        <v>5266</v>
      </c>
      <c r="C1637" s="17" t="s">
        <v>11</v>
      </c>
      <c r="D1637" s="17" t="s">
        <v>12</v>
      </c>
      <c r="E1637" s="17" t="s">
        <v>13</v>
      </c>
      <c r="F1637" s="16" t="s">
        <v>5267</v>
      </c>
    </row>
    <row r="1638" spans="1:6" x14ac:dyDescent="0.25">
      <c r="A1638" s="16" t="s">
        <v>5268</v>
      </c>
      <c r="B1638" s="17" t="s">
        <v>5269</v>
      </c>
      <c r="C1638" s="17" t="s">
        <v>11</v>
      </c>
      <c r="D1638" s="17" t="s">
        <v>12</v>
      </c>
      <c r="E1638" s="17" t="s">
        <v>13</v>
      </c>
      <c r="F1638" s="16" t="s">
        <v>5270</v>
      </c>
    </row>
    <row r="1639" spans="1:6" x14ac:dyDescent="0.25">
      <c r="A1639" s="16" t="s">
        <v>5271</v>
      </c>
      <c r="B1639" s="17" t="s">
        <v>5272</v>
      </c>
      <c r="C1639" s="17" t="s">
        <v>11</v>
      </c>
      <c r="D1639" s="17" t="s">
        <v>12</v>
      </c>
      <c r="E1639" s="17" t="s">
        <v>13</v>
      </c>
      <c r="F1639" s="16" t="s">
        <v>5273</v>
      </c>
    </row>
    <row r="1640" spans="1:6" x14ac:dyDescent="0.25">
      <c r="A1640" s="16" t="s">
        <v>5274</v>
      </c>
      <c r="B1640" s="17" t="s">
        <v>5275</v>
      </c>
      <c r="C1640" s="17" t="s">
        <v>11</v>
      </c>
      <c r="D1640" s="17" t="s">
        <v>12</v>
      </c>
      <c r="E1640" s="17" t="s">
        <v>13</v>
      </c>
      <c r="F1640" s="16" t="s">
        <v>5276</v>
      </c>
    </row>
    <row r="1641" spans="1:6" x14ac:dyDescent="0.25">
      <c r="A1641" s="16" t="s">
        <v>5277</v>
      </c>
      <c r="B1641" s="17" t="s">
        <v>5278</v>
      </c>
      <c r="C1641" s="17" t="s">
        <v>11</v>
      </c>
      <c r="D1641" s="17" t="s">
        <v>12</v>
      </c>
      <c r="E1641" s="17" t="s">
        <v>13</v>
      </c>
      <c r="F1641" s="16" t="s">
        <v>5279</v>
      </c>
    </row>
    <row r="1642" spans="1:6" x14ac:dyDescent="0.25">
      <c r="A1642" s="16" t="s">
        <v>5280</v>
      </c>
      <c r="B1642" s="17" t="s">
        <v>5281</v>
      </c>
      <c r="C1642" s="17" t="s">
        <v>11</v>
      </c>
      <c r="D1642" s="17" t="s">
        <v>59</v>
      </c>
      <c r="E1642" s="17" t="s">
        <v>13</v>
      </c>
      <c r="F1642" s="16" t="s">
        <v>5282</v>
      </c>
    </row>
    <row r="1643" spans="1:6" x14ac:dyDescent="0.25">
      <c r="A1643" s="16" t="s">
        <v>5283</v>
      </c>
      <c r="B1643" s="17" t="s">
        <v>5284</v>
      </c>
      <c r="C1643" s="17" t="s">
        <v>11</v>
      </c>
      <c r="D1643" s="17" t="s">
        <v>12</v>
      </c>
      <c r="E1643" s="17" t="s">
        <v>13</v>
      </c>
      <c r="F1643" s="16" t="s">
        <v>5285</v>
      </c>
    </row>
    <row r="1644" spans="1:6" x14ac:dyDescent="0.25">
      <c r="A1644" s="16" t="s">
        <v>5286</v>
      </c>
      <c r="B1644" s="17" t="s">
        <v>5287</v>
      </c>
      <c r="C1644" s="17" t="s">
        <v>11</v>
      </c>
      <c r="D1644" s="17" t="s">
        <v>12</v>
      </c>
      <c r="E1644" s="17" t="s">
        <v>13</v>
      </c>
      <c r="F1644" s="16" t="s">
        <v>5288</v>
      </c>
    </row>
    <row r="1645" spans="1:6" x14ac:dyDescent="0.25">
      <c r="A1645" s="16" t="s">
        <v>5289</v>
      </c>
      <c r="B1645" s="17" t="s">
        <v>5290</v>
      </c>
      <c r="C1645" s="17" t="s">
        <v>11</v>
      </c>
      <c r="D1645" s="17" t="s">
        <v>12</v>
      </c>
      <c r="E1645" s="17" t="s">
        <v>13</v>
      </c>
      <c r="F1645" s="16" t="s">
        <v>5291</v>
      </c>
    </row>
    <row r="1646" spans="1:6" x14ac:dyDescent="0.25">
      <c r="A1646" s="16" t="s">
        <v>5292</v>
      </c>
      <c r="B1646" s="17" t="s">
        <v>5293</v>
      </c>
      <c r="C1646" s="17" t="s">
        <v>11</v>
      </c>
      <c r="D1646" s="17" t="s">
        <v>12</v>
      </c>
      <c r="E1646" s="17" t="s">
        <v>13</v>
      </c>
      <c r="F1646" s="16" t="s">
        <v>5294</v>
      </c>
    </row>
    <row r="1647" spans="1:6" x14ac:dyDescent="0.25">
      <c r="A1647" s="16" t="s">
        <v>5295</v>
      </c>
      <c r="B1647" s="17" t="s">
        <v>5296</v>
      </c>
      <c r="C1647" s="17" t="s">
        <v>11</v>
      </c>
      <c r="D1647" s="17" t="s">
        <v>12</v>
      </c>
      <c r="E1647" s="17" t="s">
        <v>13</v>
      </c>
      <c r="F1647" s="16" t="s">
        <v>5297</v>
      </c>
    </row>
    <row r="1648" spans="1:6" x14ac:dyDescent="0.25">
      <c r="A1648" s="16" t="s">
        <v>5298</v>
      </c>
      <c r="B1648" s="17" t="s">
        <v>5299</v>
      </c>
      <c r="C1648" s="17" t="s">
        <v>11</v>
      </c>
      <c r="D1648" s="17" t="s">
        <v>12</v>
      </c>
      <c r="E1648" s="17" t="s">
        <v>13</v>
      </c>
      <c r="F1648" s="16" t="s">
        <v>5300</v>
      </c>
    </row>
    <row r="1649" spans="1:6" x14ac:dyDescent="0.25">
      <c r="A1649" s="16" t="s">
        <v>5301</v>
      </c>
      <c r="B1649" s="17" t="s">
        <v>5302</v>
      </c>
      <c r="C1649" s="17" t="s">
        <v>11</v>
      </c>
      <c r="D1649" s="17" t="s">
        <v>12</v>
      </c>
      <c r="E1649" s="17" t="s">
        <v>13</v>
      </c>
      <c r="F1649" s="16" t="s">
        <v>5303</v>
      </c>
    </row>
    <row r="1650" spans="1:6" x14ac:dyDescent="0.25">
      <c r="A1650" s="16" t="s">
        <v>5304</v>
      </c>
      <c r="B1650" s="17" t="s">
        <v>5305</v>
      </c>
      <c r="C1650" s="17" t="s">
        <v>11</v>
      </c>
      <c r="D1650" s="17" t="s">
        <v>12</v>
      </c>
      <c r="E1650" s="17" t="s">
        <v>13</v>
      </c>
      <c r="F1650" s="16" t="s">
        <v>5306</v>
      </c>
    </row>
    <row r="1651" spans="1:6" x14ac:dyDescent="0.25">
      <c r="A1651" s="16" t="s">
        <v>5307</v>
      </c>
      <c r="B1651" s="17" t="s">
        <v>5308</v>
      </c>
      <c r="C1651" s="17" t="s">
        <v>11</v>
      </c>
      <c r="D1651" s="17" t="s">
        <v>12</v>
      </c>
      <c r="E1651" s="17" t="s">
        <v>13</v>
      </c>
      <c r="F1651" s="16" t="s">
        <v>5309</v>
      </c>
    </row>
    <row r="1652" spans="1:6" x14ac:dyDescent="0.25">
      <c r="A1652" s="16" t="s">
        <v>5310</v>
      </c>
      <c r="B1652" s="17" t="s">
        <v>5311</v>
      </c>
      <c r="C1652" s="17" t="s">
        <v>11</v>
      </c>
      <c r="D1652" s="17" t="s">
        <v>12</v>
      </c>
      <c r="E1652" s="17" t="s">
        <v>13</v>
      </c>
      <c r="F1652" s="16" t="s">
        <v>5312</v>
      </c>
    </row>
    <row r="1653" spans="1:6" x14ac:dyDescent="0.25">
      <c r="A1653" s="16" t="s">
        <v>5313</v>
      </c>
      <c r="B1653" s="17" t="s">
        <v>5314</v>
      </c>
      <c r="C1653" s="17" t="s">
        <v>11</v>
      </c>
      <c r="D1653" s="17" t="s">
        <v>12</v>
      </c>
      <c r="E1653" s="17" t="s">
        <v>13</v>
      </c>
      <c r="F1653" s="16" t="s">
        <v>5315</v>
      </c>
    </row>
    <row r="1654" spans="1:6" x14ac:dyDescent="0.25">
      <c r="A1654" s="16" t="s">
        <v>5316</v>
      </c>
      <c r="B1654" s="17" t="s">
        <v>5317</v>
      </c>
      <c r="C1654" s="17" t="s">
        <v>11</v>
      </c>
      <c r="D1654" s="17" t="s">
        <v>12</v>
      </c>
      <c r="E1654" s="17" t="s">
        <v>13</v>
      </c>
      <c r="F1654" s="16" t="s">
        <v>5318</v>
      </c>
    </row>
    <row r="1655" spans="1:6" x14ac:dyDescent="0.25">
      <c r="A1655" s="16" t="s">
        <v>5319</v>
      </c>
      <c r="B1655" s="17" t="s">
        <v>5320</v>
      </c>
      <c r="C1655" s="17" t="s">
        <v>11</v>
      </c>
      <c r="D1655" s="17" t="s">
        <v>12</v>
      </c>
      <c r="E1655" s="17" t="s">
        <v>13</v>
      </c>
      <c r="F1655" s="16" t="s">
        <v>5321</v>
      </c>
    </row>
    <row r="1656" spans="1:6" x14ac:dyDescent="0.25">
      <c r="A1656" s="16" t="s">
        <v>5322</v>
      </c>
      <c r="B1656" s="17" t="s">
        <v>5323</v>
      </c>
      <c r="C1656" s="17" t="s">
        <v>11</v>
      </c>
      <c r="D1656" s="17" t="s">
        <v>12</v>
      </c>
      <c r="E1656" s="17" t="s">
        <v>13</v>
      </c>
      <c r="F1656" s="16" t="s">
        <v>5324</v>
      </c>
    </row>
    <row r="1657" spans="1:6" x14ac:dyDescent="0.25">
      <c r="A1657" s="16" t="s">
        <v>5325</v>
      </c>
      <c r="B1657" s="17" t="s">
        <v>5326</v>
      </c>
      <c r="C1657" s="17" t="s">
        <v>11</v>
      </c>
      <c r="D1657" s="17" t="s">
        <v>12</v>
      </c>
      <c r="E1657" s="17" t="s">
        <v>13</v>
      </c>
      <c r="F1657" s="16" t="s">
        <v>5327</v>
      </c>
    </row>
    <row r="1658" spans="1:6" x14ac:dyDescent="0.25">
      <c r="A1658" s="16" t="s">
        <v>5328</v>
      </c>
      <c r="B1658" s="17" t="s">
        <v>5329</v>
      </c>
      <c r="C1658" s="17" t="s">
        <v>11</v>
      </c>
      <c r="D1658" s="17" t="s">
        <v>32</v>
      </c>
      <c r="E1658" s="17" t="s">
        <v>20</v>
      </c>
      <c r="F1658" s="16" t="s">
        <v>5330</v>
      </c>
    </row>
    <row r="1659" spans="1:6" x14ac:dyDescent="0.25">
      <c r="A1659" s="16" t="s">
        <v>5331</v>
      </c>
      <c r="B1659" s="17" t="s">
        <v>5332</v>
      </c>
      <c r="C1659" s="17" t="s">
        <v>11</v>
      </c>
      <c r="D1659" s="17" t="s">
        <v>12</v>
      </c>
      <c r="E1659" s="17" t="s">
        <v>13</v>
      </c>
      <c r="F1659" s="16" t="s">
        <v>5333</v>
      </c>
    </row>
    <row r="1660" spans="1:6" x14ac:dyDescent="0.25">
      <c r="A1660" s="16" t="s">
        <v>5334</v>
      </c>
      <c r="B1660" s="17" t="s">
        <v>5335</v>
      </c>
      <c r="C1660" s="17" t="s">
        <v>11</v>
      </c>
      <c r="D1660" s="17" t="s">
        <v>12</v>
      </c>
      <c r="E1660" s="17" t="s">
        <v>13</v>
      </c>
      <c r="F1660" s="16" t="s">
        <v>5336</v>
      </c>
    </row>
    <row r="1661" spans="1:6" x14ac:dyDescent="0.25">
      <c r="A1661" s="16" t="s">
        <v>5337</v>
      </c>
      <c r="B1661" s="17" t="s">
        <v>5338</v>
      </c>
      <c r="C1661" s="17" t="s">
        <v>11</v>
      </c>
      <c r="D1661" s="17" t="s">
        <v>32</v>
      </c>
      <c r="E1661" s="17" t="s">
        <v>20</v>
      </c>
      <c r="F1661" s="16" t="s">
        <v>5339</v>
      </c>
    </row>
    <row r="1662" spans="1:6" x14ac:dyDescent="0.25">
      <c r="A1662" s="16" t="s">
        <v>5340</v>
      </c>
      <c r="B1662" s="17" t="s">
        <v>5341</v>
      </c>
      <c r="C1662" s="17" t="s">
        <v>11</v>
      </c>
      <c r="D1662" s="17" t="s">
        <v>12</v>
      </c>
      <c r="E1662" s="17" t="s">
        <v>13</v>
      </c>
      <c r="F1662" s="16" t="s">
        <v>5342</v>
      </c>
    </row>
    <row r="1663" spans="1:6" x14ac:dyDescent="0.25">
      <c r="A1663" s="16" t="s">
        <v>5343</v>
      </c>
      <c r="B1663" s="17" t="s">
        <v>5344</v>
      </c>
      <c r="C1663" s="17" t="s">
        <v>11</v>
      </c>
      <c r="D1663" s="17" t="s">
        <v>12</v>
      </c>
      <c r="E1663" s="17" t="s">
        <v>13</v>
      </c>
      <c r="F1663" s="16" t="s">
        <v>5345</v>
      </c>
    </row>
    <row r="1664" spans="1:6" x14ac:dyDescent="0.25">
      <c r="A1664" s="16" t="s">
        <v>5346</v>
      </c>
      <c r="B1664" s="17" t="s">
        <v>5347</v>
      </c>
      <c r="C1664" s="17" t="s">
        <v>11</v>
      </c>
      <c r="D1664" s="17" t="s">
        <v>12</v>
      </c>
      <c r="E1664" s="17" t="s">
        <v>13</v>
      </c>
      <c r="F1664" s="16" t="s">
        <v>5348</v>
      </c>
    </row>
    <row r="1665" spans="1:6" x14ac:dyDescent="0.25">
      <c r="A1665" s="16" t="s">
        <v>5349</v>
      </c>
      <c r="B1665" s="17" t="s">
        <v>5350</v>
      </c>
      <c r="C1665" s="17" t="s">
        <v>11</v>
      </c>
      <c r="D1665" s="17" t="s">
        <v>12</v>
      </c>
      <c r="E1665" s="17" t="s">
        <v>13</v>
      </c>
      <c r="F1665" s="16" t="s">
        <v>5351</v>
      </c>
    </row>
    <row r="1666" spans="1:6" x14ac:dyDescent="0.25">
      <c r="A1666" s="16" t="s">
        <v>5352</v>
      </c>
      <c r="B1666" s="17" t="s">
        <v>5353</v>
      </c>
      <c r="C1666" s="17" t="s">
        <v>11</v>
      </c>
      <c r="D1666" s="17" t="s">
        <v>12</v>
      </c>
      <c r="E1666" s="17" t="s">
        <v>13</v>
      </c>
      <c r="F1666" s="16" t="s">
        <v>5354</v>
      </c>
    </row>
    <row r="1667" spans="1:6" x14ac:dyDescent="0.25">
      <c r="A1667" s="16" t="s">
        <v>5355</v>
      </c>
      <c r="B1667" s="17" t="s">
        <v>5356</v>
      </c>
      <c r="C1667" s="17" t="s">
        <v>11</v>
      </c>
      <c r="D1667" s="17" t="s">
        <v>12</v>
      </c>
      <c r="E1667" s="17" t="s">
        <v>13</v>
      </c>
      <c r="F1667" s="16" t="s">
        <v>5357</v>
      </c>
    </row>
    <row r="1668" spans="1:6" x14ac:dyDescent="0.25">
      <c r="A1668" s="16" t="s">
        <v>5358</v>
      </c>
      <c r="B1668" s="17" t="s">
        <v>5359</v>
      </c>
      <c r="C1668" s="17" t="s">
        <v>11</v>
      </c>
      <c r="D1668" s="17" t="s">
        <v>12</v>
      </c>
      <c r="E1668" s="17" t="s">
        <v>13</v>
      </c>
      <c r="F1668" s="16" t="s">
        <v>5360</v>
      </c>
    </row>
    <row r="1669" spans="1:6" x14ac:dyDescent="0.25">
      <c r="A1669" s="16" t="s">
        <v>5361</v>
      </c>
      <c r="B1669" s="17" t="s">
        <v>5362</v>
      </c>
      <c r="C1669" s="17" t="s">
        <v>11</v>
      </c>
      <c r="D1669" s="17" t="s">
        <v>148</v>
      </c>
      <c r="E1669" s="17" t="s">
        <v>20</v>
      </c>
      <c r="F1669" s="16" t="s">
        <v>5363</v>
      </c>
    </row>
    <row r="1670" spans="1:6" x14ac:dyDescent="0.25">
      <c r="A1670" s="16" t="s">
        <v>5364</v>
      </c>
      <c r="B1670" s="17" t="s">
        <v>5365</v>
      </c>
      <c r="C1670" s="17" t="s">
        <v>11</v>
      </c>
      <c r="D1670" s="17" t="s">
        <v>12</v>
      </c>
      <c r="E1670" s="17" t="s">
        <v>13</v>
      </c>
      <c r="F1670" s="16" t="s">
        <v>5366</v>
      </c>
    </row>
    <row r="1671" spans="1:6" x14ac:dyDescent="0.25">
      <c r="A1671" s="16" t="s">
        <v>5367</v>
      </c>
      <c r="B1671" s="17" t="s">
        <v>5368</v>
      </c>
      <c r="C1671" s="17" t="s">
        <v>11</v>
      </c>
      <c r="D1671" s="17" t="s">
        <v>12</v>
      </c>
      <c r="E1671" s="17" t="s">
        <v>13</v>
      </c>
      <c r="F1671" s="16" t="s">
        <v>5369</v>
      </c>
    </row>
    <row r="1672" spans="1:6" x14ac:dyDescent="0.25">
      <c r="A1672" s="16" t="s">
        <v>5370</v>
      </c>
      <c r="B1672" s="17" t="s">
        <v>5371</v>
      </c>
      <c r="C1672" s="17" t="s">
        <v>11</v>
      </c>
      <c r="D1672" s="17" t="s">
        <v>12</v>
      </c>
      <c r="E1672" s="17" t="s">
        <v>13</v>
      </c>
      <c r="F1672" s="16" t="s">
        <v>5372</v>
      </c>
    </row>
    <row r="1673" spans="1:6" x14ac:dyDescent="0.25">
      <c r="A1673" s="16" t="s">
        <v>5373</v>
      </c>
      <c r="B1673" s="17" t="s">
        <v>5374</v>
      </c>
      <c r="C1673" s="17" t="s">
        <v>11</v>
      </c>
      <c r="D1673" s="17" t="s">
        <v>12</v>
      </c>
      <c r="E1673" s="17" t="s">
        <v>13</v>
      </c>
      <c r="F1673" s="16" t="s">
        <v>5375</v>
      </c>
    </row>
    <row r="1674" spans="1:6" x14ac:dyDescent="0.25">
      <c r="A1674" s="16" t="s">
        <v>5376</v>
      </c>
      <c r="B1674" s="17" t="s">
        <v>5377</v>
      </c>
      <c r="C1674" s="17" t="s">
        <v>11</v>
      </c>
      <c r="D1674" s="17" t="s">
        <v>12</v>
      </c>
      <c r="E1674" s="17" t="s">
        <v>13</v>
      </c>
      <c r="F1674" s="16" t="s">
        <v>5378</v>
      </c>
    </row>
    <row r="1675" spans="1:6" x14ac:dyDescent="0.25">
      <c r="A1675" s="16" t="s">
        <v>5379</v>
      </c>
      <c r="B1675" s="17" t="s">
        <v>5380</v>
      </c>
      <c r="C1675" s="17" t="s">
        <v>11</v>
      </c>
      <c r="D1675" s="17" t="s">
        <v>12</v>
      </c>
      <c r="E1675" s="17" t="s">
        <v>13</v>
      </c>
      <c r="F1675" s="16" t="s">
        <v>5381</v>
      </c>
    </row>
    <row r="1676" spans="1:6" x14ac:dyDescent="0.25">
      <c r="A1676" s="16" t="s">
        <v>5382</v>
      </c>
      <c r="B1676" s="17" t="s">
        <v>5383</v>
      </c>
      <c r="C1676" s="17" t="s">
        <v>11</v>
      </c>
      <c r="D1676" s="17" t="s">
        <v>12</v>
      </c>
      <c r="E1676" s="17" t="s">
        <v>13</v>
      </c>
      <c r="F1676" s="16" t="s">
        <v>5384</v>
      </c>
    </row>
    <row r="1677" spans="1:6" x14ac:dyDescent="0.25">
      <c r="A1677" s="16" t="s">
        <v>5385</v>
      </c>
      <c r="B1677" s="17" t="s">
        <v>5386</v>
      </c>
      <c r="C1677" s="17" t="s">
        <v>11</v>
      </c>
      <c r="D1677" s="17" t="s">
        <v>32</v>
      </c>
      <c r="E1677" s="17" t="s">
        <v>20</v>
      </c>
      <c r="F1677" s="16" t="s">
        <v>5387</v>
      </c>
    </row>
    <row r="1678" spans="1:6" x14ac:dyDescent="0.25">
      <c r="A1678" s="16" t="s">
        <v>5388</v>
      </c>
      <c r="B1678" s="17" t="s">
        <v>5389</v>
      </c>
      <c r="C1678" s="17" t="s">
        <v>11</v>
      </c>
      <c r="D1678" s="17" t="s">
        <v>12</v>
      </c>
      <c r="E1678" s="17" t="s">
        <v>13</v>
      </c>
      <c r="F1678" s="16" t="s">
        <v>5390</v>
      </c>
    </row>
    <row r="1679" spans="1:6" x14ac:dyDescent="0.25">
      <c r="A1679" s="16" t="s">
        <v>5391</v>
      </c>
      <c r="B1679" s="17" t="s">
        <v>5392</v>
      </c>
      <c r="C1679" s="17" t="s">
        <v>11</v>
      </c>
      <c r="D1679" s="17" t="s">
        <v>12</v>
      </c>
      <c r="E1679" s="17" t="s">
        <v>13</v>
      </c>
      <c r="F1679" s="16" t="s">
        <v>5393</v>
      </c>
    </row>
    <row r="1680" spans="1:6" x14ac:dyDescent="0.25">
      <c r="A1680" s="16" t="s">
        <v>5394</v>
      </c>
      <c r="B1680" s="17" t="s">
        <v>5395</v>
      </c>
      <c r="C1680" s="17" t="s">
        <v>11</v>
      </c>
      <c r="D1680" s="17" t="s">
        <v>12</v>
      </c>
      <c r="E1680" s="17" t="s">
        <v>13</v>
      </c>
      <c r="F1680" s="16" t="s">
        <v>5396</v>
      </c>
    </row>
    <row r="1681" spans="1:6" x14ac:dyDescent="0.25">
      <c r="A1681" s="16" t="s">
        <v>5397</v>
      </c>
      <c r="B1681" s="17" t="s">
        <v>5398</v>
      </c>
      <c r="C1681" s="17" t="s">
        <v>11</v>
      </c>
      <c r="D1681" s="17" t="s">
        <v>74</v>
      </c>
      <c r="E1681" s="17" t="s">
        <v>20</v>
      </c>
      <c r="F1681" s="16" t="s">
        <v>5399</v>
      </c>
    </row>
    <row r="1682" spans="1:6" x14ac:dyDescent="0.25">
      <c r="A1682" s="16" t="s">
        <v>5400</v>
      </c>
      <c r="B1682" s="17" t="s">
        <v>5401</v>
      </c>
      <c r="C1682" s="17" t="s">
        <v>11</v>
      </c>
      <c r="D1682" s="17" t="s">
        <v>80</v>
      </c>
      <c r="E1682" s="17" t="s">
        <v>20</v>
      </c>
      <c r="F1682" s="16" t="s">
        <v>5402</v>
      </c>
    </row>
    <row r="1683" spans="1:6" x14ac:dyDescent="0.25">
      <c r="A1683" s="16" t="s">
        <v>5403</v>
      </c>
      <c r="B1683" s="17" t="s">
        <v>5404</v>
      </c>
      <c r="C1683" s="17" t="s">
        <v>11</v>
      </c>
      <c r="D1683" s="17" t="s">
        <v>12</v>
      </c>
      <c r="E1683" s="17" t="s">
        <v>13</v>
      </c>
      <c r="F1683" s="16" t="s">
        <v>5405</v>
      </c>
    </row>
    <row r="1684" spans="1:6" x14ac:dyDescent="0.25">
      <c r="A1684" s="16" t="s">
        <v>5406</v>
      </c>
      <c r="B1684" s="17" t="s">
        <v>5407</v>
      </c>
      <c r="C1684" s="17" t="s">
        <v>11</v>
      </c>
      <c r="D1684" s="17" t="s">
        <v>80</v>
      </c>
      <c r="E1684" s="17" t="s">
        <v>20</v>
      </c>
      <c r="F1684" s="16" t="s">
        <v>5408</v>
      </c>
    </row>
    <row r="1685" spans="1:6" x14ac:dyDescent="0.25">
      <c r="A1685" s="16" t="s">
        <v>5409</v>
      </c>
      <c r="B1685" s="17" t="s">
        <v>5410</v>
      </c>
      <c r="C1685" s="17" t="s">
        <v>11</v>
      </c>
      <c r="D1685" s="17" t="s">
        <v>83</v>
      </c>
      <c r="E1685" s="17" t="s">
        <v>20</v>
      </c>
      <c r="F1685" s="16" t="s">
        <v>5411</v>
      </c>
    </row>
    <row r="1686" spans="1:6" x14ac:dyDescent="0.25">
      <c r="A1686" s="16" t="s">
        <v>5412</v>
      </c>
      <c r="B1686" s="17" t="s">
        <v>5413</v>
      </c>
      <c r="C1686" s="17" t="s">
        <v>11</v>
      </c>
      <c r="D1686" s="17" t="s">
        <v>12</v>
      </c>
      <c r="E1686" s="17" t="s">
        <v>13</v>
      </c>
      <c r="F1686" s="16" t="s">
        <v>5414</v>
      </c>
    </row>
    <row r="1687" spans="1:6" x14ac:dyDescent="0.25">
      <c r="A1687" s="16" t="s">
        <v>5415</v>
      </c>
      <c r="B1687" s="17" t="s">
        <v>5416</v>
      </c>
      <c r="C1687" s="17" t="s">
        <v>11</v>
      </c>
      <c r="D1687" s="17" t="s">
        <v>80</v>
      </c>
      <c r="E1687" s="17" t="s">
        <v>20</v>
      </c>
      <c r="F1687" s="16" t="s">
        <v>5417</v>
      </c>
    </row>
    <row r="1688" spans="1:6" x14ac:dyDescent="0.25">
      <c r="A1688" s="16" t="s">
        <v>5418</v>
      </c>
      <c r="B1688" s="17" t="s">
        <v>5419</v>
      </c>
      <c r="C1688" s="17" t="s">
        <v>11</v>
      </c>
      <c r="D1688" s="17" t="s">
        <v>3173</v>
      </c>
      <c r="E1688" s="17" t="s">
        <v>20</v>
      </c>
      <c r="F1688" s="16" t="s">
        <v>5420</v>
      </c>
    </row>
    <row r="1689" spans="1:6" x14ac:dyDescent="0.25">
      <c r="A1689" s="16" t="s">
        <v>5421</v>
      </c>
      <c r="B1689" s="17" t="s">
        <v>5422</v>
      </c>
      <c r="C1689" s="17" t="s">
        <v>11</v>
      </c>
      <c r="D1689" s="17" t="s">
        <v>89</v>
      </c>
      <c r="E1689" s="17" t="s">
        <v>20</v>
      </c>
      <c r="F1689" s="16" t="s">
        <v>5423</v>
      </c>
    </row>
    <row r="1690" spans="1:6" x14ac:dyDescent="0.25">
      <c r="A1690" s="16" t="s">
        <v>5424</v>
      </c>
      <c r="B1690" s="17" t="s">
        <v>5425</v>
      </c>
      <c r="C1690" s="17" t="s">
        <v>11</v>
      </c>
      <c r="D1690" s="17" t="s">
        <v>89</v>
      </c>
      <c r="E1690" s="17" t="s">
        <v>20</v>
      </c>
      <c r="F1690" s="16" t="s">
        <v>5426</v>
      </c>
    </row>
    <row r="1691" spans="1:6" x14ac:dyDescent="0.25">
      <c r="A1691" s="16" t="s">
        <v>5427</v>
      </c>
      <c r="B1691" s="17" t="s">
        <v>5428</v>
      </c>
      <c r="C1691" s="17" t="s">
        <v>11</v>
      </c>
      <c r="D1691" s="17" t="s">
        <v>32</v>
      </c>
      <c r="E1691" s="17" t="s">
        <v>20</v>
      </c>
      <c r="F1691" s="16" t="s">
        <v>5429</v>
      </c>
    </row>
    <row r="1692" spans="1:6" x14ac:dyDescent="0.25">
      <c r="A1692" s="16" t="s">
        <v>5430</v>
      </c>
      <c r="B1692" s="17" t="s">
        <v>5431</v>
      </c>
      <c r="C1692" s="17" t="s">
        <v>11</v>
      </c>
      <c r="D1692" s="17" t="s">
        <v>32</v>
      </c>
      <c r="E1692" s="17" t="s">
        <v>20</v>
      </c>
      <c r="F1692" s="16" t="s">
        <v>5432</v>
      </c>
    </row>
    <row r="1693" spans="1:6" x14ac:dyDescent="0.25">
      <c r="A1693" s="16" t="s">
        <v>5433</v>
      </c>
      <c r="B1693" s="17" t="s">
        <v>5434</v>
      </c>
      <c r="C1693" s="17" t="s">
        <v>11</v>
      </c>
      <c r="D1693" s="17" t="s">
        <v>74</v>
      </c>
      <c r="E1693" s="17" t="s">
        <v>20</v>
      </c>
      <c r="F1693" s="16" t="s">
        <v>5435</v>
      </c>
    </row>
    <row r="1694" spans="1:6" x14ac:dyDescent="0.25">
      <c r="A1694" s="16" t="s">
        <v>5436</v>
      </c>
      <c r="B1694" s="17" t="s">
        <v>5437</v>
      </c>
      <c r="C1694" s="17" t="s">
        <v>11</v>
      </c>
      <c r="D1694" s="17" t="s">
        <v>291</v>
      </c>
      <c r="E1694" s="17" t="s">
        <v>20</v>
      </c>
      <c r="F1694" s="16" t="s">
        <v>5438</v>
      </c>
    </row>
    <row r="1695" spans="1:6" x14ac:dyDescent="0.25">
      <c r="A1695" s="16" t="s">
        <v>5439</v>
      </c>
      <c r="B1695" s="17" t="s">
        <v>5440</v>
      </c>
      <c r="C1695" s="17" t="s">
        <v>11</v>
      </c>
      <c r="D1695" s="17" t="s">
        <v>649</v>
      </c>
      <c r="E1695" s="17" t="s">
        <v>20</v>
      </c>
      <c r="F1695" s="16" t="s">
        <v>5441</v>
      </c>
    </row>
    <row r="1696" spans="1:6" x14ac:dyDescent="0.25">
      <c r="A1696" s="16" t="s">
        <v>5442</v>
      </c>
      <c r="B1696" s="17" t="s">
        <v>5443</v>
      </c>
      <c r="C1696" s="17" t="s">
        <v>11</v>
      </c>
      <c r="D1696" s="17" t="s">
        <v>291</v>
      </c>
      <c r="E1696" s="17" t="s">
        <v>20</v>
      </c>
      <c r="F1696" s="16" t="s">
        <v>5444</v>
      </c>
    </row>
    <row r="1697" spans="1:6" x14ac:dyDescent="0.25">
      <c r="A1697" s="16" t="s">
        <v>5445</v>
      </c>
      <c r="B1697" s="17" t="s">
        <v>5446</v>
      </c>
      <c r="C1697" s="17" t="s">
        <v>11</v>
      </c>
      <c r="D1697" s="17" t="s">
        <v>811</v>
      </c>
      <c r="E1697" s="17" t="s">
        <v>20</v>
      </c>
      <c r="F1697" s="16" t="s">
        <v>5447</v>
      </c>
    </row>
    <row r="1698" spans="1:6" x14ac:dyDescent="0.25">
      <c r="A1698" s="16" t="s">
        <v>5448</v>
      </c>
      <c r="B1698" s="17" t="s">
        <v>5449</v>
      </c>
      <c r="C1698" s="17" t="s">
        <v>11</v>
      </c>
      <c r="D1698" s="17" t="s">
        <v>26</v>
      </c>
      <c r="E1698" s="17" t="s">
        <v>20</v>
      </c>
      <c r="F1698" s="16" t="s">
        <v>5450</v>
      </c>
    </row>
    <row r="1699" spans="1:6" x14ac:dyDescent="0.25">
      <c r="A1699" s="16" t="s">
        <v>5451</v>
      </c>
      <c r="B1699" s="17" t="s">
        <v>5452</v>
      </c>
      <c r="C1699" s="17" t="s">
        <v>11</v>
      </c>
      <c r="D1699" s="17" t="s">
        <v>32</v>
      </c>
      <c r="E1699" s="17" t="s">
        <v>20</v>
      </c>
      <c r="F1699" s="16" t="s">
        <v>5453</v>
      </c>
    </row>
    <row r="1700" spans="1:6" x14ac:dyDescent="0.25">
      <c r="A1700" s="16" t="s">
        <v>5454</v>
      </c>
      <c r="B1700" s="17" t="s">
        <v>5455</v>
      </c>
      <c r="C1700" s="17" t="s">
        <v>11</v>
      </c>
      <c r="D1700" s="17" t="s">
        <v>148</v>
      </c>
      <c r="E1700" s="17" t="s">
        <v>20</v>
      </c>
      <c r="F1700" s="16" t="s">
        <v>5456</v>
      </c>
    </row>
    <row r="1701" spans="1:6" x14ac:dyDescent="0.25">
      <c r="A1701" s="16" t="s">
        <v>5457</v>
      </c>
      <c r="B1701" s="17" t="s">
        <v>5458</v>
      </c>
      <c r="C1701" s="17" t="s">
        <v>11</v>
      </c>
      <c r="D1701" s="17" t="s">
        <v>544</v>
      </c>
      <c r="E1701" s="17" t="s">
        <v>20</v>
      </c>
      <c r="F1701" s="16" t="s">
        <v>5459</v>
      </c>
    </row>
    <row r="1702" spans="1:6" x14ac:dyDescent="0.25">
      <c r="A1702" s="16" t="s">
        <v>5460</v>
      </c>
      <c r="B1702" s="17" t="s">
        <v>5461</v>
      </c>
      <c r="C1702" s="17" t="s">
        <v>11</v>
      </c>
      <c r="D1702" s="17" t="s">
        <v>26</v>
      </c>
      <c r="E1702" s="17" t="s">
        <v>20</v>
      </c>
      <c r="F1702" s="16" t="s">
        <v>5462</v>
      </c>
    </row>
    <row r="1703" spans="1:6" x14ac:dyDescent="0.25">
      <c r="A1703" s="16" t="s">
        <v>5463</v>
      </c>
      <c r="B1703" s="17" t="s">
        <v>5464</v>
      </c>
      <c r="C1703" s="17" t="s">
        <v>11</v>
      </c>
      <c r="D1703" s="17" t="s">
        <v>26</v>
      </c>
      <c r="E1703" s="17" t="s">
        <v>20</v>
      </c>
      <c r="F1703" s="16" t="s">
        <v>5465</v>
      </c>
    </row>
    <row r="1704" spans="1:6" x14ac:dyDescent="0.25">
      <c r="A1704" s="16" t="s">
        <v>5466</v>
      </c>
      <c r="B1704" s="17" t="s">
        <v>5467</v>
      </c>
      <c r="C1704" s="17" t="s">
        <v>11</v>
      </c>
      <c r="D1704" s="17" t="s">
        <v>59</v>
      </c>
      <c r="E1704" s="17" t="s">
        <v>13</v>
      </c>
      <c r="F1704" s="16" t="s">
        <v>5468</v>
      </c>
    </row>
    <row r="1705" spans="1:6" x14ac:dyDescent="0.25">
      <c r="A1705" s="16" t="s">
        <v>5469</v>
      </c>
      <c r="B1705" s="17" t="s">
        <v>5470</v>
      </c>
      <c r="C1705" s="17" t="s">
        <v>11</v>
      </c>
      <c r="D1705" s="17" t="s">
        <v>12</v>
      </c>
      <c r="E1705" s="17" t="s">
        <v>13</v>
      </c>
      <c r="F1705" s="16" t="s">
        <v>5471</v>
      </c>
    </row>
    <row r="1706" spans="1:6" x14ac:dyDescent="0.25">
      <c r="A1706" s="16" t="s">
        <v>5472</v>
      </c>
      <c r="B1706" s="17" t="s">
        <v>5473</v>
      </c>
      <c r="C1706" s="17" t="s">
        <v>11</v>
      </c>
      <c r="D1706" s="17" t="s">
        <v>12</v>
      </c>
      <c r="E1706" s="17" t="s">
        <v>13</v>
      </c>
      <c r="F1706" s="16" t="s">
        <v>5474</v>
      </c>
    </row>
    <row r="1707" spans="1:6" x14ac:dyDescent="0.25">
      <c r="A1707" s="16" t="s">
        <v>5475</v>
      </c>
      <c r="B1707" s="17" t="s">
        <v>5476</v>
      </c>
      <c r="C1707" s="17" t="s">
        <v>11</v>
      </c>
      <c r="D1707" s="17" t="s">
        <v>12</v>
      </c>
      <c r="E1707" s="17" t="s">
        <v>13</v>
      </c>
      <c r="F1707" s="16" t="s">
        <v>5477</v>
      </c>
    </row>
    <row r="1708" spans="1:6" x14ac:dyDescent="0.25">
      <c r="A1708" s="16" t="s">
        <v>5478</v>
      </c>
      <c r="B1708" s="17" t="s">
        <v>5479</v>
      </c>
      <c r="C1708" s="17" t="s">
        <v>11</v>
      </c>
      <c r="D1708" s="17" t="s">
        <v>12</v>
      </c>
      <c r="E1708" s="17" t="s">
        <v>13</v>
      </c>
      <c r="F1708" s="16" t="s">
        <v>5480</v>
      </c>
    </row>
    <row r="1709" spans="1:6" x14ac:dyDescent="0.25">
      <c r="A1709" s="16" t="s">
        <v>5481</v>
      </c>
      <c r="B1709" s="17" t="s">
        <v>5482</v>
      </c>
      <c r="C1709" s="17" t="s">
        <v>11</v>
      </c>
      <c r="D1709" s="17" t="s">
        <v>12</v>
      </c>
      <c r="E1709" s="17" t="s">
        <v>13</v>
      </c>
      <c r="F1709" s="16" t="s">
        <v>5483</v>
      </c>
    </row>
    <row r="1710" spans="1:6" x14ac:dyDescent="0.25">
      <c r="A1710" s="16" t="s">
        <v>5484</v>
      </c>
      <c r="B1710" s="17" t="s">
        <v>5485</v>
      </c>
      <c r="C1710" s="17" t="s">
        <v>11</v>
      </c>
      <c r="D1710" s="17" t="s">
        <v>12</v>
      </c>
      <c r="E1710" s="17" t="s">
        <v>13</v>
      </c>
      <c r="F1710" s="16" t="s">
        <v>5486</v>
      </c>
    </row>
    <row r="1711" spans="1:6" x14ac:dyDescent="0.25">
      <c r="A1711" s="16" t="s">
        <v>5487</v>
      </c>
      <c r="B1711" s="17" t="s">
        <v>5488</v>
      </c>
      <c r="C1711" s="17" t="s">
        <v>11</v>
      </c>
      <c r="D1711" s="17" t="s">
        <v>12</v>
      </c>
      <c r="E1711" s="17" t="s">
        <v>13</v>
      </c>
      <c r="F1711" s="16" t="s">
        <v>5489</v>
      </c>
    </row>
    <row r="1712" spans="1:6" x14ac:dyDescent="0.25">
      <c r="A1712" s="16" t="s">
        <v>5490</v>
      </c>
      <c r="B1712" s="17" t="s">
        <v>5491</v>
      </c>
      <c r="C1712" s="17" t="s">
        <v>11</v>
      </c>
      <c r="D1712" s="17" t="s">
        <v>12</v>
      </c>
      <c r="E1712" s="17" t="s">
        <v>13</v>
      </c>
      <c r="F1712" s="16" t="s">
        <v>5492</v>
      </c>
    </row>
    <row r="1713" spans="1:6" x14ac:dyDescent="0.25">
      <c r="A1713" s="16" t="s">
        <v>5493</v>
      </c>
      <c r="B1713" s="17" t="s">
        <v>5494</v>
      </c>
      <c r="C1713" s="17" t="s">
        <v>11</v>
      </c>
      <c r="D1713" s="17" t="s">
        <v>12</v>
      </c>
      <c r="E1713" s="17" t="s">
        <v>13</v>
      </c>
      <c r="F1713" s="16" t="s">
        <v>5495</v>
      </c>
    </row>
    <row r="1714" spans="1:6" x14ac:dyDescent="0.25">
      <c r="A1714" s="16" t="s">
        <v>5496</v>
      </c>
      <c r="B1714" s="17" t="s">
        <v>5497</v>
      </c>
      <c r="C1714" s="17" t="s">
        <v>11</v>
      </c>
      <c r="D1714" s="17" t="s">
        <v>12</v>
      </c>
      <c r="E1714" s="17" t="s">
        <v>13</v>
      </c>
      <c r="F1714" s="16" t="s">
        <v>5498</v>
      </c>
    </row>
    <row r="1715" spans="1:6" x14ac:dyDescent="0.25">
      <c r="A1715" s="16" t="s">
        <v>5499</v>
      </c>
      <c r="B1715" s="17" t="s">
        <v>5500</v>
      </c>
      <c r="C1715" s="17" t="s">
        <v>11</v>
      </c>
      <c r="D1715" s="17" t="s">
        <v>59</v>
      </c>
      <c r="E1715" s="17" t="s">
        <v>13</v>
      </c>
      <c r="F1715" s="16" t="s">
        <v>5501</v>
      </c>
    </row>
    <row r="1716" spans="1:6" x14ac:dyDescent="0.25">
      <c r="A1716" s="16" t="s">
        <v>5502</v>
      </c>
      <c r="B1716" s="17" t="s">
        <v>5503</v>
      </c>
      <c r="C1716" s="17" t="s">
        <v>11</v>
      </c>
      <c r="D1716" s="17" t="s">
        <v>12</v>
      </c>
      <c r="E1716" s="17" t="s">
        <v>13</v>
      </c>
      <c r="F1716" s="16" t="s">
        <v>5504</v>
      </c>
    </row>
    <row r="1717" spans="1:6" x14ac:dyDescent="0.25">
      <c r="A1717" s="16" t="s">
        <v>5505</v>
      </c>
      <c r="B1717" s="17" t="s">
        <v>5506</v>
      </c>
      <c r="C1717" s="17" t="s">
        <v>11</v>
      </c>
      <c r="D1717" s="17" t="s">
        <v>12</v>
      </c>
      <c r="E1717" s="17" t="s">
        <v>13</v>
      </c>
      <c r="F1717" s="16" t="s">
        <v>5507</v>
      </c>
    </row>
    <row r="1718" spans="1:6" x14ac:dyDescent="0.25">
      <c r="A1718" s="16" t="s">
        <v>5508</v>
      </c>
      <c r="B1718" s="17" t="s">
        <v>5509</v>
      </c>
      <c r="C1718" s="17" t="s">
        <v>11</v>
      </c>
      <c r="D1718" s="17" t="s">
        <v>12</v>
      </c>
      <c r="E1718" s="17" t="s">
        <v>13</v>
      </c>
      <c r="F1718" s="16" t="s">
        <v>5510</v>
      </c>
    </row>
    <row r="1719" spans="1:6" x14ac:dyDescent="0.25">
      <c r="A1719" s="16" t="s">
        <v>5511</v>
      </c>
      <c r="B1719" s="17" t="s">
        <v>5512</v>
      </c>
      <c r="C1719" s="17" t="s">
        <v>11</v>
      </c>
      <c r="D1719" s="17" t="s">
        <v>12</v>
      </c>
      <c r="E1719" s="17" t="s">
        <v>13</v>
      </c>
      <c r="F1719" s="16" t="s">
        <v>5513</v>
      </c>
    </row>
    <row r="1720" spans="1:6" x14ac:dyDescent="0.25">
      <c r="A1720" s="16" t="s">
        <v>5514</v>
      </c>
      <c r="B1720" s="17" t="s">
        <v>5515</v>
      </c>
      <c r="C1720" s="17" t="s">
        <v>11</v>
      </c>
      <c r="D1720" s="17" t="s">
        <v>83</v>
      </c>
      <c r="E1720" s="17" t="s">
        <v>20</v>
      </c>
      <c r="F1720" s="16" t="s">
        <v>5516</v>
      </c>
    </row>
    <row r="1721" spans="1:6" x14ac:dyDescent="0.25">
      <c r="A1721" s="16" t="s">
        <v>5517</v>
      </c>
      <c r="B1721" s="17" t="s">
        <v>5518</v>
      </c>
      <c r="C1721" s="17" t="s">
        <v>11</v>
      </c>
      <c r="D1721" s="17" t="s">
        <v>32</v>
      </c>
      <c r="E1721" s="17" t="s">
        <v>20</v>
      </c>
      <c r="F1721" s="16" t="s">
        <v>5519</v>
      </c>
    </row>
    <row r="1722" spans="1:6" x14ac:dyDescent="0.25">
      <c r="A1722" s="16" t="s">
        <v>5520</v>
      </c>
      <c r="B1722" s="17" t="s">
        <v>5521</v>
      </c>
      <c r="C1722" s="17" t="s">
        <v>11</v>
      </c>
      <c r="D1722" s="17" t="s">
        <v>32</v>
      </c>
      <c r="E1722" s="17" t="s">
        <v>20</v>
      </c>
      <c r="F1722" s="16" t="s">
        <v>5522</v>
      </c>
    </row>
    <row r="1723" spans="1:6" x14ac:dyDescent="0.25">
      <c r="A1723" s="16" t="s">
        <v>5523</v>
      </c>
      <c r="B1723" s="17" t="s">
        <v>5524</v>
      </c>
      <c r="C1723" s="17" t="s">
        <v>11</v>
      </c>
      <c r="D1723" s="17" t="s">
        <v>32</v>
      </c>
      <c r="E1723" s="17" t="s">
        <v>20</v>
      </c>
      <c r="F1723" s="16" t="s">
        <v>5525</v>
      </c>
    </row>
    <row r="1724" spans="1:6" x14ac:dyDescent="0.25">
      <c r="A1724" s="16" t="s">
        <v>5526</v>
      </c>
      <c r="B1724" s="17" t="s">
        <v>5527</v>
      </c>
      <c r="C1724" s="17" t="s">
        <v>11</v>
      </c>
      <c r="D1724" s="17" t="s">
        <v>233</v>
      </c>
      <c r="E1724" s="17" t="s">
        <v>20</v>
      </c>
      <c r="F1724" s="16" t="s">
        <v>5528</v>
      </c>
    </row>
    <row r="1725" spans="1:6" x14ac:dyDescent="0.25">
      <c r="A1725" s="16" t="s">
        <v>5529</v>
      </c>
      <c r="B1725" s="17" t="s">
        <v>5530</v>
      </c>
      <c r="C1725" s="17" t="s">
        <v>11</v>
      </c>
      <c r="D1725" s="17" t="s">
        <v>26</v>
      </c>
      <c r="E1725" s="17" t="s">
        <v>20</v>
      </c>
      <c r="F1725" s="16" t="s">
        <v>5531</v>
      </c>
    </row>
    <row r="1726" spans="1:6" x14ac:dyDescent="0.25">
      <c r="A1726" s="16" t="s">
        <v>5532</v>
      </c>
      <c r="B1726" s="17" t="s">
        <v>5533</v>
      </c>
      <c r="C1726" s="17" t="s">
        <v>11</v>
      </c>
      <c r="D1726" s="17" t="s">
        <v>74</v>
      </c>
      <c r="E1726" s="17" t="s">
        <v>20</v>
      </c>
      <c r="F1726" s="16" t="s">
        <v>5534</v>
      </c>
    </row>
    <row r="1727" spans="1:6" x14ac:dyDescent="0.25">
      <c r="A1727" s="16" t="s">
        <v>5535</v>
      </c>
      <c r="B1727" s="17" t="s">
        <v>5536</v>
      </c>
      <c r="C1727" s="17" t="s">
        <v>11</v>
      </c>
      <c r="D1727" s="17" t="s">
        <v>32</v>
      </c>
      <c r="E1727" s="17" t="s">
        <v>20</v>
      </c>
      <c r="F1727" s="16" t="s">
        <v>5537</v>
      </c>
    </row>
    <row r="1728" spans="1:6" x14ac:dyDescent="0.25">
      <c r="A1728" s="16" t="s">
        <v>5538</v>
      </c>
      <c r="B1728" s="17" t="s">
        <v>5539</v>
      </c>
      <c r="C1728" s="17" t="s">
        <v>11</v>
      </c>
      <c r="D1728" s="17" t="s">
        <v>26</v>
      </c>
      <c r="E1728" s="17" t="s">
        <v>20</v>
      </c>
      <c r="F1728" s="16" t="s">
        <v>5540</v>
      </c>
    </row>
    <row r="1729" spans="1:6" x14ac:dyDescent="0.25">
      <c r="A1729" s="16" t="s">
        <v>5541</v>
      </c>
      <c r="B1729" s="17" t="s">
        <v>5542</v>
      </c>
      <c r="C1729" s="17" t="s">
        <v>11</v>
      </c>
      <c r="D1729" s="17" t="s">
        <v>186</v>
      </c>
      <c r="E1729" s="17" t="s">
        <v>20</v>
      </c>
      <c r="F1729" s="16" t="s">
        <v>5543</v>
      </c>
    </row>
    <row r="1730" spans="1:6" x14ac:dyDescent="0.25">
      <c r="A1730" s="16" t="s">
        <v>5544</v>
      </c>
      <c r="B1730" s="17" t="s">
        <v>5545</v>
      </c>
      <c r="C1730" s="17" t="s">
        <v>11</v>
      </c>
      <c r="D1730" s="17" t="s">
        <v>32</v>
      </c>
      <c r="E1730" s="17" t="s">
        <v>20</v>
      </c>
      <c r="F1730" s="16" t="s">
        <v>5546</v>
      </c>
    </row>
    <row r="1731" spans="1:6" x14ac:dyDescent="0.25">
      <c r="A1731" s="16" t="s">
        <v>5547</v>
      </c>
      <c r="B1731" s="17" t="s">
        <v>5548</v>
      </c>
      <c r="C1731" s="17" t="s">
        <v>11</v>
      </c>
      <c r="D1731" s="17" t="s">
        <v>32</v>
      </c>
      <c r="E1731" s="17" t="s">
        <v>20</v>
      </c>
      <c r="F1731" s="16" t="s">
        <v>5549</v>
      </c>
    </row>
    <row r="1732" spans="1:6" x14ac:dyDescent="0.25">
      <c r="A1732" s="16" t="s">
        <v>5550</v>
      </c>
      <c r="B1732" s="17" t="s">
        <v>5551</v>
      </c>
      <c r="C1732" s="17" t="s">
        <v>11</v>
      </c>
      <c r="D1732" s="17" t="s">
        <v>83</v>
      </c>
      <c r="E1732" s="17" t="s">
        <v>20</v>
      </c>
      <c r="F1732" s="16" t="s">
        <v>5552</v>
      </c>
    </row>
    <row r="1733" spans="1:6" x14ac:dyDescent="0.25">
      <c r="A1733" s="16" t="s">
        <v>5553</v>
      </c>
      <c r="B1733" s="17" t="s">
        <v>5554</v>
      </c>
      <c r="C1733" s="17" t="s">
        <v>11</v>
      </c>
      <c r="D1733" s="17" t="s">
        <v>32</v>
      </c>
      <c r="E1733" s="17" t="s">
        <v>20</v>
      </c>
      <c r="F1733" s="16" t="s">
        <v>5555</v>
      </c>
    </row>
    <row r="1734" spans="1:6" x14ac:dyDescent="0.25">
      <c r="A1734" s="16" t="s">
        <v>5556</v>
      </c>
      <c r="B1734" s="17" t="s">
        <v>5557</v>
      </c>
      <c r="C1734" s="17" t="s">
        <v>11</v>
      </c>
      <c r="D1734" s="17" t="s">
        <v>83</v>
      </c>
      <c r="E1734" s="17" t="s">
        <v>20</v>
      </c>
      <c r="F1734" s="16" t="s">
        <v>5558</v>
      </c>
    </row>
    <row r="1735" spans="1:6" x14ac:dyDescent="0.25">
      <c r="A1735" s="16" t="s">
        <v>5559</v>
      </c>
      <c r="B1735" s="17" t="s">
        <v>5560</v>
      </c>
      <c r="C1735" s="17" t="s">
        <v>11</v>
      </c>
      <c r="D1735" s="17" t="s">
        <v>32</v>
      </c>
      <c r="E1735" s="17" t="s">
        <v>20</v>
      </c>
      <c r="F1735" s="16" t="s">
        <v>5561</v>
      </c>
    </row>
    <row r="1736" spans="1:6" x14ac:dyDescent="0.25">
      <c r="A1736" s="16" t="s">
        <v>5562</v>
      </c>
      <c r="B1736" s="17" t="s">
        <v>5563</v>
      </c>
      <c r="C1736" s="17" t="s">
        <v>11</v>
      </c>
      <c r="D1736" s="17" t="s">
        <v>186</v>
      </c>
      <c r="E1736" s="17" t="s">
        <v>20</v>
      </c>
      <c r="F1736" s="16" t="s">
        <v>5564</v>
      </c>
    </row>
    <row r="1737" spans="1:6" x14ac:dyDescent="0.25">
      <c r="A1737" s="16" t="s">
        <v>5565</v>
      </c>
      <c r="B1737" s="17" t="s">
        <v>5566</v>
      </c>
      <c r="C1737" s="17" t="s">
        <v>11</v>
      </c>
      <c r="D1737" s="17" t="s">
        <v>32</v>
      </c>
      <c r="E1737" s="17" t="s">
        <v>20</v>
      </c>
      <c r="F1737" s="16" t="s">
        <v>5567</v>
      </c>
    </row>
    <row r="1738" spans="1:6" x14ac:dyDescent="0.25">
      <c r="A1738" s="16" t="s">
        <v>5568</v>
      </c>
      <c r="B1738" s="17" t="s">
        <v>5569</v>
      </c>
      <c r="C1738" s="17" t="s">
        <v>11</v>
      </c>
      <c r="D1738" s="17" t="s">
        <v>12</v>
      </c>
      <c r="E1738" s="17" t="s">
        <v>13</v>
      </c>
      <c r="F1738" s="16" t="s">
        <v>5570</v>
      </c>
    </row>
    <row r="1739" spans="1:6" x14ac:dyDescent="0.25">
      <c r="A1739" s="16" t="s">
        <v>5571</v>
      </c>
      <c r="B1739" s="17" t="s">
        <v>5572</v>
      </c>
      <c r="C1739" s="17" t="s">
        <v>11</v>
      </c>
      <c r="D1739" s="17" t="s">
        <v>12</v>
      </c>
      <c r="E1739" s="17" t="s">
        <v>13</v>
      </c>
      <c r="F1739" s="16" t="s">
        <v>5573</v>
      </c>
    </row>
    <row r="1740" spans="1:6" x14ac:dyDescent="0.25">
      <c r="A1740" s="16" t="s">
        <v>5574</v>
      </c>
      <c r="B1740" s="17" t="s">
        <v>5575</v>
      </c>
      <c r="C1740" s="17" t="s">
        <v>11</v>
      </c>
      <c r="D1740" s="17" t="s">
        <v>12</v>
      </c>
      <c r="E1740" s="17" t="s">
        <v>13</v>
      </c>
      <c r="F1740" s="16" t="s">
        <v>5576</v>
      </c>
    </row>
    <row r="1741" spans="1:6" x14ac:dyDescent="0.25">
      <c r="A1741" s="16" t="s">
        <v>5577</v>
      </c>
      <c r="B1741" s="17" t="s">
        <v>5578</v>
      </c>
      <c r="C1741" s="17" t="s">
        <v>11</v>
      </c>
      <c r="D1741" s="17" t="s">
        <v>12</v>
      </c>
      <c r="E1741" s="17" t="s">
        <v>13</v>
      </c>
      <c r="F1741" s="16" t="s">
        <v>5579</v>
      </c>
    </row>
    <row r="1742" spans="1:6" x14ac:dyDescent="0.25">
      <c r="A1742" s="16" t="s">
        <v>5580</v>
      </c>
      <c r="B1742" s="17" t="s">
        <v>5581</v>
      </c>
      <c r="C1742" s="17" t="s">
        <v>11</v>
      </c>
      <c r="D1742" s="17" t="s">
        <v>12</v>
      </c>
      <c r="E1742" s="17" t="s">
        <v>13</v>
      </c>
      <c r="F1742" s="16" t="s">
        <v>5582</v>
      </c>
    </row>
    <row r="1743" spans="1:6" x14ac:dyDescent="0.25">
      <c r="A1743" s="16" t="s">
        <v>5583</v>
      </c>
      <c r="B1743" s="17" t="s">
        <v>5584</v>
      </c>
      <c r="C1743" s="17" t="s">
        <v>11</v>
      </c>
      <c r="D1743" s="17" t="s">
        <v>12</v>
      </c>
      <c r="E1743" s="17" t="s">
        <v>13</v>
      </c>
      <c r="F1743" s="16" t="s">
        <v>5585</v>
      </c>
    </row>
    <row r="1744" spans="1:6" x14ac:dyDescent="0.25">
      <c r="A1744" s="16" t="s">
        <v>5586</v>
      </c>
      <c r="B1744" s="17" t="s">
        <v>5587</v>
      </c>
      <c r="C1744" s="17" t="s">
        <v>11</v>
      </c>
      <c r="D1744" s="17" t="s">
        <v>12</v>
      </c>
      <c r="E1744" s="17" t="s">
        <v>13</v>
      </c>
      <c r="F1744" s="16" t="s">
        <v>5588</v>
      </c>
    </row>
    <row r="1745" spans="1:6" x14ac:dyDescent="0.25">
      <c r="A1745" s="16" t="s">
        <v>5589</v>
      </c>
      <c r="B1745" s="17" t="s">
        <v>5590</v>
      </c>
      <c r="C1745" s="17" t="s">
        <v>11</v>
      </c>
      <c r="D1745" s="17" t="s">
        <v>12</v>
      </c>
      <c r="E1745" s="17" t="s">
        <v>13</v>
      </c>
      <c r="F1745" s="16" t="s">
        <v>5591</v>
      </c>
    </row>
    <row r="1746" spans="1:6" x14ac:dyDescent="0.25">
      <c r="A1746" s="16" t="s">
        <v>5592</v>
      </c>
      <c r="B1746" s="17" t="s">
        <v>5593</v>
      </c>
      <c r="C1746" s="17" t="s">
        <v>11</v>
      </c>
      <c r="D1746" s="17" t="s">
        <v>32</v>
      </c>
      <c r="E1746" s="17" t="s">
        <v>20</v>
      </c>
      <c r="F1746" s="16" t="s">
        <v>5594</v>
      </c>
    </row>
    <row r="1747" spans="1:6" x14ac:dyDescent="0.25">
      <c r="A1747" s="16" t="s">
        <v>5595</v>
      </c>
      <c r="B1747" s="17" t="s">
        <v>5596</v>
      </c>
      <c r="C1747" s="17" t="s">
        <v>11</v>
      </c>
      <c r="D1747" s="17" t="s">
        <v>12</v>
      </c>
      <c r="E1747" s="17" t="s">
        <v>13</v>
      </c>
      <c r="F1747" s="16" t="s">
        <v>5597</v>
      </c>
    </row>
    <row r="1748" spans="1:6" x14ac:dyDescent="0.25">
      <c r="A1748" s="16" t="s">
        <v>5598</v>
      </c>
      <c r="B1748" s="17" t="s">
        <v>5599</v>
      </c>
      <c r="C1748" s="17" t="s">
        <v>11</v>
      </c>
      <c r="D1748" s="17" t="s">
        <v>59</v>
      </c>
      <c r="E1748" s="17" t="s">
        <v>13</v>
      </c>
      <c r="F1748" s="16" t="s">
        <v>5600</v>
      </c>
    </row>
    <row r="1749" spans="1:6" x14ac:dyDescent="0.25">
      <c r="A1749" s="16" t="s">
        <v>5601</v>
      </c>
      <c r="B1749" s="17" t="s">
        <v>5602</v>
      </c>
      <c r="C1749" s="17" t="s">
        <v>11</v>
      </c>
      <c r="D1749" s="17" t="s">
        <v>12</v>
      </c>
      <c r="E1749" s="17" t="s">
        <v>13</v>
      </c>
      <c r="F1749" s="16" t="s">
        <v>5603</v>
      </c>
    </row>
    <row r="1750" spans="1:6" x14ac:dyDescent="0.25">
      <c r="A1750" s="16" t="s">
        <v>5604</v>
      </c>
      <c r="B1750" s="17" t="s">
        <v>5605</v>
      </c>
      <c r="C1750" s="17" t="s">
        <v>11</v>
      </c>
      <c r="D1750" s="17" t="s">
        <v>12</v>
      </c>
      <c r="E1750" s="17" t="s">
        <v>13</v>
      </c>
      <c r="F1750" s="16" t="s">
        <v>5606</v>
      </c>
    </row>
    <row r="1751" spans="1:6" x14ac:dyDescent="0.25">
      <c r="A1751" s="16" t="s">
        <v>5607</v>
      </c>
      <c r="B1751" s="17" t="s">
        <v>5608</v>
      </c>
      <c r="C1751" s="17" t="s">
        <v>11</v>
      </c>
      <c r="D1751" s="17" t="s">
        <v>12</v>
      </c>
      <c r="E1751" s="17" t="s">
        <v>13</v>
      </c>
      <c r="F1751" s="16" t="s">
        <v>5609</v>
      </c>
    </row>
    <row r="1752" spans="1:6" x14ac:dyDescent="0.25">
      <c r="A1752" s="16" t="s">
        <v>5610</v>
      </c>
      <c r="B1752" s="17" t="s">
        <v>5611</v>
      </c>
      <c r="C1752" s="17" t="s">
        <v>11</v>
      </c>
      <c r="D1752" s="17" t="s">
        <v>12</v>
      </c>
      <c r="E1752" s="17" t="s">
        <v>13</v>
      </c>
      <c r="F1752" s="16" t="s">
        <v>5612</v>
      </c>
    </row>
    <row r="1753" spans="1:6" x14ac:dyDescent="0.25">
      <c r="A1753" s="16" t="s">
        <v>5613</v>
      </c>
      <c r="B1753" s="17" t="s">
        <v>5614</v>
      </c>
      <c r="C1753" s="17" t="s">
        <v>11</v>
      </c>
      <c r="D1753" s="17" t="s">
        <v>12</v>
      </c>
      <c r="E1753" s="17" t="s">
        <v>13</v>
      </c>
      <c r="F1753" s="16" t="s">
        <v>5615</v>
      </c>
    </row>
    <row r="1754" spans="1:6" x14ac:dyDescent="0.25">
      <c r="A1754" s="16" t="s">
        <v>5616</v>
      </c>
      <c r="B1754" s="17" t="s">
        <v>5617</v>
      </c>
      <c r="C1754" s="17" t="s">
        <v>11</v>
      </c>
      <c r="D1754" s="17" t="s">
        <v>12</v>
      </c>
      <c r="E1754" s="17" t="s">
        <v>13</v>
      </c>
      <c r="F1754" s="16" t="s">
        <v>5618</v>
      </c>
    </row>
    <row r="1755" spans="1:6" x14ac:dyDescent="0.25">
      <c r="A1755" s="16" t="s">
        <v>5619</v>
      </c>
      <c r="B1755" s="17" t="s">
        <v>5620</v>
      </c>
      <c r="C1755" s="17" t="s">
        <v>11</v>
      </c>
      <c r="D1755" s="17" t="s">
        <v>1989</v>
      </c>
      <c r="E1755" s="17" t="s">
        <v>13</v>
      </c>
      <c r="F1755" s="16" t="s">
        <v>5621</v>
      </c>
    </row>
    <row r="1756" spans="1:6" x14ac:dyDescent="0.25">
      <c r="A1756" s="16" t="s">
        <v>5622</v>
      </c>
      <c r="B1756" s="17" t="s">
        <v>5623</v>
      </c>
      <c r="C1756" s="17" t="s">
        <v>11</v>
      </c>
      <c r="D1756" s="17" t="s">
        <v>32</v>
      </c>
      <c r="E1756" s="17" t="s">
        <v>20</v>
      </c>
      <c r="F1756" s="16" t="s">
        <v>5624</v>
      </c>
    </row>
    <row r="1757" spans="1:6" x14ac:dyDescent="0.25">
      <c r="A1757" s="16" t="s">
        <v>5625</v>
      </c>
      <c r="B1757" s="17" t="s">
        <v>5626</v>
      </c>
      <c r="C1757" s="17" t="s">
        <v>11</v>
      </c>
      <c r="D1757" s="17" t="s">
        <v>12</v>
      </c>
      <c r="E1757" s="17" t="s">
        <v>13</v>
      </c>
      <c r="F1757" s="16" t="s">
        <v>5627</v>
      </c>
    </row>
    <row r="1758" spans="1:6" x14ac:dyDescent="0.25">
      <c r="A1758" s="16" t="s">
        <v>5628</v>
      </c>
      <c r="B1758" s="17" t="s">
        <v>5629</v>
      </c>
      <c r="C1758" s="17" t="s">
        <v>11</v>
      </c>
      <c r="D1758" s="17" t="s">
        <v>12</v>
      </c>
      <c r="E1758" s="17" t="s">
        <v>13</v>
      </c>
      <c r="F1758" s="16" t="s">
        <v>5630</v>
      </c>
    </row>
    <row r="1759" spans="1:6" x14ac:dyDescent="0.25">
      <c r="A1759" s="16" t="s">
        <v>5631</v>
      </c>
      <c r="B1759" s="17" t="s">
        <v>5632</v>
      </c>
      <c r="C1759" s="17" t="s">
        <v>11</v>
      </c>
      <c r="D1759" s="17" t="s">
        <v>12</v>
      </c>
      <c r="E1759" s="17" t="s">
        <v>13</v>
      </c>
      <c r="F1759" s="16" t="s">
        <v>5633</v>
      </c>
    </row>
    <row r="1760" spans="1:6" x14ac:dyDescent="0.25">
      <c r="A1760" s="16" t="s">
        <v>5634</v>
      </c>
      <c r="B1760" s="17" t="s">
        <v>5635</v>
      </c>
      <c r="C1760" s="17" t="s">
        <v>11</v>
      </c>
      <c r="D1760" s="17" t="s">
        <v>12</v>
      </c>
      <c r="E1760" s="17" t="s">
        <v>13</v>
      </c>
      <c r="F1760" s="16" t="s">
        <v>5636</v>
      </c>
    </row>
    <row r="1761" spans="1:6" x14ac:dyDescent="0.25">
      <c r="A1761" s="16" t="s">
        <v>5637</v>
      </c>
      <c r="B1761" s="17" t="s">
        <v>5638</v>
      </c>
      <c r="C1761" s="17" t="s">
        <v>11</v>
      </c>
      <c r="D1761" s="17" t="s">
        <v>12</v>
      </c>
      <c r="E1761" s="17" t="s">
        <v>13</v>
      </c>
      <c r="F1761" s="16" t="s">
        <v>5639</v>
      </c>
    </row>
    <row r="1762" spans="1:6" x14ac:dyDescent="0.25">
      <c r="A1762" s="16" t="s">
        <v>5640</v>
      </c>
      <c r="B1762" s="17" t="s">
        <v>5641</v>
      </c>
      <c r="C1762" s="17" t="s">
        <v>11</v>
      </c>
      <c r="D1762" s="17" t="s">
        <v>12</v>
      </c>
      <c r="E1762" s="17" t="s">
        <v>13</v>
      </c>
      <c r="F1762" s="16" t="s">
        <v>5642</v>
      </c>
    </row>
    <row r="1763" spans="1:6" x14ac:dyDescent="0.25">
      <c r="A1763" s="16" t="s">
        <v>5643</v>
      </c>
      <c r="B1763" s="17" t="s">
        <v>5644</v>
      </c>
      <c r="C1763" s="17" t="s">
        <v>11</v>
      </c>
      <c r="D1763" s="17" t="s">
        <v>12</v>
      </c>
      <c r="E1763" s="17" t="s">
        <v>13</v>
      </c>
      <c r="F1763" s="16" t="s">
        <v>5645</v>
      </c>
    </row>
    <row r="1764" spans="1:6" x14ac:dyDescent="0.25">
      <c r="A1764" s="16" t="s">
        <v>5646</v>
      </c>
      <c r="B1764" s="17" t="s">
        <v>5647</v>
      </c>
      <c r="C1764" s="17" t="s">
        <v>11</v>
      </c>
      <c r="D1764" s="17" t="s">
        <v>12</v>
      </c>
      <c r="E1764" s="17" t="s">
        <v>13</v>
      </c>
      <c r="F1764" s="16" t="s">
        <v>5648</v>
      </c>
    </row>
    <row r="1765" spans="1:6" x14ac:dyDescent="0.25">
      <c r="A1765" s="16" t="s">
        <v>5649</v>
      </c>
      <c r="B1765" s="17" t="s">
        <v>5650</v>
      </c>
      <c r="C1765" s="17" t="s">
        <v>11</v>
      </c>
      <c r="D1765" s="17" t="s">
        <v>12</v>
      </c>
      <c r="E1765" s="17" t="s">
        <v>13</v>
      </c>
      <c r="F1765" s="16" t="s">
        <v>5651</v>
      </c>
    </row>
    <row r="1766" spans="1:6" x14ac:dyDescent="0.25">
      <c r="A1766" s="16" t="s">
        <v>5652</v>
      </c>
      <c r="B1766" s="17" t="s">
        <v>5653</v>
      </c>
      <c r="C1766" s="17" t="s">
        <v>11</v>
      </c>
      <c r="D1766" s="17" t="s">
        <v>12</v>
      </c>
      <c r="E1766" s="17" t="s">
        <v>13</v>
      </c>
      <c r="F1766" s="16" t="s">
        <v>5654</v>
      </c>
    </row>
    <row r="1767" spans="1:6" x14ac:dyDescent="0.25">
      <c r="A1767" s="16" t="s">
        <v>5655</v>
      </c>
      <c r="B1767" s="17" t="s">
        <v>5656</v>
      </c>
      <c r="C1767" s="17" t="s">
        <v>11</v>
      </c>
      <c r="D1767" s="17" t="s">
        <v>12</v>
      </c>
      <c r="E1767" s="17" t="s">
        <v>13</v>
      </c>
      <c r="F1767" s="16" t="s">
        <v>5657</v>
      </c>
    </row>
    <row r="1768" spans="1:6" x14ac:dyDescent="0.25">
      <c r="A1768" s="16" t="s">
        <v>5658</v>
      </c>
      <c r="B1768" s="17" t="s">
        <v>5659</v>
      </c>
      <c r="C1768" s="17" t="s">
        <v>11</v>
      </c>
      <c r="D1768" s="17" t="s">
        <v>12</v>
      </c>
      <c r="E1768" s="17" t="s">
        <v>13</v>
      </c>
      <c r="F1768" s="16" t="s">
        <v>5660</v>
      </c>
    </row>
    <row r="1769" spans="1:6" x14ac:dyDescent="0.25">
      <c r="A1769" s="16" t="s">
        <v>5661</v>
      </c>
      <c r="B1769" s="17" t="s">
        <v>5662</v>
      </c>
      <c r="C1769" s="17" t="s">
        <v>11</v>
      </c>
      <c r="D1769" s="17" t="s">
        <v>12</v>
      </c>
      <c r="E1769" s="17" t="s">
        <v>13</v>
      </c>
      <c r="F1769" s="16" t="s">
        <v>5663</v>
      </c>
    </row>
    <row r="1770" spans="1:6" x14ac:dyDescent="0.25">
      <c r="A1770" s="16" t="s">
        <v>5664</v>
      </c>
      <c r="B1770" s="17" t="s">
        <v>5665</v>
      </c>
      <c r="C1770" s="17" t="s">
        <v>11</v>
      </c>
      <c r="D1770" s="17" t="s">
        <v>12</v>
      </c>
      <c r="E1770" s="17" t="s">
        <v>13</v>
      </c>
      <c r="F1770" s="16" t="s">
        <v>5666</v>
      </c>
    </row>
    <row r="1771" spans="1:6" x14ac:dyDescent="0.25">
      <c r="A1771" s="16" t="s">
        <v>5667</v>
      </c>
      <c r="B1771" s="17" t="s">
        <v>5668</v>
      </c>
      <c r="C1771" s="17" t="s">
        <v>11</v>
      </c>
      <c r="D1771" s="17" t="s">
        <v>12</v>
      </c>
      <c r="E1771" s="17" t="s">
        <v>13</v>
      </c>
      <c r="F1771" s="16" t="s">
        <v>5669</v>
      </c>
    </row>
    <row r="1772" spans="1:6" x14ac:dyDescent="0.25">
      <c r="A1772" s="16" t="s">
        <v>5670</v>
      </c>
      <c r="B1772" s="17" t="s">
        <v>5671</v>
      </c>
      <c r="C1772" s="17" t="s">
        <v>11</v>
      </c>
      <c r="D1772" s="17" t="s">
        <v>12</v>
      </c>
      <c r="E1772" s="17" t="s">
        <v>13</v>
      </c>
      <c r="F1772" s="16" t="s">
        <v>5672</v>
      </c>
    </row>
    <row r="1773" spans="1:6" x14ac:dyDescent="0.25">
      <c r="A1773" s="16" t="s">
        <v>5673</v>
      </c>
      <c r="B1773" s="17" t="s">
        <v>5674</v>
      </c>
      <c r="C1773" s="17" t="s">
        <v>11</v>
      </c>
      <c r="D1773" s="17" t="s">
        <v>12</v>
      </c>
      <c r="E1773" s="17" t="s">
        <v>13</v>
      </c>
      <c r="F1773" s="16" t="s">
        <v>5675</v>
      </c>
    </row>
    <row r="1774" spans="1:6" x14ac:dyDescent="0.25">
      <c r="A1774" s="16" t="s">
        <v>5676</v>
      </c>
      <c r="B1774" s="17" t="s">
        <v>5677</v>
      </c>
      <c r="C1774" s="17" t="s">
        <v>11</v>
      </c>
      <c r="D1774" s="17" t="s">
        <v>12</v>
      </c>
      <c r="E1774" s="17" t="s">
        <v>13</v>
      </c>
      <c r="F1774" s="16" t="s">
        <v>5678</v>
      </c>
    </row>
    <row r="1775" spans="1:6" x14ac:dyDescent="0.25">
      <c r="A1775" s="16" t="s">
        <v>5679</v>
      </c>
      <c r="B1775" s="17" t="s">
        <v>5680</v>
      </c>
      <c r="C1775" s="17" t="s">
        <v>11</v>
      </c>
      <c r="D1775" s="17" t="s">
        <v>12</v>
      </c>
      <c r="E1775" s="17" t="s">
        <v>13</v>
      </c>
      <c r="F1775" s="16" t="s">
        <v>5681</v>
      </c>
    </row>
    <row r="1776" spans="1:6" x14ac:dyDescent="0.25">
      <c r="A1776" s="16" t="s">
        <v>5682</v>
      </c>
      <c r="B1776" s="17" t="s">
        <v>5683</v>
      </c>
      <c r="C1776" s="17" t="s">
        <v>11</v>
      </c>
      <c r="D1776" s="17" t="s">
        <v>12</v>
      </c>
      <c r="E1776" s="17" t="s">
        <v>13</v>
      </c>
      <c r="F1776" s="16" t="s">
        <v>5684</v>
      </c>
    </row>
    <row r="1777" spans="1:6" x14ac:dyDescent="0.25">
      <c r="A1777" s="16" t="s">
        <v>5685</v>
      </c>
      <c r="B1777" s="17" t="s">
        <v>5686</v>
      </c>
      <c r="C1777" s="17" t="s">
        <v>11</v>
      </c>
      <c r="D1777" s="17" t="s">
        <v>12</v>
      </c>
      <c r="E1777" s="17" t="s">
        <v>13</v>
      </c>
      <c r="F1777" s="16" t="s">
        <v>5687</v>
      </c>
    </row>
    <row r="1778" spans="1:6" x14ac:dyDescent="0.25">
      <c r="A1778" s="16" t="s">
        <v>5688</v>
      </c>
      <c r="B1778" s="17" t="s">
        <v>5689</v>
      </c>
      <c r="C1778" s="17" t="s">
        <v>11</v>
      </c>
      <c r="D1778" s="17" t="s">
        <v>12</v>
      </c>
      <c r="E1778" s="17" t="s">
        <v>13</v>
      </c>
      <c r="F1778" s="16" t="s">
        <v>5690</v>
      </c>
    </row>
    <row r="1779" spans="1:6" x14ac:dyDescent="0.25">
      <c r="A1779" s="16" t="s">
        <v>5691</v>
      </c>
      <c r="B1779" s="17" t="s">
        <v>5692</v>
      </c>
      <c r="C1779" s="17" t="s">
        <v>11</v>
      </c>
      <c r="D1779" s="17" t="s">
        <v>12</v>
      </c>
      <c r="E1779" s="17" t="s">
        <v>13</v>
      </c>
      <c r="F1779" s="16" t="s">
        <v>5693</v>
      </c>
    </row>
    <row r="1780" spans="1:6" x14ac:dyDescent="0.25">
      <c r="A1780" s="16" t="s">
        <v>5694</v>
      </c>
      <c r="B1780" s="17" t="s">
        <v>5695</v>
      </c>
      <c r="C1780" s="17" t="s">
        <v>11</v>
      </c>
      <c r="D1780" s="17" t="s">
        <v>12</v>
      </c>
      <c r="E1780" s="17" t="s">
        <v>13</v>
      </c>
      <c r="F1780" s="16" t="s">
        <v>5696</v>
      </c>
    </row>
    <row r="1781" spans="1:6" x14ac:dyDescent="0.25">
      <c r="A1781" s="16" t="s">
        <v>5697</v>
      </c>
      <c r="B1781" s="17" t="s">
        <v>5698</v>
      </c>
      <c r="C1781" s="17" t="s">
        <v>11</v>
      </c>
      <c r="D1781" s="17" t="s">
        <v>12</v>
      </c>
      <c r="E1781" s="17" t="s">
        <v>13</v>
      </c>
      <c r="F1781" s="16" t="s">
        <v>5699</v>
      </c>
    </row>
    <row r="1782" spans="1:6" x14ac:dyDescent="0.25">
      <c r="A1782" s="16" t="s">
        <v>5700</v>
      </c>
      <c r="B1782" s="17" t="s">
        <v>5701</v>
      </c>
      <c r="C1782" s="17" t="s">
        <v>11</v>
      </c>
      <c r="D1782" s="17" t="s">
        <v>12</v>
      </c>
      <c r="E1782" s="17" t="s">
        <v>13</v>
      </c>
      <c r="F1782" s="16" t="s">
        <v>5702</v>
      </c>
    </row>
    <row r="1783" spans="1:6" x14ac:dyDescent="0.25">
      <c r="A1783" s="16" t="s">
        <v>5703</v>
      </c>
      <c r="B1783" s="17" t="s">
        <v>5704</v>
      </c>
      <c r="C1783" s="17" t="s">
        <v>11</v>
      </c>
      <c r="D1783" s="17" t="s">
        <v>12</v>
      </c>
      <c r="E1783" s="17" t="s">
        <v>13</v>
      </c>
      <c r="F1783" s="16" t="s">
        <v>5705</v>
      </c>
    </row>
    <row r="1784" spans="1:6" x14ac:dyDescent="0.25">
      <c r="A1784" s="16" t="s">
        <v>5706</v>
      </c>
      <c r="B1784" s="17" t="s">
        <v>5707</v>
      </c>
      <c r="C1784" s="17" t="s">
        <v>11</v>
      </c>
      <c r="D1784" s="17" t="s">
        <v>12</v>
      </c>
      <c r="E1784" s="17" t="s">
        <v>13</v>
      </c>
      <c r="F1784" s="16" t="s">
        <v>5708</v>
      </c>
    </row>
    <row r="1785" spans="1:6" x14ac:dyDescent="0.25">
      <c r="A1785" s="16" t="s">
        <v>5709</v>
      </c>
      <c r="B1785" s="17" t="s">
        <v>5710</v>
      </c>
      <c r="C1785" s="17" t="s">
        <v>11</v>
      </c>
      <c r="D1785" s="17" t="s">
        <v>12</v>
      </c>
      <c r="E1785" s="17" t="s">
        <v>13</v>
      </c>
      <c r="F1785" s="16" t="s">
        <v>5711</v>
      </c>
    </row>
    <row r="1786" spans="1:6" x14ac:dyDescent="0.25">
      <c r="A1786" s="16" t="s">
        <v>5712</v>
      </c>
      <c r="B1786" s="17" t="s">
        <v>5713</v>
      </c>
      <c r="C1786" s="17" t="s">
        <v>11</v>
      </c>
      <c r="D1786" s="17" t="s">
        <v>12</v>
      </c>
      <c r="E1786" s="17" t="s">
        <v>13</v>
      </c>
      <c r="F1786" s="16" t="s">
        <v>5714</v>
      </c>
    </row>
    <row r="1787" spans="1:6" x14ac:dyDescent="0.25">
      <c r="A1787" s="16" t="s">
        <v>5715</v>
      </c>
      <c r="B1787" s="17" t="s">
        <v>5716</v>
      </c>
      <c r="C1787" s="17" t="s">
        <v>11</v>
      </c>
      <c r="D1787" s="17" t="s">
        <v>182</v>
      </c>
      <c r="E1787" s="17" t="s">
        <v>20</v>
      </c>
      <c r="F1787" s="16" t="s">
        <v>5717</v>
      </c>
    </row>
    <row r="1788" spans="1:6" x14ac:dyDescent="0.25">
      <c r="A1788" s="16" t="s">
        <v>5718</v>
      </c>
      <c r="B1788" s="17" t="s">
        <v>5719</v>
      </c>
      <c r="C1788" s="17" t="s">
        <v>11</v>
      </c>
      <c r="D1788" s="17" t="s">
        <v>12</v>
      </c>
      <c r="E1788" s="17" t="s">
        <v>13</v>
      </c>
      <c r="F1788" s="16" t="s">
        <v>5720</v>
      </c>
    </row>
    <row r="1789" spans="1:6" x14ac:dyDescent="0.25">
      <c r="A1789" s="16" t="s">
        <v>5721</v>
      </c>
      <c r="B1789" s="17" t="s">
        <v>5722</v>
      </c>
      <c r="C1789" s="17" t="s">
        <v>11</v>
      </c>
      <c r="D1789" s="17" t="s">
        <v>12</v>
      </c>
      <c r="E1789" s="17" t="s">
        <v>13</v>
      </c>
      <c r="F1789" s="16" t="s">
        <v>5723</v>
      </c>
    </row>
    <row r="1790" spans="1:6" x14ac:dyDescent="0.25">
      <c r="A1790" s="16" t="s">
        <v>5724</v>
      </c>
      <c r="B1790" s="17" t="s">
        <v>5725</v>
      </c>
      <c r="C1790" s="17" t="s">
        <v>11</v>
      </c>
      <c r="D1790" s="17" t="s">
        <v>12</v>
      </c>
      <c r="E1790" s="17" t="s">
        <v>13</v>
      </c>
      <c r="F1790" s="16" t="s">
        <v>5726</v>
      </c>
    </row>
    <row r="1791" spans="1:6" x14ac:dyDescent="0.25">
      <c r="A1791" s="16" t="s">
        <v>5727</v>
      </c>
      <c r="B1791" s="17" t="s">
        <v>5728</v>
      </c>
      <c r="C1791" s="17" t="s">
        <v>11</v>
      </c>
      <c r="D1791" s="17" t="s">
        <v>32</v>
      </c>
      <c r="E1791" s="17" t="s">
        <v>20</v>
      </c>
      <c r="F1791" s="16" t="s">
        <v>5729</v>
      </c>
    </row>
    <row r="1792" spans="1:6" x14ac:dyDescent="0.25">
      <c r="A1792" s="16" t="s">
        <v>5730</v>
      </c>
      <c r="B1792" s="17" t="s">
        <v>5731</v>
      </c>
      <c r="C1792" s="17" t="s">
        <v>11</v>
      </c>
      <c r="D1792" s="17" t="s">
        <v>26</v>
      </c>
      <c r="E1792" s="17" t="s">
        <v>20</v>
      </c>
      <c r="F1792" s="16" t="s">
        <v>5732</v>
      </c>
    </row>
    <row r="1793" spans="1:6" x14ac:dyDescent="0.25">
      <c r="A1793" s="16" t="s">
        <v>5733</v>
      </c>
      <c r="B1793" s="17" t="s">
        <v>5734</v>
      </c>
      <c r="C1793" s="17" t="s">
        <v>11</v>
      </c>
      <c r="D1793" s="17" t="s">
        <v>83</v>
      </c>
      <c r="E1793" s="17" t="s">
        <v>20</v>
      </c>
      <c r="F1793" s="16" t="s">
        <v>5735</v>
      </c>
    </row>
    <row r="1794" spans="1:6" x14ac:dyDescent="0.25">
      <c r="A1794" s="16" t="s">
        <v>5736</v>
      </c>
      <c r="B1794" s="17" t="s">
        <v>5737</v>
      </c>
      <c r="C1794" s="17" t="s">
        <v>11</v>
      </c>
      <c r="D1794" s="17" t="s">
        <v>83</v>
      </c>
      <c r="E1794" s="17" t="s">
        <v>20</v>
      </c>
      <c r="F1794" s="16" t="s">
        <v>5738</v>
      </c>
    </row>
    <row r="1795" spans="1:6" x14ac:dyDescent="0.25">
      <c r="A1795" s="16" t="s">
        <v>5739</v>
      </c>
      <c r="B1795" s="17" t="s">
        <v>5740</v>
      </c>
      <c r="C1795" s="17" t="s">
        <v>11</v>
      </c>
      <c r="D1795" s="17" t="s">
        <v>32</v>
      </c>
      <c r="E1795" s="17" t="s">
        <v>20</v>
      </c>
      <c r="F1795" s="16" t="s">
        <v>5741</v>
      </c>
    </row>
    <row r="1796" spans="1:6" x14ac:dyDescent="0.25">
      <c r="A1796" s="16" t="s">
        <v>5742</v>
      </c>
      <c r="B1796" s="17" t="s">
        <v>5743</v>
      </c>
      <c r="C1796" s="17" t="s">
        <v>11</v>
      </c>
      <c r="D1796" s="17" t="s">
        <v>649</v>
      </c>
      <c r="E1796" s="17" t="s">
        <v>20</v>
      </c>
      <c r="F1796" s="16" t="s">
        <v>5744</v>
      </c>
    </row>
    <row r="1797" spans="1:6" x14ac:dyDescent="0.25">
      <c r="A1797" s="16" t="s">
        <v>5745</v>
      </c>
      <c r="B1797" s="17" t="s">
        <v>5746</v>
      </c>
      <c r="C1797" s="17" t="s">
        <v>11</v>
      </c>
      <c r="D1797" s="17" t="s">
        <v>83</v>
      </c>
      <c r="E1797" s="17" t="s">
        <v>20</v>
      </c>
      <c r="F1797" s="16" t="s">
        <v>5747</v>
      </c>
    </row>
    <row r="1798" spans="1:6" x14ac:dyDescent="0.25">
      <c r="A1798" s="16" t="s">
        <v>5748</v>
      </c>
      <c r="B1798" s="17" t="s">
        <v>5749</v>
      </c>
      <c r="C1798" s="17" t="s">
        <v>11</v>
      </c>
      <c r="D1798" s="17" t="s">
        <v>83</v>
      </c>
      <c r="E1798" s="17" t="s">
        <v>20</v>
      </c>
      <c r="F1798" s="16" t="s">
        <v>5750</v>
      </c>
    </row>
    <row r="1799" spans="1:6" x14ac:dyDescent="0.25">
      <c r="A1799" s="16" t="s">
        <v>5751</v>
      </c>
      <c r="B1799" s="17" t="s">
        <v>5752</v>
      </c>
      <c r="C1799" s="17" t="s">
        <v>11</v>
      </c>
      <c r="D1799" s="17" t="s">
        <v>12</v>
      </c>
      <c r="E1799" s="17" t="s">
        <v>13</v>
      </c>
      <c r="F1799" s="16" t="s">
        <v>5753</v>
      </c>
    </row>
    <row r="1800" spans="1:6" x14ac:dyDescent="0.25">
      <c r="A1800" s="16" t="s">
        <v>5754</v>
      </c>
      <c r="B1800" s="17" t="s">
        <v>5755</v>
      </c>
      <c r="C1800" s="17" t="s">
        <v>11</v>
      </c>
      <c r="D1800" s="17" t="s">
        <v>12</v>
      </c>
      <c r="E1800" s="17" t="s">
        <v>13</v>
      </c>
      <c r="F1800" s="16" t="s">
        <v>5756</v>
      </c>
    </row>
    <row r="1801" spans="1:6" x14ac:dyDescent="0.25">
      <c r="A1801" s="16" t="s">
        <v>5757</v>
      </c>
      <c r="B1801" s="17" t="s">
        <v>5758</v>
      </c>
      <c r="C1801" s="17" t="s">
        <v>11</v>
      </c>
      <c r="D1801" s="17" t="s">
        <v>12</v>
      </c>
      <c r="E1801" s="17" t="s">
        <v>13</v>
      </c>
      <c r="F1801" s="16" t="s">
        <v>5759</v>
      </c>
    </row>
    <row r="1802" spans="1:6" x14ac:dyDescent="0.25">
      <c r="A1802" s="16" t="s">
        <v>5760</v>
      </c>
      <c r="B1802" s="17" t="s">
        <v>5761</v>
      </c>
      <c r="C1802" s="17" t="s">
        <v>11</v>
      </c>
      <c r="D1802" s="17" t="s">
        <v>12</v>
      </c>
      <c r="E1802" s="17" t="s">
        <v>13</v>
      </c>
      <c r="F1802" s="16" t="s">
        <v>5762</v>
      </c>
    </row>
    <row r="1803" spans="1:6" x14ac:dyDescent="0.25">
      <c r="A1803" s="16" t="s">
        <v>5763</v>
      </c>
      <c r="B1803" s="17" t="s">
        <v>5764</v>
      </c>
      <c r="C1803" s="17" t="s">
        <v>11</v>
      </c>
      <c r="D1803" s="17" t="s">
        <v>12</v>
      </c>
      <c r="E1803" s="17" t="s">
        <v>13</v>
      </c>
      <c r="F1803" s="16" t="s">
        <v>5765</v>
      </c>
    </row>
    <row r="1804" spans="1:6" x14ac:dyDescent="0.25">
      <c r="A1804" s="16" t="s">
        <v>5766</v>
      </c>
      <c r="B1804" s="17" t="s">
        <v>5767</v>
      </c>
      <c r="C1804" s="17" t="s">
        <v>11</v>
      </c>
      <c r="D1804" s="17" t="s">
        <v>12</v>
      </c>
      <c r="E1804" s="17" t="s">
        <v>13</v>
      </c>
      <c r="F1804" s="16" t="s">
        <v>5768</v>
      </c>
    </row>
    <row r="1805" spans="1:6" x14ac:dyDescent="0.25">
      <c r="A1805" s="16" t="s">
        <v>5769</v>
      </c>
      <c r="B1805" s="17" t="s">
        <v>5770</v>
      </c>
      <c r="C1805" s="17" t="s">
        <v>11</v>
      </c>
      <c r="D1805" s="17" t="s">
        <v>12</v>
      </c>
      <c r="E1805" s="17" t="s">
        <v>13</v>
      </c>
      <c r="F1805" s="16" t="s">
        <v>5771</v>
      </c>
    </row>
    <row r="1806" spans="1:6" x14ac:dyDescent="0.25">
      <c r="A1806" s="16" t="s">
        <v>5772</v>
      </c>
      <c r="B1806" s="17" t="s">
        <v>5773</v>
      </c>
      <c r="C1806" s="17" t="s">
        <v>11</v>
      </c>
      <c r="D1806" s="17" t="s">
        <v>12</v>
      </c>
      <c r="E1806" s="17" t="s">
        <v>13</v>
      </c>
      <c r="F1806" s="16" t="s">
        <v>5774</v>
      </c>
    </row>
    <row r="1807" spans="1:6" x14ac:dyDescent="0.25">
      <c r="A1807" s="16" t="s">
        <v>5775</v>
      </c>
      <c r="B1807" s="17" t="s">
        <v>5776</v>
      </c>
      <c r="C1807" s="17" t="s">
        <v>11</v>
      </c>
      <c r="D1807" s="17" t="s">
        <v>250</v>
      </c>
      <c r="E1807" s="17" t="s">
        <v>20</v>
      </c>
      <c r="F1807" s="16" t="s">
        <v>5777</v>
      </c>
    </row>
    <row r="1808" spans="1:6" x14ac:dyDescent="0.25">
      <c r="A1808" s="16" t="s">
        <v>5778</v>
      </c>
      <c r="B1808" s="17" t="s">
        <v>5779</v>
      </c>
      <c r="C1808" s="17" t="s">
        <v>11</v>
      </c>
      <c r="D1808" s="17" t="s">
        <v>12</v>
      </c>
      <c r="E1808" s="17" t="s">
        <v>13</v>
      </c>
      <c r="F1808" s="16" t="s">
        <v>5780</v>
      </c>
    </row>
    <row r="1809" spans="1:6" x14ac:dyDescent="0.25">
      <c r="A1809" s="16" t="s">
        <v>5781</v>
      </c>
      <c r="B1809" s="17" t="s">
        <v>5782</v>
      </c>
      <c r="C1809" s="17" t="s">
        <v>11</v>
      </c>
      <c r="D1809" s="17" t="s">
        <v>12</v>
      </c>
      <c r="E1809" s="17" t="s">
        <v>13</v>
      </c>
      <c r="F1809" s="16" t="s">
        <v>5783</v>
      </c>
    </row>
    <row r="1810" spans="1:6" x14ac:dyDescent="0.25">
      <c r="A1810" s="16" t="s">
        <v>5784</v>
      </c>
      <c r="B1810" s="17" t="s">
        <v>5785</v>
      </c>
      <c r="C1810" s="17" t="s">
        <v>11</v>
      </c>
      <c r="D1810" s="17" t="s">
        <v>12</v>
      </c>
      <c r="E1810" s="17" t="s">
        <v>13</v>
      </c>
      <c r="F1810" s="16" t="s">
        <v>5786</v>
      </c>
    </row>
    <row r="1811" spans="1:6" x14ac:dyDescent="0.25">
      <c r="A1811" s="16" t="s">
        <v>5787</v>
      </c>
      <c r="B1811" s="17" t="s">
        <v>5788</v>
      </c>
      <c r="C1811" s="17" t="s">
        <v>11</v>
      </c>
      <c r="D1811" s="17" t="s">
        <v>59</v>
      </c>
      <c r="E1811" s="17" t="s">
        <v>13</v>
      </c>
      <c r="F1811" s="16" t="s">
        <v>5789</v>
      </c>
    </row>
    <row r="1812" spans="1:6" x14ac:dyDescent="0.25">
      <c r="A1812" s="16" t="s">
        <v>5790</v>
      </c>
      <c r="B1812" s="17" t="s">
        <v>5791</v>
      </c>
      <c r="C1812" s="17" t="s">
        <v>11</v>
      </c>
      <c r="D1812" s="17" t="s">
        <v>12</v>
      </c>
      <c r="E1812" s="17" t="s">
        <v>13</v>
      </c>
      <c r="F1812" s="16" t="s">
        <v>5792</v>
      </c>
    </row>
    <row r="1813" spans="1:6" x14ac:dyDescent="0.25">
      <c r="A1813" s="16" t="s">
        <v>5793</v>
      </c>
      <c r="B1813" s="17" t="s">
        <v>5794</v>
      </c>
      <c r="C1813" s="17" t="s">
        <v>11</v>
      </c>
      <c r="D1813" s="17" t="s">
        <v>12</v>
      </c>
      <c r="E1813" s="17" t="s">
        <v>13</v>
      </c>
      <c r="F1813" s="16" t="s">
        <v>5795</v>
      </c>
    </row>
    <row r="1814" spans="1:6" x14ac:dyDescent="0.25">
      <c r="A1814" s="16" t="s">
        <v>5796</v>
      </c>
      <c r="B1814" s="17" t="s">
        <v>5797</v>
      </c>
      <c r="C1814" s="17" t="s">
        <v>11</v>
      </c>
      <c r="D1814" s="17" t="s">
        <v>12</v>
      </c>
      <c r="E1814" s="17" t="s">
        <v>13</v>
      </c>
      <c r="F1814" s="16" t="s">
        <v>5798</v>
      </c>
    </row>
    <row r="1815" spans="1:6" x14ac:dyDescent="0.25">
      <c r="A1815" s="16" t="s">
        <v>5799</v>
      </c>
      <c r="B1815" s="17" t="s">
        <v>5800</v>
      </c>
      <c r="C1815" s="17" t="s">
        <v>11</v>
      </c>
      <c r="D1815" s="17" t="s">
        <v>12</v>
      </c>
      <c r="E1815" s="17" t="s">
        <v>13</v>
      </c>
      <c r="F1815" s="16" t="s">
        <v>5801</v>
      </c>
    </row>
    <row r="1816" spans="1:6" x14ac:dyDescent="0.25">
      <c r="A1816" s="16" t="s">
        <v>5802</v>
      </c>
      <c r="B1816" s="17" t="s">
        <v>5803</v>
      </c>
      <c r="C1816" s="17" t="s">
        <v>11</v>
      </c>
      <c r="D1816" s="17" t="s">
        <v>12</v>
      </c>
      <c r="E1816" s="17" t="s">
        <v>13</v>
      </c>
      <c r="F1816" s="16" t="s">
        <v>5804</v>
      </c>
    </row>
    <row r="1817" spans="1:6" x14ac:dyDescent="0.25">
      <c r="A1817" s="16" t="s">
        <v>5805</v>
      </c>
      <c r="B1817" s="17" t="s">
        <v>5806</v>
      </c>
      <c r="C1817" s="17" t="s">
        <v>11</v>
      </c>
      <c r="D1817" s="17" t="s">
        <v>12</v>
      </c>
      <c r="E1817" s="17" t="s">
        <v>13</v>
      </c>
      <c r="F1817" s="16" t="s">
        <v>5807</v>
      </c>
    </row>
    <row r="1818" spans="1:6" x14ac:dyDescent="0.25">
      <c r="A1818" s="16" t="s">
        <v>5808</v>
      </c>
      <c r="B1818" s="17" t="s">
        <v>5809</v>
      </c>
      <c r="C1818" s="17" t="s">
        <v>11</v>
      </c>
      <c r="D1818" s="17" t="s">
        <v>12</v>
      </c>
      <c r="E1818" s="17" t="s">
        <v>13</v>
      </c>
      <c r="F1818" s="16" t="s">
        <v>5810</v>
      </c>
    </row>
    <row r="1819" spans="1:6" x14ac:dyDescent="0.25">
      <c r="A1819" s="16" t="s">
        <v>5811</v>
      </c>
      <c r="B1819" s="17" t="s">
        <v>5812</v>
      </c>
      <c r="C1819" s="17" t="s">
        <v>11</v>
      </c>
      <c r="D1819" s="17" t="s">
        <v>1766</v>
      </c>
      <c r="E1819" s="17" t="s">
        <v>13</v>
      </c>
      <c r="F1819" s="16" t="s">
        <v>5813</v>
      </c>
    </row>
    <row r="1820" spans="1:6" x14ac:dyDescent="0.25">
      <c r="A1820" s="16" t="s">
        <v>5814</v>
      </c>
      <c r="B1820" s="17" t="s">
        <v>5815</v>
      </c>
      <c r="C1820" s="17" t="s">
        <v>11</v>
      </c>
      <c r="D1820" s="17" t="s">
        <v>12</v>
      </c>
      <c r="E1820" s="17" t="s">
        <v>13</v>
      </c>
      <c r="F1820" s="16" t="s">
        <v>5816</v>
      </c>
    </row>
    <row r="1821" spans="1:6" x14ac:dyDescent="0.25">
      <c r="A1821" s="16" t="s">
        <v>5817</v>
      </c>
      <c r="B1821" s="17" t="s">
        <v>5818</v>
      </c>
      <c r="C1821" s="17" t="s">
        <v>11</v>
      </c>
      <c r="D1821" s="17" t="s">
        <v>12</v>
      </c>
      <c r="E1821" s="17" t="s">
        <v>13</v>
      </c>
      <c r="F1821" s="16" t="s">
        <v>5819</v>
      </c>
    </row>
    <row r="1822" spans="1:6" x14ac:dyDescent="0.25">
      <c r="A1822" s="16" t="s">
        <v>5820</v>
      </c>
      <c r="B1822" s="17" t="s">
        <v>5821</v>
      </c>
      <c r="C1822" s="17" t="s">
        <v>11</v>
      </c>
      <c r="D1822" s="17" t="s">
        <v>12</v>
      </c>
      <c r="E1822" s="17" t="s">
        <v>13</v>
      </c>
      <c r="F1822" s="16" t="s">
        <v>5822</v>
      </c>
    </row>
    <row r="1823" spans="1:6" x14ac:dyDescent="0.25">
      <c r="A1823" s="16" t="s">
        <v>5823</v>
      </c>
      <c r="B1823" s="17" t="s">
        <v>5824</v>
      </c>
      <c r="C1823" s="17" t="s">
        <v>11</v>
      </c>
      <c r="D1823" s="17" t="s">
        <v>12</v>
      </c>
      <c r="E1823" s="17" t="s">
        <v>13</v>
      </c>
      <c r="F1823" s="16" t="s">
        <v>5825</v>
      </c>
    </row>
    <row r="1824" spans="1:6" x14ac:dyDescent="0.25">
      <c r="A1824" s="16" t="s">
        <v>5826</v>
      </c>
      <c r="B1824" s="17" t="s">
        <v>5827</v>
      </c>
      <c r="C1824" s="17" t="s">
        <v>11</v>
      </c>
      <c r="D1824" s="17" t="s">
        <v>32</v>
      </c>
      <c r="E1824" s="17" t="s">
        <v>20</v>
      </c>
      <c r="F1824" s="16" t="s">
        <v>5828</v>
      </c>
    </row>
    <row r="1825" spans="1:6" x14ac:dyDescent="0.25">
      <c r="A1825" s="16" t="s">
        <v>5829</v>
      </c>
      <c r="B1825" s="17" t="s">
        <v>5830</v>
      </c>
      <c r="C1825" s="17" t="s">
        <v>11</v>
      </c>
      <c r="D1825" s="17" t="s">
        <v>12</v>
      </c>
      <c r="E1825" s="17" t="s">
        <v>13</v>
      </c>
      <c r="F1825" s="16" t="s">
        <v>5831</v>
      </c>
    </row>
    <row r="1826" spans="1:6" x14ac:dyDescent="0.25">
      <c r="A1826" s="16" t="s">
        <v>5832</v>
      </c>
      <c r="B1826" s="17" t="s">
        <v>5833</v>
      </c>
      <c r="C1826" s="17" t="s">
        <v>11</v>
      </c>
      <c r="D1826" s="17" t="s">
        <v>12</v>
      </c>
      <c r="E1826" s="17" t="s">
        <v>13</v>
      </c>
      <c r="F1826" s="16" t="s">
        <v>5834</v>
      </c>
    </row>
    <row r="1827" spans="1:6" x14ac:dyDescent="0.25">
      <c r="A1827" s="16" t="s">
        <v>5835</v>
      </c>
      <c r="B1827" s="17" t="s">
        <v>5836</v>
      </c>
      <c r="C1827" s="17" t="s">
        <v>11</v>
      </c>
      <c r="D1827" s="17" t="s">
        <v>12</v>
      </c>
      <c r="E1827" s="17" t="s">
        <v>13</v>
      </c>
      <c r="F1827" s="16" t="s">
        <v>5837</v>
      </c>
    </row>
    <row r="1828" spans="1:6" x14ac:dyDescent="0.25">
      <c r="A1828" s="16" t="s">
        <v>5838</v>
      </c>
      <c r="B1828" s="17" t="s">
        <v>5839</v>
      </c>
      <c r="C1828" s="17" t="s">
        <v>11</v>
      </c>
      <c r="D1828" s="17" t="s">
        <v>12</v>
      </c>
      <c r="E1828" s="17" t="s">
        <v>13</v>
      </c>
      <c r="F1828" s="16" t="s">
        <v>5840</v>
      </c>
    </row>
    <row r="1829" spans="1:6" x14ac:dyDescent="0.25">
      <c r="A1829" s="16" t="s">
        <v>5841</v>
      </c>
      <c r="B1829" s="17" t="s">
        <v>5842</v>
      </c>
      <c r="C1829" s="17" t="s">
        <v>11</v>
      </c>
      <c r="D1829" s="17" t="s">
        <v>12</v>
      </c>
      <c r="E1829" s="17" t="s">
        <v>13</v>
      </c>
      <c r="F1829" s="16" t="s">
        <v>5843</v>
      </c>
    </row>
    <row r="1830" spans="1:6" x14ac:dyDescent="0.25">
      <c r="A1830" s="16" t="s">
        <v>5844</v>
      </c>
      <c r="B1830" s="17" t="s">
        <v>5845</v>
      </c>
      <c r="C1830" s="17" t="s">
        <v>11</v>
      </c>
      <c r="D1830" s="17" t="s">
        <v>12</v>
      </c>
      <c r="E1830" s="17" t="s">
        <v>13</v>
      </c>
      <c r="F1830" s="16" t="s">
        <v>5846</v>
      </c>
    </row>
    <row r="1831" spans="1:6" x14ac:dyDescent="0.25">
      <c r="A1831" s="16" t="s">
        <v>5847</v>
      </c>
      <c r="B1831" s="17" t="s">
        <v>5848</v>
      </c>
      <c r="C1831" s="17" t="s">
        <v>11</v>
      </c>
      <c r="D1831" s="17" t="s">
        <v>12</v>
      </c>
      <c r="E1831" s="17" t="s">
        <v>13</v>
      </c>
      <c r="F1831" s="16" t="s">
        <v>5849</v>
      </c>
    </row>
    <row r="1832" spans="1:6" x14ac:dyDescent="0.25">
      <c r="A1832" s="16" t="s">
        <v>5850</v>
      </c>
      <c r="B1832" s="17" t="s">
        <v>5851</v>
      </c>
      <c r="C1832" s="17" t="s">
        <v>11</v>
      </c>
      <c r="D1832" s="17" t="s">
        <v>12</v>
      </c>
      <c r="E1832" s="17" t="s">
        <v>13</v>
      </c>
      <c r="F1832" s="16" t="s">
        <v>5852</v>
      </c>
    </row>
    <row r="1833" spans="1:6" x14ac:dyDescent="0.25">
      <c r="A1833" s="16" t="s">
        <v>5853</v>
      </c>
      <c r="B1833" s="17" t="s">
        <v>5854</v>
      </c>
      <c r="C1833" s="17" t="s">
        <v>11</v>
      </c>
      <c r="D1833" s="17" t="s">
        <v>12</v>
      </c>
      <c r="E1833" s="17" t="s">
        <v>13</v>
      </c>
      <c r="F1833" s="16" t="s">
        <v>5855</v>
      </c>
    </row>
    <row r="1834" spans="1:6" x14ac:dyDescent="0.25">
      <c r="A1834" s="16" t="s">
        <v>5856</v>
      </c>
      <c r="B1834" s="17" t="s">
        <v>5857</v>
      </c>
      <c r="C1834" s="17" t="s">
        <v>11</v>
      </c>
      <c r="D1834" s="17" t="s">
        <v>12</v>
      </c>
      <c r="E1834" s="17" t="s">
        <v>13</v>
      </c>
      <c r="F1834" s="16" t="s">
        <v>5858</v>
      </c>
    </row>
    <row r="1835" spans="1:6" x14ac:dyDescent="0.25">
      <c r="A1835" s="16" t="s">
        <v>5859</v>
      </c>
      <c r="B1835" s="17" t="s">
        <v>5860</v>
      </c>
      <c r="C1835" s="17" t="s">
        <v>11</v>
      </c>
      <c r="D1835" s="17" t="s">
        <v>12</v>
      </c>
      <c r="E1835" s="17" t="s">
        <v>13</v>
      </c>
      <c r="F1835" s="16" t="s">
        <v>5861</v>
      </c>
    </row>
    <row r="1836" spans="1:6" x14ac:dyDescent="0.25">
      <c r="A1836" s="16" t="s">
        <v>5862</v>
      </c>
      <c r="B1836" s="17" t="s">
        <v>5863</v>
      </c>
      <c r="C1836" s="17" t="s">
        <v>11</v>
      </c>
      <c r="D1836" s="17" t="s">
        <v>12</v>
      </c>
      <c r="E1836" s="17" t="s">
        <v>13</v>
      </c>
      <c r="F1836" s="16" t="s">
        <v>5864</v>
      </c>
    </row>
    <row r="1837" spans="1:6" x14ac:dyDescent="0.25">
      <c r="A1837" s="16" t="s">
        <v>5865</v>
      </c>
      <c r="B1837" s="17" t="s">
        <v>5866</v>
      </c>
      <c r="C1837" s="17" t="s">
        <v>11</v>
      </c>
      <c r="D1837" s="17" t="s">
        <v>32</v>
      </c>
      <c r="E1837" s="17" t="s">
        <v>20</v>
      </c>
      <c r="F1837" s="16" t="s">
        <v>5867</v>
      </c>
    </row>
    <row r="1838" spans="1:6" x14ac:dyDescent="0.25">
      <c r="A1838" s="16" t="s">
        <v>5868</v>
      </c>
      <c r="B1838" s="17" t="s">
        <v>5869</v>
      </c>
      <c r="C1838" s="17" t="s">
        <v>11</v>
      </c>
      <c r="D1838" s="17" t="s">
        <v>12</v>
      </c>
      <c r="E1838" s="17" t="s">
        <v>13</v>
      </c>
      <c r="F1838" s="16" t="s">
        <v>5870</v>
      </c>
    </row>
    <row r="1839" spans="1:6" x14ac:dyDescent="0.25">
      <c r="A1839" s="16" t="s">
        <v>5871</v>
      </c>
      <c r="B1839" s="17" t="s">
        <v>5872</v>
      </c>
      <c r="C1839" s="17" t="s">
        <v>11</v>
      </c>
      <c r="D1839" s="17" t="s">
        <v>12</v>
      </c>
      <c r="E1839" s="17" t="s">
        <v>13</v>
      </c>
      <c r="F1839" s="16" t="s">
        <v>5873</v>
      </c>
    </row>
    <row r="1840" spans="1:6" x14ac:dyDescent="0.25">
      <c r="A1840" s="16" t="s">
        <v>5874</v>
      </c>
      <c r="B1840" s="17" t="s">
        <v>5875</v>
      </c>
      <c r="C1840" s="17" t="s">
        <v>11</v>
      </c>
      <c r="D1840" s="17" t="s">
        <v>32</v>
      </c>
      <c r="E1840" s="17" t="s">
        <v>20</v>
      </c>
      <c r="F1840" s="16" t="s">
        <v>5876</v>
      </c>
    </row>
    <row r="1841" spans="1:6" x14ac:dyDescent="0.25">
      <c r="A1841" s="16" t="s">
        <v>5877</v>
      </c>
      <c r="B1841" s="17" t="s">
        <v>5878</v>
      </c>
      <c r="C1841" s="17" t="s">
        <v>11</v>
      </c>
      <c r="D1841" s="17" t="s">
        <v>32</v>
      </c>
      <c r="E1841" s="17" t="s">
        <v>20</v>
      </c>
      <c r="F1841" s="16" t="s">
        <v>5879</v>
      </c>
    </row>
    <row r="1842" spans="1:6" x14ac:dyDescent="0.25">
      <c r="A1842" s="16" t="s">
        <v>5880</v>
      </c>
      <c r="B1842" s="17" t="s">
        <v>5881</v>
      </c>
      <c r="C1842" s="17" t="s">
        <v>11</v>
      </c>
      <c r="D1842" s="17" t="s">
        <v>32</v>
      </c>
      <c r="E1842" s="17" t="s">
        <v>20</v>
      </c>
      <c r="F1842" s="16" t="s">
        <v>5882</v>
      </c>
    </row>
    <row r="1843" spans="1:6" x14ac:dyDescent="0.25">
      <c r="A1843" s="16" t="s">
        <v>5883</v>
      </c>
      <c r="B1843" s="17" t="s">
        <v>5884</v>
      </c>
      <c r="C1843" s="17" t="s">
        <v>11</v>
      </c>
      <c r="D1843" s="17" t="s">
        <v>12</v>
      </c>
      <c r="E1843" s="17" t="s">
        <v>13</v>
      </c>
      <c r="F1843" s="16" t="s">
        <v>5885</v>
      </c>
    </row>
    <row r="1844" spans="1:6" x14ac:dyDescent="0.25">
      <c r="A1844" s="16" t="s">
        <v>5886</v>
      </c>
      <c r="B1844" s="17" t="s">
        <v>5887</v>
      </c>
      <c r="C1844" s="17" t="s">
        <v>11</v>
      </c>
      <c r="D1844" s="17" t="s">
        <v>12</v>
      </c>
      <c r="E1844" s="17" t="s">
        <v>13</v>
      </c>
      <c r="F1844" s="16" t="s">
        <v>5888</v>
      </c>
    </row>
    <row r="1845" spans="1:6" x14ac:dyDescent="0.25">
      <c r="A1845" s="16" t="s">
        <v>5889</v>
      </c>
      <c r="B1845" s="17" t="s">
        <v>5890</v>
      </c>
      <c r="C1845" s="17" t="s">
        <v>11</v>
      </c>
      <c r="D1845" s="17" t="s">
        <v>12</v>
      </c>
      <c r="E1845" s="17" t="s">
        <v>13</v>
      </c>
      <c r="F1845" s="16" t="s">
        <v>5891</v>
      </c>
    </row>
    <row r="1846" spans="1:6" x14ac:dyDescent="0.25">
      <c r="A1846" s="16" t="s">
        <v>5892</v>
      </c>
      <c r="B1846" s="17" t="s">
        <v>5893</v>
      </c>
      <c r="C1846" s="17" t="s">
        <v>11</v>
      </c>
      <c r="D1846" s="17" t="s">
        <v>12</v>
      </c>
      <c r="E1846" s="17" t="s">
        <v>13</v>
      </c>
      <c r="F1846" s="16" t="s">
        <v>5894</v>
      </c>
    </row>
    <row r="1847" spans="1:6" x14ac:dyDescent="0.25">
      <c r="A1847" s="16" t="s">
        <v>5895</v>
      </c>
      <c r="B1847" s="17" t="s">
        <v>5896</v>
      </c>
      <c r="C1847" s="17" t="s">
        <v>11</v>
      </c>
      <c r="D1847" s="17" t="s">
        <v>12</v>
      </c>
      <c r="E1847" s="17" t="s">
        <v>13</v>
      </c>
      <c r="F1847" s="16" t="s">
        <v>5897</v>
      </c>
    </row>
    <row r="1848" spans="1:6" x14ac:dyDescent="0.25">
      <c r="A1848" s="16" t="s">
        <v>5898</v>
      </c>
      <c r="B1848" s="17" t="s">
        <v>5899</v>
      </c>
      <c r="C1848" s="17" t="s">
        <v>11</v>
      </c>
      <c r="D1848" s="17" t="s">
        <v>12</v>
      </c>
      <c r="E1848" s="17" t="s">
        <v>13</v>
      </c>
      <c r="F1848" s="16" t="s">
        <v>5900</v>
      </c>
    </row>
    <row r="1849" spans="1:6" x14ac:dyDescent="0.25">
      <c r="A1849" s="16" t="s">
        <v>5901</v>
      </c>
      <c r="B1849" s="17" t="s">
        <v>5902</v>
      </c>
      <c r="C1849" s="17" t="s">
        <v>11</v>
      </c>
      <c r="D1849" s="17" t="s">
        <v>12</v>
      </c>
      <c r="E1849" s="17" t="s">
        <v>13</v>
      </c>
      <c r="F1849" s="16" t="s">
        <v>5903</v>
      </c>
    </row>
    <row r="1850" spans="1:6" x14ac:dyDescent="0.25">
      <c r="A1850" s="16" t="s">
        <v>5904</v>
      </c>
      <c r="B1850" s="17" t="s">
        <v>5905</v>
      </c>
      <c r="C1850" s="17" t="s">
        <v>11</v>
      </c>
      <c r="D1850" s="17" t="s">
        <v>32</v>
      </c>
      <c r="E1850" s="17" t="s">
        <v>20</v>
      </c>
      <c r="F1850" s="16" t="s">
        <v>5906</v>
      </c>
    </row>
    <row r="1851" spans="1:6" x14ac:dyDescent="0.25">
      <c r="A1851" s="16" t="s">
        <v>5907</v>
      </c>
      <c r="B1851" s="17" t="s">
        <v>5908</v>
      </c>
      <c r="C1851" s="17" t="s">
        <v>11</v>
      </c>
      <c r="D1851" s="17" t="s">
        <v>12</v>
      </c>
      <c r="E1851" s="17" t="s">
        <v>13</v>
      </c>
      <c r="F1851" s="16" t="s">
        <v>5909</v>
      </c>
    </row>
    <row r="1852" spans="1:6" x14ac:dyDescent="0.25">
      <c r="A1852" s="16" t="s">
        <v>5910</v>
      </c>
      <c r="B1852" s="17" t="s">
        <v>5911</v>
      </c>
      <c r="C1852" s="17" t="s">
        <v>11</v>
      </c>
      <c r="D1852" s="17" t="s">
        <v>12</v>
      </c>
      <c r="E1852" s="17" t="s">
        <v>13</v>
      </c>
      <c r="F1852" s="16" t="s">
        <v>5912</v>
      </c>
    </row>
    <row r="1853" spans="1:6" x14ac:dyDescent="0.25">
      <c r="A1853" s="16" t="s">
        <v>5913</v>
      </c>
      <c r="B1853" s="17" t="s">
        <v>5914</v>
      </c>
      <c r="C1853" s="17" t="s">
        <v>11</v>
      </c>
      <c r="D1853" s="17" t="s">
        <v>12</v>
      </c>
      <c r="E1853" s="17" t="s">
        <v>13</v>
      </c>
      <c r="F1853" s="16" t="s">
        <v>5915</v>
      </c>
    </row>
    <row r="1854" spans="1:6" x14ac:dyDescent="0.25">
      <c r="A1854" s="16" t="s">
        <v>5916</v>
      </c>
      <c r="B1854" s="17" t="s">
        <v>5917</v>
      </c>
      <c r="C1854" s="17" t="s">
        <v>11</v>
      </c>
      <c r="D1854" s="17" t="s">
        <v>12</v>
      </c>
      <c r="E1854" s="17" t="s">
        <v>13</v>
      </c>
      <c r="F1854" s="16" t="s">
        <v>5918</v>
      </c>
    </row>
    <row r="1855" spans="1:6" x14ac:dyDescent="0.25">
      <c r="A1855" s="16" t="s">
        <v>5919</v>
      </c>
      <c r="B1855" s="17" t="s">
        <v>5920</v>
      </c>
      <c r="C1855" s="17" t="s">
        <v>11</v>
      </c>
      <c r="D1855" s="17" t="s">
        <v>12</v>
      </c>
      <c r="E1855" s="17" t="s">
        <v>13</v>
      </c>
      <c r="F1855" s="16" t="s">
        <v>5921</v>
      </c>
    </row>
    <row r="1856" spans="1:6" x14ac:dyDescent="0.25">
      <c r="A1856" s="16" t="s">
        <v>5922</v>
      </c>
      <c r="B1856" s="17" t="s">
        <v>5923</v>
      </c>
      <c r="C1856" s="17" t="s">
        <v>11</v>
      </c>
      <c r="D1856" s="17" t="s">
        <v>12</v>
      </c>
      <c r="E1856" s="17" t="s">
        <v>13</v>
      </c>
      <c r="F1856" s="16" t="s">
        <v>5924</v>
      </c>
    </row>
    <row r="1857" spans="1:6" x14ac:dyDescent="0.25">
      <c r="A1857" s="16" t="s">
        <v>5925</v>
      </c>
      <c r="B1857" s="17" t="s">
        <v>5926</v>
      </c>
      <c r="C1857" s="17" t="s">
        <v>11</v>
      </c>
      <c r="D1857" s="17" t="s">
        <v>83</v>
      </c>
      <c r="E1857" s="17" t="s">
        <v>20</v>
      </c>
      <c r="F1857" s="16" t="s">
        <v>5927</v>
      </c>
    </row>
    <row r="1858" spans="1:6" x14ac:dyDescent="0.25">
      <c r="A1858" s="16" t="s">
        <v>5928</v>
      </c>
      <c r="B1858" s="17" t="s">
        <v>5929</v>
      </c>
      <c r="C1858" s="17" t="s">
        <v>11</v>
      </c>
      <c r="D1858" s="17" t="s">
        <v>83</v>
      </c>
      <c r="E1858" s="17" t="s">
        <v>20</v>
      </c>
      <c r="F1858" s="16" t="s">
        <v>5930</v>
      </c>
    </row>
    <row r="1859" spans="1:6" x14ac:dyDescent="0.25">
      <c r="A1859" s="16" t="s">
        <v>5931</v>
      </c>
      <c r="B1859" s="17" t="s">
        <v>5932</v>
      </c>
      <c r="C1859" s="17" t="s">
        <v>11</v>
      </c>
      <c r="D1859" s="17" t="s">
        <v>89</v>
      </c>
      <c r="E1859" s="17" t="s">
        <v>20</v>
      </c>
      <c r="F1859" s="16" t="s">
        <v>5933</v>
      </c>
    </row>
    <row r="1860" spans="1:6" x14ac:dyDescent="0.25">
      <c r="A1860" s="16" t="s">
        <v>5934</v>
      </c>
      <c r="B1860" s="17" t="s">
        <v>5935</v>
      </c>
      <c r="C1860" s="17" t="s">
        <v>11</v>
      </c>
      <c r="D1860" s="17" t="s">
        <v>12</v>
      </c>
      <c r="E1860" s="17" t="s">
        <v>13</v>
      </c>
      <c r="F1860" s="16" t="s">
        <v>5936</v>
      </c>
    </row>
    <row r="1861" spans="1:6" x14ac:dyDescent="0.25">
      <c r="A1861" s="16" t="s">
        <v>5937</v>
      </c>
      <c r="B1861" s="17" t="s">
        <v>5938</v>
      </c>
      <c r="C1861" s="17" t="s">
        <v>11</v>
      </c>
      <c r="D1861" s="17" t="s">
        <v>12</v>
      </c>
      <c r="E1861" s="17" t="s">
        <v>13</v>
      </c>
      <c r="F1861" s="16" t="s">
        <v>5939</v>
      </c>
    </row>
    <row r="1862" spans="1:6" x14ac:dyDescent="0.25">
      <c r="A1862" s="16" t="s">
        <v>5940</v>
      </c>
      <c r="B1862" s="17" t="s">
        <v>5941</v>
      </c>
      <c r="C1862" s="17" t="s">
        <v>11</v>
      </c>
      <c r="D1862" s="17" t="s">
        <v>12</v>
      </c>
      <c r="E1862" s="17" t="s">
        <v>13</v>
      </c>
      <c r="F1862" s="16" t="s">
        <v>5942</v>
      </c>
    </row>
    <row r="1863" spans="1:6" x14ac:dyDescent="0.25">
      <c r="A1863" s="16" t="s">
        <v>5943</v>
      </c>
      <c r="B1863" s="17" t="s">
        <v>5944</v>
      </c>
      <c r="C1863" s="17" t="s">
        <v>11</v>
      </c>
      <c r="D1863" s="17" t="s">
        <v>59</v>
      </c>
      <c r="E1863" s="17" t="s">
        <v>13</v>
      </c>
      <c r="F1863" s="16" t="s">
        <v>5945</v>
      </c>
    </row>
    <row r="1864" spans="1:6" x14ac:dyDescent="0.25">
      <c r="A1864" s="16" t="s">
        <v>5946</v>
      </c>
      <c r="B1864" s="17" t="s">
        <v>5947</v>
      </c>
      <c r="C1864" s="17" t="s">
        <v>11</v>
      </c>
      <c r="D1864" s="17" t="s">
        <v>182</v>
      </c>
      <c r="E1864" s="17" t="s">
        <v>20</v>
      </c>
      <c r="F1864" s="16" t="s">
        <v>5948</v>
      </c>
    </row>
    <row r="1865" spans="1:6" x14ac:dyDescent="0.25">
      <c r="A1865" s="16" t="s">
        <v>5949</v>
      </c>
      <c r="B1865" s="17" t="s">
        <v>5950</v>
      </c>
      <c r="C1865" s="17" t="s">
        <v>11</v>
      </c>
      <c r="D1865" s="17" t="s">
        <v>12</v>
      </c>
      <c r="E1865" s="17" t="s">
        <v>13</v>
      </c>
      <c r="F1865" s="16" t="s">
        <v>5951</v>
      </c>
    </row>
    <row r="1866" spans="1:6" x14ac:dyDescent="0.25">
      <c r="A1866" s="16" t="s">
        <v>5952</v>
      </c>
      <c r="B1866" s="17" t="s">
        <v>5953</v>
      </c>
      <c r="C1866" s="17" t="s">
        <v>11</v>
      </c>
      <c r="D1866" s="17" t="s">
        <v>12</v>
      </c>
      <c r="E1866" s="17" t="s">
        <v>13</v>
      </c>
      <c r="F1866" s="16" t="s">
        <v>5954</v>
      </c>
    </row>
    <row r="1867" spans="1:6" x14ac:dyDescent="0.25">
      <c r="A1867" s="16" t="s">
        <v>5955</v>
      </c>
      <c r="B1867" s="17" t="s">
        <v>5956</v>
      </c>
      <c r="C1867" s="17" t="s">
        <v>11</v>
      </c>
      <c r="D1867" s="17" t="s">
        <v>12</v>
      </c>
      <c r="E1867" s="17" t="s">
        <v>13</v>
      </c>
      <c r="F1867" s="16" t="s">
        <v>5957</v>
      </c>
    </row>
    <row r="1868" spans="1:6" x14ac:dyDescent="0.25">
      <c r="A1868" s="16" t="s">
        <v>5958</v>
      </c>
      <c r="B1868" s="17" t="s">
        <v>5959</v>
      </c>
      <c r="C1868" s="17" t="s">
        <v>11</v>
      </c>
      <c r="D1868" s="17" t="s">
        <v>59</v>
      </c>
      <c r="E1868" s="17" t="s">
        <v>13</v>
      </c>
      <c r="F1868" s="16" t="s">
        <v>5960</v>
      </c>
    </row>
    <row r="1869" spans="1:6" x14ac:dyDescent="0.25">
      <c r="A1869" s="16" t="s">
        <v>5961</v>
      </c>
      <c r="B1869" s="17" t="s">
        <v>5962</v>
      </c>
      <c r="C1869" s="17" t="s">
        <v>11</v>
      </c>
      <c r="D1869" s="17" t="s">
        <v>12</v>
      </c>
      <c r="E1869" s="17" t="s">
        <v>13</v>
      </c>
      <c r="F1869" s="16" t="s">
        <v>5963</v>
      </c>
    </row>
    <row r="1870" spans="1:6" x14ac:dyDescent="0.25">
      <c r="A1870" s="16" t="s">
        <v>5964</v>
      </c>
      <c r="B1870" s="17" t="s">
        <v>5965</v>
      </c>
      <c r="C1870" s="17" t="s">
        <v>11</v>
      </c>
      <c r="D1870" s="17" t="s">
        <v>12</v>
      </c>
      <c r="E1870" s="17" t="s">
        <v>13</v>
      </c>
      <c r="F1870" s="16" t="s">
        <v>5966</v>
      </c>
    </row>
    <row r="1871" spans="1:6" x14ac:dyDescent="0.25">
      <c r="A1871" s="16" t="s">
        <v>5967</v>
      </c>
      <c r="B1871" s="17" t="s">
        <v>5968</v>
      </c>
      <c r="C1871" s="17" t="s">
        <v>11</v>
      </c>
      <c r="D1871" s="17" t="s">
        <v>12</v>
      </c>
      <c r="E1871" s="17" t="s">
        <v>13</v>
      </c>
      <c r="F1871" s="16" t="s">
        <v>5969</v>
      </c>
    </row>
    <row r="1872" spans="1:6" x14ac:dyDescent="0.25">
      <c r="A1872" s="16" t="s">
        <v>5970</v>
      </c>
      <c r="B1872" s="17" t="s">
        <v>5971</v>
      </c>
      <c r="C1872" s="17" t="s">
        <v>11</v>
      </c>
      <c r="D1872" s="17" t="s">
        <v>12</v>
      </c>
      <c r="E1872" s="17" t="s">
        <v>13</v>
      </c>
      <c r="F1872" s="16" t="s">
        <v>5972</v>
      </c>
    </row>
    <row r="1873" spans="1:6" x14ac:dyDescent="0.25">
      <c r="A1873" s="16" t="s">
        <v>5973</v>
      </c>
      <c r="B1873" s="17" t="s">
        <v>5974</v>
      </c>
      <c r="C1873" s="17" t="s">
        <v>11</v>
      </c>
      <c r="D1873" s="17" t="s">
        <v>12</v>
      </c>
      <c r="E1873" s="17" t="s">
        <v>13</v>
      </c>
      <c r="F1873" s="16" t="s">
        <v>5975</v>
      </c>
    </row>
    <row r="1874" spans="1:6" x14ac:dyDescent="0.25">
      <c r="A1874" s="16" t="s">
        <v>5976</v>
      </c>
      <c r="B1874" s="17" t="s">
        <v>5977</v>
      </c>
      <c r="C1874" s="17" t="s">
        <v>11</v>
      </c>
      <c r="D1874" s="17" t="s">
        <v>32</v>
      </c>
      <c r="E1874" s="17" t="s">
        <v>20</v>
      </c>
      <c r="F1874" s="16" t="s">
        <v>5978</v>
      </c>
    </row>
    <row r="1875" spans="1:6" x14ac:dyDescent="0.25">
      <c r="A1875" s="16" t="s">
        <v>5979</v>
      </c>
      <c r="B1875" s="17" t="s">
        <v>5980</v>
      </c>
      <c r="C1875" s="17" t="s">
        <v>11</v>
      </c>
      <c r="D1875" s="17" t="s">
        <v>12</v>
      </c>
      <c r="E1875" s="17" t="s">
        <v>13</v>
      </c>
      <c r="F1875" s="16" t="s">
        <v>5981</v>
      </c>
    </row>
    <row r="1876" spans="1:6" x14ac:dyDescent="0.25">
      <c r="A1876" s="16" t="s">
        <v>5982</v>
      </c>
      <c r="B1876" s="17" t="s">
        <v>5983</v>
      </c>
      <c r="C1876" s="17" t="s">
        <v>11</v>
      </c>
      <c r="D1876" s="17" t="s">
        <v>83</v>
      </c>
      <c r="E1876" s="17" t="s">
        <v>20</v>
      </c>
      <c r="F1876" s="16" t="s">
        <v>5984</v>
      </c>
    </row>
    <row r="1877" spans="1:6" x14ac:dyDescent="0.25">
      <c r="A1877" s="16" t="s">
        <v>5985</v>
      </c>
      <c r="B1877" s="17" t="s">
        <v>5986</v>
      </c>
      <c r="C1877" s="17" t="s">
        <v>11</v>
      </c>
      <c r="D1877" s="17" t="s">
        <v>12</v>
      </c>
      <c r="E1877" s="17" t="s">
        <v>13</v>
      </c>
      <c r="F1877" s="16" t="s">
        <v>5987</v>
      </c>
    </row>
    <row r="1878" spans="1:6" x14ac:dyDescent="0.25">
      <c r="A1878" s="16" t="s">
        <v>5988</v>
      </c>
      <c r="B1878" s="17" t="s">
        <v>5989</v>
      </c>
      <c r="C1878" s="17" t="s">
        <v>11</v>
      </c>
      <c r="D1878" s="17" t="s">
        <v>12</v>
      </c>
      <c r="E1878" s="17" t="s">
        <v>13</v>
      </c>
      <c r="F1878" s="16" t="s">
        <v>5990</v>
      </c>
    </row>
    <row r="1879" spans="1:6" x14ac:dyDescent="0.25">
      <c r="A1879" s="16" t="s">
        <v>5991</v>
      </c>
      <c r="B1879" s="17" t="s">
        <v>5992</v>
      </c>
      <c r="C1879" s="17" t="s">
        <v>11</v>
      </c>
      <c r="D1879" s="17" t="s">
        <v>32</v>
      </c>
      <c r="E1879" s="17" t="s">
        <v>20</v>
      </c>
      <c r="F1879" s="16" t="s">
        <v>5993</v>
      </c>
    </row>
    <row r="1880" spans="1:6" x14ac:dyDescent="0.25">
      <c r="A1880" s="16" t="s">
        <v>5994</v>
      </c>
      <c r="B1880" s="17" t="s">
        <v>5995</v>
      </c>
      <c r="C1880" s="17" t="s">
        <v>11</v>
      </c>
      <c r="D1880" s="17" t="s">
        <v>32</v>
      </c>
      <c r="E1880" s="17" t="s">
        <v>20</v>
      </c>
      <c r="F1880" s="16" t="s">
        <v>5996</v>
      </c>
    </row>
    <row r="1881" spans="1:6" x14ac:dyDescent="0.25">
      <c r="A1881" s="16" t="s">
        <v>5997</v>
      </c>
      <c r="B1881" s="17" t="s">
        <v>5998</v>
      </c>
      <c r="C1881" s="17" t="s">
        <v>11</v>
      </c>
      <c r="D1881" s="17" t="s">
        <v>83</v>
      </c>
      <c r="E1881" s="17" t="s">
        <v>20</v>
      </c>
      <c r="F1881" s="16" t="s">
        <v>5999</v>
      </c>
    </row>
    <row r="1882" spans="1:6" x14ac:dyDescent="0.25">
      <c r="A1882" s="16" t="s">
        <v>6000</v>
      </c>
      <c r="B1882" s="17" t="s">
        <v>6001</v>
      </c>
      <c r="C1882" s="17" t="s">
        <v>11</v>
      </c>
      <c r="D1882" s="17" t="s">
        <v>12</v>
      </c>
      <c r="E1882" s="17" t="s">
        <v>13</v>
      </c>
      <c r="F1882" s="16" t="s">
        <v>6002</v>
      </c>
    </row>
    <row r="1883" spans="1:6" x14ac:dyDescent="0.25">
      <c r="A1883" s="16" t="s">
        <v>6003</v>
      </c>
      <c r="B1883" s="17" t="s">
        <v>6004</v>
      </c>
      <c r="C1883" s="17" t="s">
        <v>11</v>
      </c>
      <c r="D1883" s="17" t="s">
        <v>80</v>
      </c>
      <c r="E1883" s="17" t="s">
        <v>20</v>
      </c>
      <c r="F1883" s="16" t="s">
        <v>6005</v>
      </c>
    </row>
    <row r="1884" spans="1:6" x14ac:dyDescent="0.25">
      <c r="A1884" s="16" t="s">
        <v>6006</v>
      </c>
      <c r="B1884" s="17" t="s">
        <v>6007</v>
      </c>
      <c r="C1884" s="17" t="s">
        <v>11</v>
      </c>
      <c r="D1884" s="17" t="s">
        <v>12</v>
      </c>
      <c r="E1884" s="17" t="s">
        <v>13</v>
      </c>
      <c r="F1884" s="16" t="s">
        <v>6008</v>
      </c>
    </row>
    <row r="1885" spans="1:6" x14ac:dyDescent="0.25">
      <c r="A1885" s="16" t="s">
        <v>6009</v>
      </c>
      <c r="B1885" s="17" t="s">
        <v>6010</v>
      </c>
      <c r="C1885" s="17" t="s">
        <v>11</v>
      </c>
      <c r="D1885" s="17" t="s">
        <v>12</v>
      </c>
      <c r="E1885" s="17" t="s">
        <v>13</v>
      </c>
      <c r="F1885" s="16" t="s">
        <v>6011</v>
      </c>
    </row>
    <row r="1886" spans="1:6" x14ac:dyDescent="0.25">
      <c r="A1886" s="16" t="s">
        <v>6012</v>
      </c>
      <c r="B1886" s="17" t="s">
        <v>6013</v>
      </c>
      <c r="C1886" s="17" t="s">
        <v>11</v>
      </c>
      <c r="D1886" s="17" t="s">
        <v>12</v>
      </c>
      <c r="E1886" s="17" t="s">
        <v>13</v>
      </c>
      <c r="F1886" s="16" t="s">
        <v>6014</v>
      </c>
    </row>
    <row r="1887" spans="1:6" x14ac:dyDescent="0.25">
      <c r="A1887" s="16" t="s">
        <v>6015</v>
      </c>
      <c r="B1887" s="17" t="s">
        <v>6016</v>
      </c>
      <c r="C1887" s="17" t="s">
        <v>11</v>
      </c>
      <c r="D1887" s="17" t="s">
        <v>59</v>
      </c>
      <c r="E1887" s="17" t="s">
        <v>13</v>
      </c>
      <c r="F1887" s="16" t="s">
        <v>6017</v>
      </c>
    </row>
    <row r="1888" spans="1:6" x14ac:dyDescent="0.25">
      <c r="A1888" s="16" t="s">
        <v>6018</v>
      </c>
      <c r="B1888" s="17" t="s">
        <v>6019</v>
      </c>
      <c r="C1888" s="17" t="s">
        <v>11</v>
      </c>
      <c r="D1888" s="17" t="s">
        <v>12</v>
      </c>
      <c r="E1888" s="17" t="s">
        <v>13</v>
      </c>
      <c r="F1888" s="16" t="s">
        <v>6020</v>
      </c>
    </row>
    <row r="1889" spans="1:6" x14ac:dyDescent="0.25">
      <c r="A1889" s="16" t="s">
        <v>6021</v>
      </c>
      <c r="B1889" s="17" t="s">
        <v>6022</v>
      </c>
      <c r="C1889" s="17" t="s">
        <v>11</v>
      </c>
      <c r="D1889" s="17" t="s">
        <v>12</v>
      </c>
      <c r="E1889" s="17" t="s">
        <v>13</v>
      </c>
      <c r="F1889" s="16" t="s">
        <v>6023</v>
      </c>
    </row>
    <row r="1890" spans="1:6" x14ac:dyDescent="0.25">
      <c r="A1890" s="16" t="s">
        <v>6024</v>
      </c>
      <c r="B1890" s="17" t="s">
        <v>6025</v>
      </c>
      <c r="C1890" s="17" t="s">
        <v>11</v>
      </c>
      <c r="D1890" s="17" t="s">
        <v>12</v>
      </c>
      <c r="E1890" s="17" t="s">
        <v>13</v>
      </c>
      <c r="F1890" s="16" t="s">
        <v>6026</v>
      </c>
    </row>
    <row r="1891" spans="1:6" x14ac:dyDescent="0.25">
      <c r="A1891" s="16" t="s">
        <v>6027</v>
      </c>
      <c r="B1891" s="17" t="s">
        <v>6028</v>
      </c>
      <c r="C1891" s="17" t="s">
        <v>11</v>
      </c>
      <c r="D1891" s="17" t="s">
        <v>12</v>
      </c>
      <c r="E1891" s="17" t="s">
        <v>13</v>
      </c>
      <c r="F1891" s="16" t="s">
        <v>6029</v>
      </c>
    </row>
    <row r="1892" spans="1:6" x14ac:dyDescent="0.25">
      <c r="A1892" s="16" t="s">
        <v>6030</v>
      </c>
      <c r="B1892" s="17" t="s">
        <v>6031</v>
      </c>
      <c r="C1892" s="17" t="s">
        <v>11</v>
      </c>
      <c r="D1892" s="17" t="s">
        <v>12</v>
      </c>
      <c r="E1892" s="17" t="s">
        <v>13</v>
      </c>
      <c r="F1892" s="16" t="s">
        <v>6032</v>
      </c>
    </row>
    <row r="1893" spans="1:6" x14ac:dyDescent="0.25">
      <c r="A1893" s="16" t="s">
        <v>6033</v>
      </c>
      <c r="B1893" s="17" t="s">
        <v>6034</v>
      </c>
      <c r="C1893" s="17" t="s">
        <v>11</v>
      </c>
      <c r="D1893" s="17" t="s">
        <v>12</v>
      </c>
      <c r="E1893" s="17" t="s">
        <v>13</v>
      </c>
      <c r="F1893" s="16" t="s">
        <v>6035</v>
      </c>
    </row>
    <row r="1894" spans="1:6" x14ac:dyDescent="0.25">
      <c r="A1894" s="16" t="s">
        <v>6036</v>
      </c>
      <c r="B1894" s="17" t="s">
        <v>6037</v>
      </c>
      <c r="C1894" s="17" t="s">
        <v>11</v>
      </c>
      <c r="D1894" s="17" t="s">
        <v>12</v>
      </c>
      <c r="E1894" s="17" t="s">
        <v>13</v>
      </c>
      <c r="F1894" s="16" t="s">
        <v>6038</v>
      </c>
    </row>
    <row r="1895" spans="1:6" x14ac:dyDescent="0.25">
      <c r="A1895" s="16" t="s">
        <v>6039</v>
      </c>
      <c r="B1895" s="17" t="s">
        <v>6040</v>
      </c>
      <c r="C1895" s="17" t="s">
        <v>11</v>
      </c>
      <c r="D1895" s="17" t="s">
        <v>12</v>
      </c>
      <c r="E1895" s="17" t="s">
        <v>13</v>
      </c>
      <c r="F1895" s="16" t="s">
        <v>6041</v>
      </c>
    </row>
    <row r="1896" spans="1:6" x14ac:dyDescent="0.25">
      <c r="A1896" s="16" t="s">
        <v>6042</v>
      </c>
      <c r="B1896" s="17" t="s">
        <v>6043</v>
      </c>
      <c r="C1896" s="17" t="s">
        <v>11</v>
      </c>
      <c r="D1896" s="17" t="s">
        <v>12</v>
      </c>
      <c r="E1896" s="17" t="s">
        <v>13</v>
      </c>
      <c r="F1896" s="16" t="s">
        <v>6044</v>
      </c>
    </row>
    <row r="1897" spans="1:6" x14ac:dyDescent="0.25">
      <c r="A1897" s="16" t="s">
        <v>6045</v>
      </c>
      <c r="B1897" s="17" t="s">
        <v>6046</v>
      </c>
      <c r="C1897" s="17" t="s">
        <v>11</v>
      </c>
      <c r="D1897" s="17" t="s">
        <v>12</v>
      </c>
      <c r="E1897" s="17" t="s">
        <v>13</v>
      </c>
      <c r="F1897" s="16" t="s">
        <v>6047</v>
      </c>
    </row>
    <row r="1898" spans="1:6" x14ac:dyDescent="0.25">
      <c r="A1898" s="16" t="s">
        <v>6048</v>
      </c>
      <c r="B1898" s="17" t="s">
        <v>6049</v>
      </c>
      <c r="C1898" s="17" t="s">
        <v>11</v>
      </c>
      <c r="D1898" s="17" t="s">
        <v>186</v>
      </c>
      <c r="E1898" s="17" t="s">
        <v>20</v>
      </c>
      <c r="F1898" s="16" t="s">
        <v>6050</v>
      </c>
    </row>
    <row r="1899" spans="1:6" x14ac:dyDescent="0.25">
      <c r="A1899" s="16" t="s">
        <v>6051</v>
      </c>
      <c r="B1899" s="17" t="s">
        <v>6052</v>
      </c>
      <c r="C1899" s="17" t="s">
        <v>11</v>
      </c>
      <c r="D1899" s="17" t="s">
        <v>32</v>
      </c>
      <c r="E1899" s="17" t="s">
        <v>20</v>
      </c>
      <c r="F1899" s="16" t="s">
        <v>6053</v>
      </c>
    </row>
    <row r="1900" spans="1:6" x14ac:dyDescent="0.25">
      <c r="A1900" s="16" t="s">
        <v>6054</v>
      </c>
      <c r="B1900" s="17" t="s">
        <v>6055</v>
      </c>
      <c r="C1900" s="17" t="s">
        <v>11</v>
      </c>
      <c r="D1900" s="17" t="s">
        <v>6056</v>
      </c>
      <c r="E1900" s="17" t="s">
        <v>13</v>
      </c>
      <c r="F1900" s="16" t="s">
        <v>6057</v>
      </c>
    </row>
    <row r="1901" spans="1:6" x14ac:dyDescent="0.25">
      <c r="A1901" s="16" t="s">
        <v>6058</v>
      </c>
      <c r="B1901" s="17" t="s">
        <v>6059</v>
      </c>
      <c r="C1901" s="17" t="s">
        <v>11</v>
      </c>
      <c r="D1901" s="17" t="s">
        <v>83</v>
      </c>
      <c r="E1901" s="17" t="s">
        <v>20</v>
      </c>
      <c r="F1901" s="16" t="s">
        <v>6060</v>
      </c>
    </row>
    <row r="1902" spans="1:6" x14ac:dyDescent="0.25">
      <c r="A1902" s="16" t="s">
        <v>6061</v>
      </c>
      <c r="B1902" s="17" t="s">
        <v>6062</v>
      </c>
      <c r="C1902" s="17" t="s">
        <v>11</v>
      </c>
      <c r="D1902" s="17" t="s">
        <v>12</v>
      </c>
      <c r="E1902" s="17" t="s">
        <v>13</v>
      </c>
      <c r="F1902" s="16" t="s">
        <v>6063</v>
      </c>
    </row>
    <row r="1903" spans="1:6" x14ac:dyDescent="0.25">
      <c r="A1903" s="16" t="s">
        <v>6064</v>
      </c>
      <c r="B1903" s="17" t="s">
        <v>6065</v>
      </c>
      <c r="C1903" s="17" t="s">
        <v>11</v>
      </c>
      <c r="D1903" s="17" t="s">
        <v>83</v>
      </c>
      <c r="E1903" s="17" t="s">
        <v>20</v>
      </c>
      <c r="F1903" s="16" t="s">
        <v>6066</v>
      </c>
    </row>
    <row r="1904" spans="1:6" x14ac:dyDescent="0.25">
      <c r="A1904" s="16" t="s">
        <v>6067</v>
      </c>
      <c r="B1904" s="17" t="s">
        <v>6068</v>
      </c>
      <c r="C1904" s="17" t="s">
        <v>11</v>
      </c>
      <c r="D1904" s="17" t="s">
        <v>83</v>
      </c>
      <c r="E1904" s="17" t="s">
        <v>20</v>
      </c>
      <c r="F1904" s="16" t="s">
        <v>6069</v>
      </c>
    </row>
    <row r="1905" spans="1:6" x14ac:dyDescent="0.25">
      <c r="A1905" s="16" t="s">
        <v>6070</v>
      </c>
      <c r="B1905" s="17" t="s">
        <v>6071</v>
      </c>
      <c r="C1905" s="17" t="s">
        <v>11</v>
      </c>
      <c r="D1905" s="17" t="s">
        <v>32</v>
      </c>
      <c r="E1905" s="17" t="s">
        <v>20</v>
      </c>
      <c r="F1905" s="16" t="s">
        <v>6072</v>
      </c>
    </row>
    <row r="1906" spans="1:6" x14ac:dyDescent="0.25">
      <c r="A1906" s="16" t="s">
        <v>6073</v>
      </c>
      <c r="B1906" s="17" t="s">
        <v>6074</v>
      </c>
      <c r="C1906" s="17" t="s">
        <v>11</v>
      </c>
      <c r="D1906" s="17" t="s">
        <v>59</v>
      </c>
      <c r="E1906" s="17" t="s">
        <v>13</v>
      </c>
      <c r="F1906" s="16" t="s">
        <v>6075</v>
      </c>
    </row>
    <row r="1907" spans="1:6" x14ac:dyDescent="0.25">
      <c r="A1907" s="16" t="s">
        <v>6076</v>
      </c>
      <c r="B1907" s="17" t="s">
        <v>6077</v>
      </c>
      <c r="C1907" s="17" t="s">
        <v>11</v>
      </c>
      <c r="D1907" s="17" t="s">
        <v>12</v>
      </c>
      <c r="E1907" s="17" t="s">
        <v>13</v>
      </c>
      <c r="F1907" s="16" t="s">
        <v>6078</v>
      </c>
    </row>
    <row r="1908" spans="1:6" x14ac:dyDescent="0.25">
      <c r="A1908" s="16" t="s">
        <v>6079</v>
      </c>
      <c r="B1908" s="17" t="s">
        <v>6080</v>
      </c>
      <c r="C1908" s="17" t="s">
        <v>11</v>
      </c>
      <c r="D1908" s="17" t="s">
        <v>12</v>
      </c>
      <c r="E1908" s="17" t="s">
        <v>13</v>
      </c>
      <c r="F1908" s="16" t="s">
        <v>6081</v>
      </c>
    </row>
    <row r="1909" spans="1:6" x14ac:dyDescent="0.25">
      <c r="A1909" s="16" t="s">
        <v>6082</v>
      </c>
      <c r="B1909" s="17" t="s">
        <v>6083</v>
      </c>
      <c r="C1909" s="17" t="s">
        <v>11</v>
      </c>
      <c r="D1909" s="17" t="s">
        <v>59</v>
      </c>
      <c r="E1909" s="17" t="s">
        <v>13</v>
      </c>
      <c r="F1909" s="16" t="s">
        <v>6084</v>
      </c>
    </row>
    <row r="1910" spans="1:6" x14ac:dyDescent="0.25">
      <c r="A1910" s="16" t="s">
        <v>6085</v>
      </c>
      <c r="B1910" s="17" t="s">
        <v>6086</v>
      </c>
      <c r="C1910" s="17" t="s">
        <v>11</v>
      </c>
      <c r="D1910" s="17" t="s">
        <v>12</v>
      </c>
      <c r="E1910" s="17" t="s">
        <v>13</v>
      </c>
      <c r="F1910" s="16" t="s">
        <v>6087</v>
      </c>
    </row>
    <row r="1911" spans="1:6" x14ac:dyDescent="0.25">
      <c r="A1911" s="16" t="s">
        <v>6088</v>
      </c>
      <c r="B1911" s="17" t="s">
        <v>6089</v>
      </c>
      <c r="C1911" s="17" t="s">
        <v>11</v>
      </c>
      <c r="D1911" s="17" t="s">
        <v>12</v>
      </c>
      <c r="E1911" s="17" t="s">
        <v>13</v>
      </c>
      <c r="F1911" s="16" t="s">
        <v>6090</v>
      </c>
    </row>
    <row r="1912" spans="1:6" x14ac:dyDescent="0.25">
      <c r="A1912" s="16" t="s">
        <v>6091</v>
      </c>
      <c r="B1912" s="17" t="s">
        <v>6092</v>
      </c>
      <c r="C1912" s="17" t="s">
        <v>11</v>
      </c>
      <c r="D1912" s="17" t="s">
        <v>12</v>
      </c>
      <c r="E1912" s="17" t="s">
        <v>13</v>
      </c>
      <c r="F1912" s="16" t="s">
        <v>6093</v>
      </c>
    </row>
    <row r="1913" spans="1:6" x14ac:dyDescent="0.25">
      <c r="A1913" s="16" t="s">
        <v>6094</v>
      </c>
      <c r="B1913" s="17" t="s">
        <v>6095</v>
      </c>
      <c r="C1913" s="17" t="s">
        <v>11</v>
      </c>
      <c r="D1913" s="17" t="s">
        <v>80</v>
      </c>
      <c r="E1913" s="17" t="s">
        <v>20</v>
      </c>
      <c r="F1913" s="16" t="s">
        <v>6096</v>
      </c>
    </row>
    <row r="1914" spans="1:6" x14ac:dyDescent="0.25">
      <c r="A1914" s="16" t="s">
        <v>6097</v>
      </c>
      <c r="B1914" s="17" t="s">
        <v>6098</v>
      </c>
      <c r="C1914" s="17" t="s">
        <v>11</v>
      </c>
      <c r="D1914" s="17" t="s">
        <v>12</v>
      </c>
      <c r="E1914" s="17" t="s">
        <v>13</v>
      </c>
      <c r="F1914" s="16" t="s">
        <v>6099</v>
      </c>
    </row>
    <row r="1915" spans="1:6" x14ac:dyDescent="0.25">
      <c r="A1915" s="16" t="s">
        <v>6100</v>
      </c>
      <c r="B1915" s="17" t="s">
        <v>6101</v>
      </c>
      <c r="C1915" s="17" t="s">
        <v>11</v>
      </c>
      <c r="D1915" s="17" t="s">
        <v>74</v>
      </c>
      <c r="E1915" s="17" t="s">
        <v>20</v>
      </c>
      <c r="F1915" s="16" t="s">
        <v>6102</v>
      </c>
    </row>
    <row r="1916" spans="1:6" x14ac:dyDescent="0.25">
      <c r="A1916" s="16" t="s">
        <v>6103</v>
      </c>
      <c r="B1916" s="17" t="s">
        <v>6104</v>
      </c>
      <c r="C1916" s="17" t="s">
        <v>11</v>
      </c>
      <c r="D1916" s="17" t="s">
        <v>2320</v>
      </c>
      <c r="E1916" s="17" t="s">
        <v>13</v>
      </c>
      <c r="F1916" s="16" t="s">
        <v>6105</v>
      </c>
    </row>
    <row r="1917" spans="1:6" x14ac:dyDescent="0.25">
      <c r="A1917" s="16" t="s">
        <v>6106</v>
      </c>
      <c r="B1917" s="17" t="s">
        <v>6107</v>
      </c>
      <c r="C1917" s="17" t="s">
        <v>11</v>
      </c>
      <c r="D1917" s="17" t="s">
        <v>74</v>
      </c>
      <c r="E1917" s="17" t="s">
        <v>20</v>
      </c>
      <c r="F1917" s="16" t="s">
        <v>6108</v>
      </c>
    </row>
    <row r="1918" spans="1:6" x14ac:dyDescent="0.25">
      <c r="A1918" s="16" t="s">
        <v>6109</v>
      </c>
      <c r="B1918" s="17" t="s">
        <v>6110</v>
      </c>
      <c r="C1918" s="17" t="s">
        <v>11</v>
      </c>
      <c r="D1918" s="17" t="s">
        <v>59</v>
      </c>
      <c r="E1918" s="17" t="s">
        <v>13</v>
      </c>
      <c r="F1918" s="16" t="s">
        <v>6111</v>
      </c>
    </row>
    <row r="1919" spans="1:6" x14ac:dyDescent="0.25">
      <c r="A1919" s="16" t="s">
        <v>6112</v>
      </c>
      <c r="B1919" s="17" t="s">
        <v>6113</v>
      </c>
      <c r="C1919" s="17" t="s">
        <v>11</v>
      </c>
      <c r="D1919" s="17" t="s">
        <v>12</v>
      </c>
      <c r="E1919" s="17" t="s">
        <v>13</v>
      </c>
      <c r="F1919" s="16" t="s">
        <v>6114</v>
      </c>
    </row>
    <row r="1920" spans="1:6" x14ac:dyDescent="0.25">
      <c r="A1920" s="16" t="s">
        <v>6115</v>
      </c>
      <c r="B1920" s="17" t="s">
        <v>6116</v>
      </c>
      <c r="C1920" s="17" t="s">
        <v>11</v>
      </c>
      <c r="D1920" s="17" t="s">
        <v>12</v>
      </c>
      <c r="E1920" s="17" t="s">
        <v>13</v>
      </c>
      <c r="F1920" s="16" t="s">
        <v>6117</v>
      </c>
    </row>
    <row r="1921" spans="1:6" x14ac:dyDescent="0.25">
      <c r="A1921" s="16" t="s">
        <v>6118</v>
      </c>
      <c r="B1921" s="17" t="s">
        <v>6119</v>
      </c>
      <c r="C1921" s="17" t="s">
        <v>11</v>
      </c>
      <c r="D1921" s="17" t="s">
        <v>89</v>
      </c>
      <c r="E1921" s="17" t="s">
        <v>20</v>
      </c>
      <c r="F1921" s="16" t="s">
        <v>6120</v>
      </c>
    </row>
    <row r="1922" spans="1:6" x14ac:dyDescent="0.25">
      <c r="A1922" s="16" t="s">
        <v>6121</v>
      </c>
      <c r="B1922" s="17" t="s">
        <v>6122</v>
      </c>
      <c r="C1922" s="17" t="s">
        <v>11</v>
      </c>
      <c r="D1922" s="17" t="s">
        <v>250</v>
      </c>
      <c r="E1922" s="17" t="s">
        <v>20</v>
      </c>
      <c r="F1922" s="16" t="s">
        <v>6123</v>
      </c>
    </row>
    <row r="1923" spans="1:6" x14ac:dyDescent="0.25">
      <c r="A1923" s="16" t="s">
        <v>6124</v>
      </c>
      <c r="B1923" s="17" t="s">
        <v>6125</v>
      </c>
      <c r="C1923" s="17" t="s">
        <v>11</v>
      </c>
      <c r="D1923" s="17" t="s">
        <v>12</v>
      </c>
      <c r="E1923" s="17" t="s">
        <v>13</v>
      </c>
      <c r="F1923" s="16" t="s">
        <v>6126</v>
      </c>
    </row>
    <row r="1924" spans="1:6" x14ac:dyDescent="0.25">
      <c r="A1924" s="16" t="s">
        <v>6127</v>
      </c>
      <c r="B1924" s="17" t="s">
        <v>6128</v>
      </c>
      <c r="C1924" s="17" t="s">
        <v>11</v>
      </c>
      <c r="D1924" s="17" t="s">
        <v>32</v>
      </c>
      <c r="E1924" s="17" t="s">
        <v>20</v>
      </c>
      <c r="F1924" s="16" t="s">
        <v>6129</v>
      </c>
    </row>
    <row r="1925" spans="1:6" x14ac:dyDescent="0.25">
      <c r="A1925" s="16" t="s">
        <v>6130</v>
      </c>
      <c r="B1925" s="17" t="s">
        <v>6131</v>
      </c>
      <c r="C1925" s="17" t="s">
        <v>11</v>
      </c>
      <c r="D1925" s="17" t="s">
        <v>12</v>
      </c>
      <c r="E1925" s="17" t="s">
        <v>13</v>
      </c>
      <c r="F1925" s="16" t="s">
        <v>6132</v>
      </c>
    </row>
    <row r="1926" spans="1:6" x14ac:dyDescent="0.25">
      <c r="A1926" s="16" t="s">
        <v>6133</v>
      </c>
      <c r="B1926" s="17" t="s">
        <v>6134</v>
      </c>
      <c r="C1926" s="17" t="s">
        <v>11</v>
      </c>
      <c r="D1926" s="17" t="s">
        <v>171</v>
      </c>
      <c r="E1926" s="17" t="s">
        <v>13</v>
      </c>
      <c r="F1926" s="16" t="s">
        <v>6135</v>
      </c>
    </row>
    <row r="1927" spans="1:6" x14ac:dyDescent="0.25">
      <c r="A1927" s="16" t="s">
        <v>6136</v>
      </c>
      <c r="B1927" s="17" t="s">
        <v>6137</v>
      </c>
      <c r="C1927" s="17" t="s">
        <v>11</v>
      </c>
      <c r="D1927" s="17" t="s">
        <v>12</v>
      </c>
      <c r="E1927" s="17" t="s">
        <v>13</v>
      </c>
      <c r="F1927" s="16" t="s">
        <v>6138</v>
      </c>
    </row>
    <row r="1928" spans="1:6" x14ac:dyDescent="0.25">
      <c r="A1928" s="16" t="s">
        <v>6139</v>
      </c>
      <c r="B1928" s="17" t="s">
        <v>6140</v>
      </c>
      <c r="C1928" s="17" t="s">
        <v>214</v>
      </c>
      <c r="D1928" s="17" t="s">
        <v>12</v>
      </c>
      <c r="E1928" s="17" t="s">
        <v>13</v>
      </c>
      <c r="F1928" s="16" t="s">
        <v>6141</v>
      </c>
    </row>
    <row r="1929" spans="1:6" x14ac:dyDescent="0.25">
      <c r="A1929" s="16" t="s">
        <v>6142</v>
      </c>
      <c r="B1929" s="17" t="s">
        <v>6143</v>
      </c>
      <c r="C1929" s="17" t="s">
        <v>11</v>
      </c>
      <c r="D1929" s="17" t="s">
        <v>12</v>
      </c>
      <c r="E1929" s="17" t="s">
        <v>13</v>
      </c>
      <c r="F1929" s="16" t="s">
        <v>6144</v>
      </c>
    </row>
    <row r="1930" spans="1:6" x14ac:dyDescent="0.25">
      <c r="A1930" s="16" t="s">
        <v>6145</v>
      </c>
      <c r="B1930" s="17" t="s">
        <v>6146</v>
      </c>
      <c r="C1930" s="17" t="s">
        <v>11</v>
      </c>
      <c r="D1930" s="17" t="s">
        <v>12</v>
      </c>
      <c r="E1930" s="17" t="s">
        <v>13</v>
      </c>
      <c r="F1930" s="16" t="s">
        <v>6147</v>
      </c>
    </row>
    <row r="1931" spans="1:6" x14ac:dyDescent="0.25">
      <c r="A1931" s="16" t="s">
        <v>6148</v>
      </c>
      <c r="B1931" s="17" t="s">
        <v>6149</v>
      </c>
      <c r="C1931" s="17" t="s">
        <v>11</v>
      </c>
      <c r="D1931" s="17" t="s">
        <v>171</v>
      </c>
      <c r="E1931" s="17" t="s">
        <v>13</v>
      </c>
      <c r="F1931" s="16" t="s">
        <v>6150</v>
      </c>
    </row>
    <row r="1932" spans="1:6" x14ac:dyDescent="0.25">
      <c r="A1932" s="16" t="s">
        <v>6151</v>
      </c>
      <c r="B1932" s="17" t="s">
        <v>6152</v>
      </c>
      <c r="C1932" s="17" t="s">
        <v>11</v>
      </c>
      <c r="D1932" s="17" t="s">
        <v>32</v>
      </c>
      <c r="E1932" s="17" t="s">
        <v>20</v>
      </c>
      <c r="F1932" s="16" t="s">
        <v>6153</v>
      </c>
    </row>
    <row r="1933" spans="1:6" x14ac:dyDescent="0.25">
      <c r="A1933" s="16" t="s">
        <v>6154</v>
      </c>
      <c r="B1933" s="17" t="s">
        <v>6155</v>
      </c>
      <c r="C1933" s="17" t="s">
        <v>11</v>
      </c>
      <c r="D1933" s="17" t="s">
        <v>12</v>
      </c>
      <c r="E1933" s="17" t="s">
        <v>13</v>
      </c>
      <c r="F1933" s="16" t="s">
        <v>6156</v>
      </c>
    </row>
    <row r="1934" spans="1:6" x14ac:dyDescent="0.25">
      <c r="A1934" s="16" t="s">
        <v>6157</v>
      </c>
      <c r="B1934" s="17" t="s">
        <v>6158</v>
      </c>
      <c r="C1934" s="17" t="s">
        <v>11</v>
      </c>
      <c r="D1934" s="17" t="s">
        <v>182</v>
      </c>
      <c r="E1934" s="17" t="s">
        <v>20</v>
      </c>
      <c r="F1934" s="16" t="s">
        <v>6159</v>
      </c>
    </row>
    <row r="1935" spans="1:6" x14ac:dyDescent="0.25">
      <c r="A1935" s="16" t="s">
        <v>6160</v>
      </c>
      <c r="B1935" s="17" t="s">
        <v>6161</v>
      </c>
      <c r="C1935" s="17" t="s">
        <v>11</v>
      </c>
      <c r="D1935" s="17" t="s">
        <v>12</v>
      </c>
      <c r="E1935" s="17" t="s">
        <v>13</v>
      </c>
      <c r="F1935" s="16" t="s">
        <v>6162</v>
      </c>
    </row>
    <row r="1936" spans="1:6" x14ac:dyDescent="0.25">
      <c r="A1936" s="16" t="s">
        <v>6163</v>
      </c>
      <c r="B1936" s="17" t="s">
        <v>6164</v>
      </c>
      <c r="C1936" s="17" t="s">
        <v>11</v>
      </c>
      <c r="D1936" s="17" t="s">
        <v>32</v>
      </c>
      <c r="E1936" s="17" t="s">
        <v>20</v>
      </c>
      <c r="F1936" s="16" t="s">
        <v>6165</v>
      </c>
    </row>
    <row r="1937" spans="1:6" x14ac:dyDescent="0.25">
      <c r="A1937" s="16" t="s">
        <v>6166</v>
      </c>
      <c r="B1937" s="17" t="s">
        <v>6167</v>
      </c>
      <c r="C1937" s="17" t="s">
        <v>11</v>
      </c>
      <c r="D1937" s="17" t="s">
        <v>83</v>
      </c>
      <c r="E1937" s="17" t="s">
        <v>20</v>
      </c>
      <c r="F1937" s="16" t="s">
        <v>6168</v>
      </c>
    </row>
    <row r="1938" spans="1:6" x14ac:dyDescent="0.25">
      <c r="A1938" s="16" t="s">
        <v>6169</v>
      </c>
      <c r="B1938" s="17" t="s">
        <v>6170</v>
      </c>
      <c r="C1938" s="17" t="s">
        <v>11</v>
      </c>
      <c r="D1938" s="17" t="s">
        <v>12</v>
      </c>
      <c r="E1938" s="17" t="s">
        <v>13</v>
      </c>
      <c r="F1938" s="16" t="s">
        <v>6171</v>
      </c>
    </row>
    <row r="1939" spans="1:6" x14ac:dyDescent="0.25">
      <c r="A1939" s="16" t="s">
        <v>6172</v>
      </c>
      <c r="B1939" s="17" t="s">
        <v>6173</v>
      </c>
      <c r="C1939" s="17" t="s">
        <v>11</v>
      </c>
      <c r="D1939" s="17" t="s">
        <v>12</v>
      </c>
      <c r="E1939" s="17" t="s">
        <v>13</v>
      </c>
      <c r="F1939" s="16" t="s">
        <v>6174</v>
      </c>
    </row>
    <row r="1940" spans="1:6" x14ac:dyDescent="0.25">
      <c r="A1940" s="16" t="s">
        <v>6175</v>
      </c>
      <c r="B1940" s="17" t="s">
        <v>6176</v>
      </c>
      <c r="C1940" s="17" t="s">
        <v>11</v>
      </c>
      <c r="D1940" s="17" t="s">
        <v>32</v>
      </c>
      <c r="E1940" s="17" t="s">
        <v>20</v>
      </c>
      <c r="F1940" s="16" t="s">
        <v>6177</v>
      </c>
    </row>
    <row r="1941" spans="1:6" x14ac:dyDescent="0.25">
      <c r="A1941" s="16" t="s">
        <v>6178</v>
      </c>
      <c r="B1941" s="17" t="s">
        <v>6179</v>
      </c>
      <c r="C1941" s="17" t="s">
        <v>11</v>
      </c>
      <c r="D1941" s="17" t="s">
        <v>83</v>
      </c>
      <c r="E1941" s="17" t="s">
        <v>20</v>
      </c>
      <c r="F1941" s="16" t="s">
        <v>6180</v>
      </c>
    </row>
    <row r="1942" spans="1:6" x14ac:dyDescent="0.25">
      <c r="A1942" s="16" t="s">
        <v>6181</v>
      </c>
      <c r="B1942" s="17" t="s">
        <v>6182</v>
      </c>
      <c r="C1942" s="17" t="s">
        <v>11</v>
      </c>
      <c r="D1942" s="17" t="s">
        <v>68</v>
      </c>
      <c r="E1942" s="17" t="s">
        <v>20</v>
      </c>
      <c r="F1942" s="16" t="s">
        <v>6183</v>
      </c>
    </row>
    <row r="1943" spans="1:6" x14ac:dyDescent="0.25">
      <c r="A1943" s="16" t="s">
        <v>6184</v>
      </c>
      <c r="B1943" s="17" t="s">
        <v>6185</v>
      </c>
      <c r="C1943" s="17" t="s">
        <v>11</v>
      </c>
      <c r="D1943" s="17" t="s">
        <v>32</v>
      </c>
      <c r="E1943" s="17" t="s">
        <v>20</v>
      </c>
      <c r="F1943" s="16" t="s">
        <v>6186</v>
      </c>
    </row>
    <row r="1944" spans="1:6" x14ac:dyDescent="0.25">
      <c r="A1944" s="16" t="s">
        <v>6187</v>
      </c>
      <c r="B1944" s="17" t="s">
        <v>6188</v>
      </c>
      <c r="C1944" s="17" t="s">
        <v>11</v>
      </c>
      <c r="D1944" s="17" t="s">
        <v>32</v>
      </c>
      <c r="E1944" s="17" t="s">
        <v>20</v>
      </c>
      <c r="F1944" s="16" t="s">
        <v>6189</v>
      </c>
    </row>
    <row r="1945" spans="1:6" x14ac:dyDescent="0.25">
      <c r="A1945" s="16" t="s">
        <v>6190</v>
      </c>
      <c r="B1945" s="17" t="s">
        <v>6191</v>
      </c>
      <c r="C1945" s="17" t="s">
        <v>11</v>
      </c>
      <c r="D1945" s="17" t="s">
        <v>32</v>
      </c>
      <c r="E1945" s="17" t="s">
        <v>20</v>
      </c>
      <c r="F1945" s="16" t="s">
        <v>6192</v>
      </c>
    </row>
    <row r="1946" spans="1:6" x14ac:dyDescent="0.25">
      <c r="A1946" s="16" t="s">
        <v>6193</v>
      </c>
      <c r="B1946" s="17" t="s">
        <v>6194</v>
      </c>
      <c r="C1946" s="17" t="s">
        <v>11</v>
      </c>
      <c r="D1946" s="17" t="s">
        <v>12</v>
      </c>
      <c r="E1946" s="17" t="s">
        <v>13</v>
      </c>
      <c r="F1946" s="16" t="s">
        <v>6195</v>
      </c>
    </row>
    <row r="1947" spans="1:6" x14ac:dyDescent="0.25">
      <c r="A1947" s="16" t="s">
        <v>6196</v>
      </c>
      <c r="B1947" s="17" t="s">
        <v>6197</v>
      </c>
      <c r="C1947" s="17" t="s">
        <v>11</v>
      </c>
      <c r="D1947" s="17" t="s">
        <v>12</v>
      </c>
      <c r="E1947" s="17" t="s">
        <v>13</v>
      </c>
      <c r="F1947" s="16" t="s">
        <v>6198</v>
      </c>
    </row>
    <row r="1948" spans="1:6" x14ac:dyDescent="0.25">
      <c r="A1948" s="16" t="s">
        <v>6199</v>
      </c>
      <c r="B1948" s="17" t="s">
        <v>6200</v>
      </c>
      <c r="C1948" s="17" t="s">
        <v>11</v>
      </c>
      <c r="D1948" s="17" t="s">
        <v>12</v>
      </c>
      <c r="E1948" s="17" t="s">
        <v>13</v>
      </c>
      <c r="F1948" s="16" t="s">
        <v>6201</v>
      </c>
    </row>
    <row r="1949" spans="1:6" x14ac:dyDescent="0.25">
      <c r="A1949" s="16" t="s">
        <v>6202</v>
      </c>
      <c r="B1949" s="17" t="s">
        <v>6203</v>
      </c>
      <c r="C1949" s="17" t="s">
        <v>11</v>
      </c>
      <c r="D1949" s="17" t="s">
        <v>12</v>
      </c>
      <c r="E1949" s="17" t="s">
        <v>13</v>
      </c>
      <c r="F1949" s="16" t="s">
        <v>6204</v>
      </c>
    </row>
    <row r="1950" spans="1:6" x14ac:dyDescent="0.25">
      <c r="A1950" s="16" t="s">
        <v>6205</v>
      </c>
      <c r="B1950" s="17" t="s">
        <v>6206</v>
      </c>
      <c r="C1950" s="17" t="s">
        <v>11</v>
      </c>
      <c r="D1950" s="17" t="s">
        <v>12</v>
      </c>
      <c r="E1950" s="17" t="s">
        <v>13</v>
      </c>
      <c r="F1950" s="16" t="s">
        <v>6207</v>
      </c>
    </row>
    <row r="1951" spans="1:6" x14ac:dyDescent="0.25">
      <c r="A1951" s="16" t="s">
        <v>6208</v>
      </c>
      <c r="B1951" s="17" t="s">
        <v>6209</v>
      </c>
      <c r="C1951" s="17" t="s">
        <v>11</v>
      </c>
      <c r="D1951" s="17" t="s">
        <v>12</v>
      </c>
      <c r="E1951" s="17" t="s">
        <v>13</v>
      </c>
      <c r="F1951" s="16" t="s">
        <v>6210</v>
      </c>
    </row>
    <row r="1952" spans="1:6" x14ac:dyDescent="0.25">
      <c r="A1952" s="16" t="s">
        <v>6211</v>
      </c>
      <c r="B1952" s="17" t="s">
        <v>6212</v>
      </c>
      <c r="C1952" s="17" t="s">
        <v>11</v>
      </c>
      <c r="D1952" s="17" t="s">
        <v>12</v>
      </c>
      <c r="E1952" s="17" t="s">
        <v>13</v>
      </c>
      <c r="F1952" s="16" t="s">
        <v>6213</v>
      </c>
    </row>
    <row r="1953" spans="1:6" x14ac:dyDescent="0.25">
      <c r="A1953" s="16" t="s">
        <v>6214</v>
      </c>
      <c r="B1953" s="17" t="s">
        <v>6215</v>
      </c>
      <c r="C1953" s="17" t="s">
        <v>11</v>
      </c>
      <c r="D1953" s="17" t="s">
        <v>250</v>
      </c>
      <c r="E1953" s="17" t="s">
        <v>20</v>
      </c>
      <c r="F1953" s="16" t="s">
        <v>6216</v>
      </c>
    </row>
    <row r="1954" spans="1:6" x14ac:dyDescent="0.25">
      <c r="A1954" s="16" t="s">
        <v>6217</v>
      </c>
      <c r="B1954" s="17" t="s">
        <v>6218</v>
      </c>
      <c r="C1954" s="17" t="s">
        <v>11</v>
      </c>
      <c r="D1954" s="17" t="s">
        <v>12</v>
      </c>
      <c r="E1954" s="17" t="s">
        <v>13</v>
      </c>
      <c r="F1954" s="16" t="s">
        <v>6219</v>
      </c>
    </row>
    <row r="1955" spans="1:6" x14ac:dyDescent="0.25">
      <c r="A1955" s="16" t="s">
        <v>6220</v>
      </c>
      <c r="B1955" s="17" t="s">
        <v>6221</v>
      </c>
      <c r="C1955" s="17" t="s">
        <v>11</v>
      </c>
      <c r="D1955" s="17" t="s">
        <v>83</v>
      </c>
      <c r="E1955" s="17" t="s">
        <v>20</v>
      </c>
      <c r="F1955" s="16" t="s">
        <v>6222</v>
      </c>
    </row>
    <row r="1956" spans="1:6" x14ac:dyDescent="0.25">
      <c r="A1956" s="16" t="s">
        <v>6223</v>
      </c>
      <c r="B1956" s="17" t="s">
        <v>6224</v>
      </c>
      <c r="C1956" s="17" t="s">
        <v>11</v>
      </c>
      <c r="D1956" s="17" t="s">
        <v>186</v>
      </c>
      <c r="E1956" s="17" t="s">
        <v>20</v>
      </c>
      <c r="F1956" s="16" t="s">
        <v>6225</v>
      </c>
    </row>
    <row r="1957" spans="1:6" x14ac:dyDescent="0.25">
      <c r="A1957" s="16" t="s">
        <v>6226</v>
      </c>
      <c r="B1957" s="17" t="s">
        <v>6227</v>
      </c>
      <c r="C1957" s="17" t="s">
        <v>11</v>
      </c>
      <c r="D1957" s="17" t="s">
        <v>12</v>
      </c>
      <c r="E1957" s="17" t="s">
        <v>13</v>
      </c>
      <c r="F1957" s="16" t="s">
        <v>6228</v>
      </c>
    </row>
    <row r="1958" spans="1:6" x14ac:dyDescent="0.25">
      <c r="A1958" s="16" t="s">
        <v>6229</v>
      </c>
      <c r="B1958" s="17" t="s">
        <v>6230</v>
      </c>
      <c r="C1958" s="17" t="s">
        <v>11</v>
      </c>
      <c r="D1958" s="17" t="s">
        <v>12</v>
      </c>
      <c r="E1958" s="17" t="s">
        <v>13</v>
      </c>
      <c r="F1958" s="16" t="s">
        <v>6231</v>
      </c>
    </row>
    <row r="1959" spans="1:6" x14ac:dyDescent="0.25">
      <c r="A1959" s="16" t="s">
        <v>6232</v>
      </c>
      <c r="B1959" s="17" t="s">
        <v>6233</v>
      </c>
      <c r="C1959" s="17" t="s">
        <v>11</v>
      </c>
      <c r="D1959" s="17" t="s">
        <v>12</v>
      </c>
      <c r="E1959" s="17" t="s">
        <v>13</v>
      </c>
      <c r="F1959" s="16" t="s">
        <v>6234</v>
      </c>
    </row>
    <row r="1960" spans="1:6" x14ac:dyDescent="0.25">
      <c r="A1960" s="16" t="s">
        <v>6235</v>
      </c>
      <c r="B1960" s="17" t="s">
        <v>6236</v>
      </c>
      <c r="C1960" s="17" t="s">
        <v>11</v>
      </c>
      <c r="D1960" s="17" t="s">
        <v>12</v>
      </c>
      <c r="E1960" s="17" t="s">
        <v>13</v>
      </c>
      <c r="F1960" s="16" t="s">
        <v>6237</v>
      </c>
    </row>
    <row r="1961" spans="1:6" x14ac:dyDescent="0.25">
      <c r="A1961" s="16" t="s">
        <v>6238</v>
      </c>
      <c r="B1961" s="17" t="s">
        <v>6239</v>
      </c>
      <c r="C1961" s="17" t="s">
        <v>11</v>
      </c>
      <c r="D1961" s="17" t="s">
        <v>12</v>
      </c>
      <c r="E1961" s="17" t="s">
        <v>13</v>
      </c>
      <c r="F1961" s="16" t="s">
        <v>6240</v>
      </c>
    </row>
    <row r="1962" spans="1:6" x14ac:dyDescent="0.25">
      <c r="A1962" s="16" t="s">
        <v>6241</v>
      </c>
      <c r="B1962" s="17" t="s">
        <v>6242</v>
      </c>
      <c r="C1962" s="17" t="s">
        <v>11</v>
      </c>
      <c r="D1962" s="17" t="s">
        <v>12</v>
      </c>
      <c r="E1962" s="17" t="s">
        <v>13</v>
      </c>
      <c r="F1962" s="16" t="s">
        <v>6243</v>
      </c>
    </row>
    <row r="1963" spans="1:6" x14ac:dyDescent="0.25">
      <c r="A1963" s="16" t="s">
        <v>6244</v>
      </c>
      <c r="B1963" s="17" t="s">
        <v>6245</v>
      </c>
      <c r="C1963" s="17" t="s">
        <v>11</v>
      </c>
      <c r="D1963" s="17" t="s">
        <v>12</v>
      </c>
      <c r="E1963" s="17" t="s">
        <v>13</v>
      </c>
      <c r="F1963" s="16" t="s">
        <v>6246</v>
      </c>
    </row>
    <row r="1964" spans="1:6" x14ac:dyDescent="0.25">
      <c r="A1964" s="16" t="s">
        <v>6247</v>
      </c>
      <c r="B1964" s="17" t="s">
        <v>6248</v>
      </c>
      <c r="C1964" s="17" t="s">
        <v>11</v>
      </c>
      <c r="D1964" s="17" t="s">
        <v>12</v>
      </c>
      <c r="E1964" s="17" t="s">
        <v>13</v>
      </c>
      <c r="F1964" s="16" t="s">
        <v>6249</v>
      </c>
    </row>
    <row r="1965" spans="1:6" x14ac:dyDescent="0.25">
      <c r="A1965" s="16" t="s">
        <v>6250</v>
      </c>
      <c r="B1965" s="17" t="s">
        <v>6251</v>
      </c>
      <c r="C1965" s="17" t="s">
        <v>11</v>
      </c>
      <c r="D1965" s="17" t="s">
        <v>12</v>
      </c>
      <c r="E1965" s="17" t="s">
        <v>13</v>
      </c>
      <c r="F1965" s="16" t="s">
        <v>6252</v>
      </c>
    </row>
    <row r="1966" spans="1:6" x14ac:dyDescent="0.25">
      <c r="A1966" s="16" t="s">
        <v>6253</v>
      </c>
      <c r="B1966" s="17" t="s">
        <v>6254</v>
      </c>
      <c r="C1966" s="17" t="s">
        <v>11</v>
      </c>
      <c r="D1966" s="17" t="s">
        <v>12</v>
      </c>
      <c r="E1966" s="17" t="s">
        <v>13</v>
      </c>
      <c r="F1966" s="16" t="s">
        <v>6255</v>
      </c>
    </row>
    <row r="1967" spans="1:6" x14ac:dyDescent="0.25">
      <c r="A1967" s="16" t="s">
        <v>6256</v>
      </c>
      <c r="B1967" s="17" t="s">
        <v>6257</v>
      </c>
      <c r="C1967" s="17" t="s">
        <v>11</v>
      </c>
      <c r="D1967" s="17" t="s">
        <v>12</v>
      </c>
      <c r="E1967" s="17" t="s">
        <v>13</v>
      </c>
      <c r="F1967" s="16" t="s">
        <v>6258</v>
      </c>
    </row>
    <row r="1968" spans="1:6" x14ac:dyDescent="0.25">
      <c r="A1968" s="16" t="s">
        <v>6259</v>
      </c>
      <c r="B1968" s="17" t="s">
        <v>6260</v>
      </c>
      <c r="C1968" s="17" t="s">
        <v>11</v>
      </c>
      <c r="D1968" s="17" t="s">
        <v>12</v>
      </c>
      <c r="E1968" s="17" t="s">
        <v>13</v>
      </c>
      <c r="F1968" s="16" t="s">
        <v>6261</v>
      </c>
    </row>
    <row r="1969" spans="1:6" x14ac:dyDescent="0.25">
      <c r="A1969" s="16" t="s">
        <v>6262</v>
      </c>
      <c r="B1969" s="17" t="s">
        <v>6263</v>
      </c>
      <c r="C1969" s="17" t="s">
        <v>11</v>
      </c>
      <c r="D1969" s="17" t="s">
        <v>12</v>
      </c>
      <c r="E1969" s="17" t="s">
        <v>13</v>
      </c>
      <c r="F1969" s="16" t="s">
        <v>6264</v>
      </c>
    </row>
    <row r="1970" spans="1:6" x14ac:dyDescent="0.25">
      <c r="A1970" s="16" t="s">
        <v>6265</v>
      </c>
      <c r="B1970" s="17" t="s">
        <v>6266</v>
      </c>
      <c r="C1970" s="17" t="s">
        <v>11</v>
      </c>
      <c r="D1970" s="17" t="s">
        <v>12</v>
      </c>
      <c r="E1970" s="17" t="s">
        <v>13</v>
      </c>
      <c r="F1970" s="16" t="s">
        <v>6267</v>
      </c>
    </row>
    <row r="1971" spans="1:6" x14ac:dyDescent="0.25">
      <c r="A1971" s="16" t="s">
        <v>6268</v>
      </c>
      <c r="B1971" s="17" t="s">
        <v>6269</v>
      </c>
      <c r="C1971" s="17" t="s">
        <v>11</v>
      </c>
      <c r="D1971" s="17" t="s">
        <v>12</v>
      </c>
      <c r="E1971" s="17" t="s">
        <v>13</v>
      </c>
      <c r="F1971" s="16" t="s">
        <v>6270</v>
      </c>
    </row>
    <row r="1972" spans="1:6" x14ac:dyDescent="0.25">
      <c r="A1972" s="16" t="s">
        <v>6271</v>
      </c>
      <c r="B1972" s="17" t="s">
        <v>6272</v>
      </c>
      <c r="C1972" s="17" t="s">
        <v>11</v>
      </c>
      <c r="D1972" s="17" t="s">
        <v>12</v>
      </c>
      <c r="E1972" s="17" t="s">
        <v>13</v>
      </c>
      <c r="F1972" s="16" t="s">
        <v>6273</v>
      </c>
    </row>
    <row r="1973" spans="1:6" x14ac:dyDescent="0.25">
      <c r="A1973" s="16" t="s">
        <v>6274</v>
      </c>
      <c r="B1973" s="17" t="s">
        <v>6275</v>
      </c>
      <c r="C1973" s="17" t="s">
        <v>11</v>
      </c>
      <c r="D1973" s="17" t="s">
        <v>12</v>
      </c>
      <c r="E1973" s="17" t="s">
        <v>13</v>
      </c>
      <c r="F1973" s="16" t="s">
        <v>6276</v>
      </c>
    </row>
    <row r="1974" spans="1:6" x14ac:dyDescent="0.25">
      <c r="A1974" s="16" t="s">
        <v>6277</v>
      </c>
      <c r="B1974" s="17" t="s">
        <v>6278</v>
      </c>
      <c r="C1974" s="17" t="s">
        <v>11</v>
      </c>
      <c r="D1974" s="17" t="s">
        <v>182</v>
      </c>
      <c r="E1974" s="17" t="s">
        <v>20</v>
      </c>
      <c r="F1974" s="16" t="s">
        <v>6279</v>
      </c>
    </row>
    <row r="1975" spans="1:6" x14ac:dyDescent="0.25">
      <c r="A1975" s="16" t="s">
        <v>6280</v>
      </c>
      <c r="B1975" s="17" t="s">
        <v>6281</v>
      </c>
      <c r="C1975" s="17" t="s">
        <v>11</v>
      </c>
      <c r="D1975" s="17" t="s">
        <v>12</v>
      </c>
      <c r="E1975" s="17" t="s">
        <v>13</v>
      </c>
      <c r="F1975" s="16" t="s">
        <v>6282</v>
      </c>
    </row>
    <row r="1976" spans="1:6" x14ac:dyDescent="0.25">
      <c r="A1976" s="16" t="s">
        <v>6283</v>
      </c>
      <c r="B1976" s="17" t="s">
        <v>6284</v>
      </c>
      <c r="C1976" s="17" t="s">
        <v>11</v>
      </c>
      <c r="D1976" s="17" t="s">
        <v>12</v>
      </c>
      <c r="E1976" s="17" t="s">
        <v>13</v>
      </c>
      <c r="F1976" s="16" t="s">
        <v>6285</v>
      </c>
    </row>
    <row r="1977" spans="1:6" x14ac:dyDescent="0.25">
      <c r="A1977" s="16" t="s">
        <v>6286</v>
      </c>
      <c r="B1977" s="17" t="s">
        <v>6287</v>
      </c>
      <c r="C1977" s="17" t="s">
        <v>11</v>
      </c>
      <c r="D1977" s="17" t="s">
        <v>32</v>
      </c>
      <c r="E1977" s="17" t="s">
        <v>20</v>
      </c>
      <c r="F1977" s="16" t="s">
        <v>6288</v>
      </c>
    </row>
    <row r="1978" spans="1:6" x14ac:dyDescent="0.25">
      <c r="A1978" s="16" t="s">
        <v>6289</v>
      </c>
      <c r="B1978" s="17" t="s">
        <v>6290</v>
      </c>
      <c r="C1978" s="17" t="s">
        <v>11</v>
      </c>
      <c r="D1978" s="17" t="s">
        <v>12</v>
      </c>
      <c r="E1978" s="17" t="s">
        <v>13</v>
      </c>
      <c r="F1978" s="16" t="s">
        <v>6291</v>
      </c>
    </row>
    <row r="1979" spans="1:6" x14ac:dyDescent="0.25">
      <c r="A1979" s="16" t="s">
        <v>6292</v>
      </c>
      <c r="B1979" s="17" t="s">
        <v>6293</v>
      </c>
      <c r="C1979" s="17" t="s">
        <v>11</v>
      </c>
      <c r="D1979" s="17" t="s">
        <v>59</v>
      </c>
      <c r="E1979" s="17" t="s">
        <v>13</v>
      </c>
      <c r="F1979" s="16" t="s">
        <v>6294</v>
      </c>
    </row>
    <row r="1980" spans="1:6" x14ac:dyDescent="0.25">
      <c r="A1980" s="16" t="s">
        <v>6295</v>
      </c>
      <c r="B1980" s="17" t="s">
        <v>6296</v>
      </c>
      <c r="C1980" s="17" t="s">
        <v>11</v>
      </c>
      <c r="D1980" s="17" t="s">
        <v>12</v>
      </c>
      <c r="E1980" s="17" t="s">
        <v>13</v>
      </c>
      <c r="F1980" s="16" t="s">
        <v>6297</v>
      </c>
    </row>
    <row r="1981" spans="1:6" x14ac:dyDescent="0.25">
      <c r="A1981" s="16" t="s">
        <v>6298</v>
      </c>
      <c r="B1981" s="17" t="s">
        <v>6299</v>
      </c>
      <c r="C1981" s="17" t="s">
        <v>11</v>
      </c>
      <c r="D1981" s="17" t="s">
        <v>32</v>
      </c>
      <c r="E1981" s="17" t="s">
        <v>20</v>
      </c>
      <c r="F1981" s="16" t="s">
        <v>6300</v>
      </c>
    </row>
    <row r="1982" spans="1:6" x14ac:dyDescent="0.25">
      <c r="A1982" s="16" t="s">
        <v>6301</v>
      </c>
      <c r="B1982" s="17" t="s">
        <v>6302</v>
      </c>
      <c r="C1982" s="17" t="s">
        <v>11</v>
      </c>
      <c r="D1982" s="17" t="s">
        <v>12</v>
      </c>
      <c r="E1982" s="17" t="s">
        <v>13</v>
      </c>
      <c r="F1982" s="16" t="s">
        <v>6303</v>
      </c>
    </row>
    <row r="1983" spans="1:6" x14ac:dyDescent="0.25">
      <c r="A1983" s="16" t="s">
        <v>6304</v>
      </c>
      <c r="B1983" s="17" t="s">
        <v>6305</v>
      </c>
      <c r="C1983" s="17" t="s">
        <v>11</v>
      </c>
      <c r="D1983" s="17" t="s">
        <v>32</v>
      </c>
      <c r="E1983" s="17" t="s">
        <v>20</v>
      </c>
      <c r="F1983" s="16" t="s">
        <v>6306</v>
      </c>
    </row>
    <row r="1984" spans="1:6" x14ac:dyDescent="0.25">
      <c r="A1984" s="16" t="s">
        <v>6307</v>
      </c>
      <c r="B1984" s="17" t="s">
        <v>6308</v>
      </c>
      <c r="C1984" s="17" t="s">
        <v>11</v>
      </c>
      <c r="D1984" s="17" t="s">
        <v>12</v>
      </c>
      <c r="E1984" s="17" t="s">
        <v>13</v>
      </c>
      <c r="F1984" s="16" t="s">
        <v>6309</v>
      </c>
    </row>
    <row r="1985" spans="1:6" x14ac:dyDescent="0.25">
      <c r="A1985" s="16" t="s">
        <v>6310</v>
      </c>
      <c r="B1985" s="17" t="s">
        <v>6311</v>
      </c>
      <c r="C1985" s="17" t="s">
        <v>11</v>
      </c>
      <c r="D1985" s="17" t="s">
        <v>12</v>
      </c>
      <c r="E1985" s="17" t="s">
        <v>13</v>
      </c>
      <c r="F1985" s="16" t="s">
        <v>6312</v>
      </c>
    </row>
    <row r="1986" spans="1:6" x14ac:dyDescent="0.25">
      <c r="A1986" s="16" t="s">
        <v>6313</v>
      </c>
      <c r="B1986" s="17" t="s">
        <v>6314</v>
      </c>
      <c r="C1986" s="17" t="s">
        <v>11</v>
      </c>
      <c r="D1986" s="17" t="s">
        <v>12</v>
      </c>
      <c r="E1986" s="17" t="s">
        <v>13</v>
      </c>
      <c r="F1986" s="16" t="s">
        <v>6315</v>
      </c>
    </row>
    <row r="1987" spans="1:6" x14ac:dyDescent="0.25">
      <c r="A1987" s="16" t="s">
        <v>6316</v>
      </c>
      <c r="B1987" s="17" t="s">
        <v>6317</v>
      </c>
      <c r="C1987" s="17" t="s">
        <v>11</v>
      </c>
      <c r="D1987" s="17" t="s">
        <v>12</v>
      </c>
      <c r="E1987" s="17" t="s">
        <v>13</v>
      </c>
      <c r="F1987" s="16" t="s">
        <v>6318</v>
      </c>
    </row>
    <row r="1988" spans="1:6" x14ac:dyDescent="0.25">
      <c r="A1988" s="16" t="s">
        <v>6319</v>
      </c>
      <c r="B1988" s="17" t="s">
        <v>6320</v>
      </c>
      <c r="C1988" s="17" t="s">
        <v>11</v>
      </c>
      <c r="D1988" s="17" t="s">
        <v>32</v>
      </c>
      <c r="E1988" s="17" t="s">
        <v>20</v>
      </c>
      <c r="F1988" s="16" t="s">
        <v>6321</v>
      </c>
    </row>
    <row r="1989" spans="1:6" x14ac:dyDescent="0.25">
      <c r="A1989" s="16" t="s">
        <v>6322</v>
      </c>
      <c r="B1989" s="17" t="s">
        <v>6323</v>
      </c>
      <c r="C1989" s="17" t="s">
        <v>11</v>
      </c>
      <c r="D1989" s="17" t="s">
        <v>12</v>
      </c>
      <c r="E1989" s="17" t="s">
        <v>13</v>
      </c>
      <c r="F1989" s="16" t="s">
        <v>6324</v>
      </c>
    </row>
    <row r="1990" spans="1:6" x14ac:dyDescent="0.25">
      <c r="A1990" s="16" t="s">
        <v>6325</v>
      </c>
      <c r="B1990" s="17" t="s">
        <v>6326</v>
      </c>
      <c r="C1990" s="17" t="s">
        <v>11</v>
      </c>
      <c r="D1990" s="17" t="s">
        <v>12</v>
      </c>
      <c r="E1990" s="17" t="s">
        <v>13</v>
      </c>
      <c r="F1990" s="16" t="s">
        <v>6327</v>
      </c>
    </row>
    <row r="1991" spans="1:6" x14ac:dyDescent="0.25">
      <c r="A1991" s="16" t="s">
        <v>6328</v>
      </c>
      <c r="B1991" s="17" t="s">
        <v>6329</v>
      </c>
      <c r="C1991" s="17" t="s">
        <v>11</v>
      </c>
      <c r="D1991" s="17" t="s">
        <v>83</v>
      </c>
      <c r="E1991" s="17" t="s">
        <v>20</v>
      </c>
      <c r="F1991" s="16" t="s">
        <v>6330</v>
      </c>
    </row>
    <row r="1992" spans="1:6" x14ac:dyDescent="0.25">
      <c r="A1992" s="16" t="s">
        <v>6331</v>
      </c>
      <c r="B1992" s="17" t="s">
        <v>6332</v>
      </c>
      <c r="C1992" s="17" t="s">
        <v>11</v>
      </c>
      <c r="D1992" s="17" t="s">
        <v>12</v>
      </c>
      <c r="E1992" s="17" t="s">
        <v>13</v>
      </c>
      <c r="F1992" s="16" t="s">
        <v>6333</v>
      </c>
    </row>
    <row r="1993" spans="1:6" x14ac:dyDescent="0.25">
      <c r="A1993" s="16" t="s">
        <v>6334</v>
      </c>
      <c r="B1993" s="17" t="s">
        <v>6335</v>
      </c>
      <c r="C1993" s="17" t="s">
        <v>11</v>
      </c>
      <c r="D1993" s="17" t="s">
        <v>12</v>
      </c>
      <c r="E1993" s="17" t="s">
        <v>13</v>
      </c>
      <c r="F1993" s="16" t="s">
        <v>6336</v>
      </c>
    </row>
    <row r="1994" spans="1:6" x14ac:dyDescent="0.25">
      <c r="A1994" s="16" t="s">
        <v>6337</v>
      </c>
      <c r="B1994" s="17" t="s">
        <v>6338</v>
      </c>
      <c r="C1994" s="17" t="s">
        <v>11</v>
      </c>
      <c r="D1994" s="17" t="s">
        <v>12</v>
      </c>
      <c r="E1994" s="17" t="s">
        <v>13</v>
      </c>
      <c r="F1994" s="16" t="s">
        <v>6339</v>
      </c>
    </row>
    <row r="1995" spans="1:6" x14ac:dyDescent="0.25">
      <c r="A1995" s="16" t="s">
        <v>6340</v>
      </c>
      <c r="B1995" s="17" t="s">
        <v>6341</v>
      </c>
      <c r="C1995" s="17" t="s">
        <v>11</v>
      </c>
      <c r="D1995" s="17" t="s">
        <v>291</v>
      </c>
      <c r="E1995" s="17" t="s">
        <v>20</v>
      </c>
      <c r="F1995" s="16" t="s">
        <v>6342</v>
      </c>
    </row>
    <row r="1996" spans="1:6" x14ac:dyDescent="0.25">
      <c r="A1996" s="16" t="s">
        <v>6343</v>
      </c>
      <c r="B1996" s="17" t="s">
        <v>6344</v>
      </c>
      <c r="C1996" s="17" t="s">
        <v>11</v>
      </c>
      <c r="D1996" s="17" t="s">
        <v>233</v>
      </c>
      <c r="E1996" s="17" t="s">
        <v>20</v>
      </c>
      <c r="F1996" s="16" t="s">
        <v>6345</v>
      </c>
    </row>
    <row r="1997" spans="1:6" x14ac:dyDescent="0.25">
      <c r="A1997" s="16" t="s">
        <v>6346</v>
      </c>
      <c r="B1997" s="17" t="s">
        <v>6347</v>
      </c>
      <c r="C1997" s="17" t="s">
        <v>11</v>
      </c>
      <c r="D1997" s="17" t="s">
        <v>12</v>
      </c>
      <c r="E1997" s="17" t="s">
        <v>13</v>
      </c>
      <c r="F1997" s="16" t="s">
        <v>6348</v>
      </c>
    </row>
    <row r="1998" spans="1:6" x14ac:dyDescent="0.25">
      <c r="A1998" s="16" t="s">
        <v>6349</v>
      </c>
      <c r="B1998" s="17" t="s">
        <v>6350</v>
      </c>
      <c r="C1998" s="17" t="s">
        <v>11</v>
      </c>
      <c r="D1998" s="17" t="s">
        <v>12</v>
      </c>
      <c r="E1998" s="17" t="s">
        <v>13</v>
      </c>
      <c r="F1998" s="16" t="s">
        <v>6351</v>
      </c>
    </row>
    <row r="1999" spans="1:6" x14ac:dyDescent="0.25">
      <c r="A1999" s="16" t="s">
        <v>6352</v>
      </c>
      <c r="B1999" s="17" t="s">
        <v>6353</v>
      </c>
      <c r="C1999" s="17" t="s">
        <v>11</v>
      </c>
      <c r="D1999" s="17" t="s">
        <v>32</v>
      </c>
      <c r="E1999" s="17" t="s">
        <v>20</v>
      </c>
      <c r="F1999" s="16" t="s">
        <v>6354</v>
      </c>
    </row>
    <row r="2000" spans="1:6" x14ac:dyDescent="0.25">
      <c r="A2000" s="16" t="s">
        <v>6355</v>
      </c>
      <c r="B2000" s="17" t="s">
        <v>6356</v>
      </c>
      <c r="C2000" s="17" t="s">
        <v>11</v>
      </c>
      <c r="D2000" s="17" t="s">
        <v>83</v>
      </c>
      <c r="E2000" s="17" t="s">
        <v>20</v>
      </c>
      <c r="F2000" s="16" t="s">
        <v>6357</v>
      </c>
    </row>
    <row r="2001" spans="1:6" x14ac:dyDescent="0.25">
      <c r="A2001" s="16" t="s">
        <v>6358</v>
      </c>
      <c r="B2001" s="17" t="s">
        <v>6359</v>
      </c>
      <c r="C2001" s="17" t="s">
        <v>11</v>
      </c>
      <c r="D2001" s="17" t="s">
        <v>291</v>
      </c>
      <c r="E2001" s="17" t="s">
        <v>20</v>
      </c>
      <c r="F2001" s="16" t="s">
        <v>6360</v>
      </c>
    </row>
    <row r="2002" spans="1:6" x14ac:dyDescent="0.25">
      <c r="A2002" s="16" t="s">
        <v>6361</v>
      </c>
      <c r="B2002" s="17" t="s">
        <v>6362</v>
      </c>
      <c r="C2002" s="17" t="s">
        <v>11</v>
      </c>
      <c r="D2002" s="17" t="s">
        <v>12</v>
      </c>
      <c r="E2002" s="17" t="s">
        <v>13</v>
      </c>
      <c r="F2002" s="16" t="s">
        <v>6363</v>
      </c>
    </row>
    <row r="2003" spans="1:6" x14ac:dyDescent="0.25">
      <c r="A2003" s="16" t="s">
        <v>6364</v>
      </c>
      <c r="B2003" s="17" t="s">
        <v>6365</v>
      </c>
      <c r="C2003" s="17" t="s">
        <v>11</v>
      </c>
      <c r="D2003" s="17" t="s">
        <v>12</v>
      </c>
      <c r="E2003" s="17" t="s">
        <v>13</v>
      </c>
      <c r="F2003" s="16" t="s">
        <v>6366</v>
      </c>
    </row>
    <row r="2004" spans="1:6" x14ac:dyDescent="0.25">
      <c r="A2004" s="16" t="s">
        <v>6367</v>
      </c>
      <c r="B2004" s="17" t="s">
        <v>6368</v>
      </c>
      <c r="C2004" s="17" t="s">
        <v>11</v>
      </c>
      <c r="D2004" s="17" t="s">
        <v>12</v>
      </c>
      <c r="E2004" s="17" t="s">
        <v>13</v>
      </c>
      <c r="F2004" s="16" t="s">
        <v>6369</v>
      </c>
    </row>
    <row r="2005" spans="1:6" x14ac:dyDescent="0.25">
      <c r="A2005" s="16" t="s">
        <v>6370</v>
      </c>
      <c r="B2005" s="17" t="s">
        <v>6371</v>
      </c>
      <c r="C2005" s="17" t="s">
        <v>11</v>
      </c>
      <c r="D2005" s="17" t="s">
        <v>12</v>
      </c>
      <c r="E2005" s="17" t="s">
        <v>13</v>
      </c>
      <c r="F2005" s="16" t="s">
        <v>6372</v>
      </c>
    </row>
    <row r="2006" spans="1:6" x14ac:dyDescent="0.25">
      <c r="A2006" s="16" t="s">
        <v>6373</v>
      </c>
      <c r="B2006" s="17" t="s">
        <v>6374</v>
      </c>
      <c r="C2006" s="17" t="s">
        <v>11</v>
      </c>
      <c r="D2006" s="17" t="s">
        <v>12</v>
      </c>
      <c r="E2006" s="17" t="s">
        <v>13</v>
      </c>
      <c r="F2006" s="16" t="s">
        <v>6375</v>
      </c>
    </row>
    <row r="2007" spans="1:6" x14ac:dyDescent="0.25">
      <c r="A2007" s="16" t="s">
        <v>6376</v>
      </c>
      <c r="B2007" s="17" t="s">
        <v>6377</v>
      </c>
      <c r="C2007" s="17" t="s">
        <v>11</v>
      </c>
      <c r="D2007" s="17" t="s">
        <v>83</v>
      </c>
      <c r="E2007" s="17" t="s">
        <v>20</v>
      </c>
      <c r="F2007" s="16" t="s">
        <v>6378</v>
      </c>
    </row>
    <row r="2008" spans="1:6" x14ac:dyDescent="0.25">
      <c r="A2008" s="16" t="s">
        <v>6379</v>
      </c>
      <c r="B2008" s="17" t="s">
        <v>6380</v>
      </c>
      <c r="C2008" s="17" t="s">
        <v>11</v>
      </c>
      <c r="D2008" s="17" t="s">
        <v>12</v>
      </c>
      <c r="E2008" s="17" t="s">
        <v>13</v>
      </c>
      <c r="F2008" s="16" t="s">
        <v>6381</v>
      </c>
    </row>
    <row r="2009" spans="1:6" x14ac:dyDescent="0.25">
      <c r="A2009" s="16" t="s">
        <v>6382</v>
      </c>
      <c r="B2009" s="17" t="s">
        <v>6383</v>
      </c>
      <c r="C2009" s="17" t="s">
        <v>11</v>
      </c>
      <c r="D2009" s="17" t="s">
        <v>83</v>
      </c>
      <c r="E2009" s="17" t="s">
        <v>20</v>
      </c>
      <c r="F2009" s="16" t="s">
        <v>6384</v>
      </c>
    </row>
    <row r="2010" spans="1:6" x14ac:dyDescent="0.25">
      <c r="A2010" s="16" t="s">
        <v>6385</v>
      </c>
      <c r="B2010" s="17" t="s">
        <v>6386</v>
      </c>
      <c r="C2010" s="17" t="s">
        <v>11</v>
      </c>
      <c r="D2010" s="17" t="s">
        <v>12</v>
      </c>
      <c r="E2010" s="17" t="s">
        <v>13</v>
      </c>
      <c r="F2010" s="16" t="s">
        <v>6387</v>
      </c>
    </row>
    <row r="2011" spans="1:6" x14ac:dyDescent="0.25">
      <c r="A2011" s="16" t="s">
        <v>6388</v>
      </c>
      <c r="B2011" s="17" t="s">
        <v>6389</v>
      </c>
      <c r="C2011" s="17" t="s">
        <v>11</v>
      </c>
      <c r="D2011" s="17" t="s">
        <v>32</v>
      </c>
      <c r="E2011" s="17" t="s">
        <v>20</v>
      </c>
      <c r="F2011" s="16" t="s">
        <v>6390</v>
      </c>
    </row>
    <row r="2012" spans="1:6" x14ac:dyDescent="0.25">
      <c r="A2012" s="16" t="s">
        <v>6391</v>
      </c>
      <c r="B2012" s="17" t="s">
        <v>6392</v>
      </c>
      <c r="C2012" s="17" t="s">
        <v>11</v>
      </c>
      <c r="D2012" s="17" t="s">
        <v>12</v>
      </c>
      <c r="E2012" s="17" t="s">
        <v>13</v>
      </c>
      <c r="F2012" s="16" t="s">
        <v>6393</v>
      </c>
    </row>
    <row r="2013" spans="1:6" x14ac:dyDescent="0.25">
      <c r="A2013" s="16" t="s">
        <v>6394</v>
      </c>
      <c r="B2013" s="17" t="s">
        <v>6395</v>
      </c>
      <c r="C2013" s="17" t="s">
        <v>11</v>
      </c>
      <c r="D2013" s="17" t="s">
        <v>148</v>
      </c>
      <c r="E2013" s="17" t="s">
        <v>20</v>
      </c>
      <c r="F2013" s="16" t="s">
        <v>6396</v>
      </c>
    </row>
    <row r="2014" spans="1:6" x14ac:dyDescent="0.25">
      <c r="A2014" s="16" t="s">
        <v>6397</v>
      </c>
      <c r="B2014" s="17" t="s">
        <v>6398</v>
      </c>
      <c r="C2014" s="17" t="s">
        <v>11</v>
      </c>
      <c r="D2014" s="17" t="s">
        <v>12</v>
      </c>
      <c r="E2014" s="17" t="s">
        <v>13</v>
      </c>
      <c r="F2014" s="16" t="s">
        <v>6399</v>
      </c>
    </row>
    <row r="2015" spans="1:6" x14ac:dyDescent="0.25">
      <c r="A2015" s="16" t="s">
        <v>6400</v>
      </c>
      <c r="B2015" s="17" t="s">
        <v>6401</v>
      </c>
      <c r="C2015" s="17" t="s">
        <v>11</v>
      </c>
      <c r="D2015" s="17" t="s">
        <v>32</v>
      </c>
      <c r="E2015" s="17" t="s">
        <v>20</v>
      </c>
      <c r="F2015" s="16" t="s">
        <v>6402</v>
      </c>
    </row>
    <row r="2016" spans="1:6" x14ac:dyDescent="0.25">
      <c r="A2016" s="16" t="s">
        <v>6403</v>
      </c>
      <c r="B2016" s="17" t="s">
        <v>6404</v>
      </c>
      <c r="C2016" s="17" t="s">
        <v>11</v>
      </c>
      <c r="D2016" s="17" t="s">
        <v>12</v>
      </c>
      <c r="E2016" s="17" t="s">
        <v>13</v>
      </c>
      <c r="F2016" s="16" t="s">
        <v>6405</v>
      </c>
    </row>
    <row r="2017" spans="1:6" x14ac:dyDescent="0.25">
      <c r="A2017" s="16" t="s">
        <v>6406</v>
      </c>
      <c r="B2017" s="17" t="s">
        <v>6407</v>
      </c>
      <c r="C2017" s="17" t="s">
        <v>11</v>
      </c>
      <c r="D2017" s="17" t="s">
        <v>32</v>
      </c>
      <c r="E2017" s="17" t="s">
        <v>20</v>
      </c>
      <c r="F2017" s="16" t="s">
        <v>6408</v>
      </c>
    </row>
    <row r="2018" spans="1:6" x14ac:dyDescent="0.25">
      <c r="A2018" s="16" t="s">
        <v>6409</v>
      </c>
      <c r="B2018" s="17" t="s">
        <v>6410</v>
      </c>
      <c r="C2018" s="17" t="s">
        <v>11</v>
      </c>
      <c r="D2018" s="17" t="s">
        <v>291</v>
      </c>
      <c r="E2018" s="17" t="s">
        <v>20</v>
      </c>
      <c r="F2018" s="16" t="s">
        <v>6411</v>
      </c>
    </row>
    <row r="2019" spans="1:6" x14ac:dyDescent="0.25">
      <c r="A2019" s="16" t="s">
        <v>6412</v>
      </c>
      <c r="B2019" s="17" t="s">
        <v>6413</v>
      </c>
      <c r="C2019" s="17" t="s">
        <v>11</v>
      </c>
      <c r="D2019" s="17" t="s">
        <v>32</v>
      </c>
      <c r="E2019" s="17" t="s">
        <v>20</v>
      </c>
      <c r="F2019" s="16" t="s">
        <v>6414</v>
      </c>
    </row>
    <row r="2020" spans="1:6" x14ac:dyDescent="0.25">
      <c r="A2020" s="16" t="s">
        <v>6415</v>
      </c>
      <c r="B2020" s="17" t="s">
        <v>6416</v>
      </c>
      <c r="C2020" s="17" t="s">
        <v>11</v>
      </c>
      <c r="D2020" s="17" t="s">
        <v>32</v>
      </c>
      <c r="E2020" s="17" t="s">
        <v>20</v>
      </c>
      <c r="F2020" s="16" t="s">
        <v>6417</v>
      </c>
    </row>
    <row r="2021" spans="1:6" x14ac:dyDescent="0.25">
      <c r="A2021" s="16" t="s">
        <v>6418</v>
      </c>
      <c r="B2021" s="17" t="s">
        <v>6419</v>
      </c>
      <c r="C2021" s="17" t="s">
        <v>11</v>
      </c>
      <c r="D2021" s="17" t="s">
        <v>12</v>
      </c>
      <c r="E2021" s="17" t="s">
        <v>13</v>
      </c>
      <c r="F2021" s="16" t="s">
        <v>6420</v>
      </c>
    </row>
    <row r="2022" spans="1:6" x14ac:dyDescent="0.25">
      <c r="A2022" s="16" t="s">
        <v>6421</v>
      </c>
      <c r="B2022" s="17" t="s">
        <v>6422</v>
      </c>
      <c r="C2022" s="17" t="s">
        <v>11</v>
      </c>
      <c r="D2022" s="17" t="s">
        <v>12</v>
      </c>
      <c r="E2022" s="17" t="s">
        <v>13</v>
      </c>
      <c r="F2022" s="16" t="s">
        <v>6423</v>
      </c>
    </row>
    <row r="2023" spans="1:6" x14ac:dyDescent="0.25">
      <c r="A2023" s="16" t="s">
        <v>6424</v>
      </c>
      <c r="B2023" s="17" t="s">
        <v>6425</v>
      </c>
      <c r="C2023" s="17" t="s">
        <v>11</v>
      </c>
      <c r="D2023" s="17" t="s">
        <v>12</v>
      </c>
      <c r="E2023" s="17" t="s">
        <v>13</v>
      </c>
      <c r="F2023" s="16" t="s">
        <v>6426</v>
      </c>
    </row>
    <row r="2024" spans="1:6" x14ac:dyDescent="0.25">
      <c r="A2024" s="16" t="s">
        <v>6427</v>
      </c>
      <c r="B2024" s="17" t="s">
        <v>6428</v>
      </c>
      <c r="C2024" s="17" t="s">
        <v>11</v>
      </c>
      <c r="D2024" s="17" t="s">
        <v>12</v>
      </c>
      <c r="E2024" s="17" t="s">
        <v>13</v>
      </c>
      <c r="F2024" s="16" t="s">
        <v>6429</v>
      </c>
    </row>
    <row r="2025" spans="1:6" x14ac:dyDescent="0.25">
      <c r="A2025" s="16" t="s">
        <v>6430</v>
      </c>
      <c r="B2025" s="17" t="s">
        <v>6431</v>
      </c>
      <c r="C2025" s="17" t="s">
        <v>11</v>
      </c>
      <c r="D2025" s="17" t="s">
        <v>80</v>
      </c>
      <c r="E2025" s="17" t="s">
        <v>20</v>
      </c>
      <c r="F2025" s="16" t="s">
        <v>6432</v>
      </c>
    </row>
    <row r="2026" spans="1:6" x14ac:dyDescent="0.25">
      <c r="A2026" s="16" t="s">
        <v>6433</v>
      </c>
      <c r="B2026" s="17" t="s">
        <v>6434</v>
      </c>
      <c r="C2026" s="17" t="s">
        <v>11</v>
      </c>
      <c r="D2026" s="17" t="s">
        <v>148</v>
      </c>
      <c r="E2026" s="17" t="s">
        <v>20</v>
      </c>
      <c r="F2026" s="16" t="s">
        <v>6435</v>
      </c>
    </row>
    <row r="2027" spans="1:6" x14ac:dyDescent="0.25">
      <c r="A2027" s="16" t="s">
        <v>6436</v>
      </c>
      <c r="B2027" s="17" t="s">
        <v>6437</v>
      </c>
      <c r="C2027" s="17" t="s">
        <v>11</v>
      </c>
      <c r="D2027" s="17" t="s">
        <v>12</v>
      </c>
      <c r="E2027" s="17" t="s">
        <v>13</v>
      </c>
      <c r="F2027" s="16" t="s">
        <v>6438</v>
      </c>
    </row>
    <row r="2028" spans="1:6" x14ac:dyDescent="0.25">
      <c r="A2028" s="16" t="s">
        <v>6439</v>
      </c>
      <c r="B2028" s="17" t="s">
        <v>6440</v>
      </c>
      <c r="C2028" s="17" t="s">
        <v>11</v>
      </c>
      <c r="D2028" s="17" t="s">
        <v>32</v>
      </c>
      <c r="E2028" s="17" t="s">
        <v>20</v>
      </c>
      <c r="F2028" s="16" t="s">
        <v>6441</v>
      </c>
    </row>
    <row r="2029" spans="1:6" x14ac:dyDescent="0.25">
      <c r="A2029" s="16" t="s">
        <v>6442</v>
      </c>
      <c r="B2029" s="17" t="s">
        <v>6443</v>
      </c>
      <c r="C2029" s="17" t="s">
        <v>11</v>
      </c>
      <c r="D2029" s="17" t="s">
        <v>26</v>
      </c>
      <c r="E2029" s="17" t="s">
        <v>20</v>
      </c>
      <c r="F2029" s="16" t="s">
        <v>6444</v>
      </c>
    </row>
    <row r="2030" spans="1:6" x14ac:dyDescent="0.25">
      <c r="A2030" s="16" t="s">
        <v>6445</v>
      </c>
      <c r="B2030" s="17" t="s">
        <v>6446</v>
      </c>
      <c r="C2030" s="17" t="s">
        <v>11</v>
      </c>
      <c r="D2030" s="17" t="s">
        <v>12</v>
      </c>
      <c r="E2030" s="17" t="s">
        <v>13</v>
      </c>
      <c r="F2030" s="16" t="s">
        <v>6447</v>
      </c>
    </row>
    <row r="2031" spans="1:6" x14ac:dyDescent="0.25">
      <c r="A2031" s="16" t="s">
        <v>6448</v>
      </c>
      <c r="B2031" s="17" t="s">
        <v>6449</v>
      </c>
      <c r="C2031" s="17" t="s">
        <v>11</v>
      </c>
      <c r="D2031" s="17" t="s">
        <v>12</v>
      </c>
      <c r="E2031" s="17" t="s">
        <v>13</v>
      </c>
      <c r="F2031" s="16" t="s">
        <v>6450</v>
      </c>
    </row>
    <row r="2032" spans="1:6" x14ac:dyDescent="0.25">
      <c r="A2032" s="16" t="s">
        <v>6451</v>
      </c>
      <c r="B2032" s="17" t="s">
        <v>6452</v>
      </c>
      <c r="C2032" s="17" t="s">
        <v>11</v>
      </c>
      <c r="D2032" s="17" t="s">
        <v>291</v>
      </c>
      <c r="E2032" s="17" t="s">
        <v>20</v>
      </c>
      <c r="F2032" s="16" t="s">
        <v>6453</v>
      </c>
    </row>
    <row r="2033" spans="1:6" x14ac:dyDescent="0.25">
      <c r="A2033" s="16" t="s">
        <v>6454</v>
      </c>
      <c r="B2033" s="17" t="s">
        <v>6455</v>
      </c>
      <c r="C2033" s="17" t="s">
        <v>11</v>
      </c>
      <c r="D2033" s="17" t="s">
        <v>26</v>
      </c>
      <c r="E2033" s="17" t="s">
        <v>20</v>
      </c>
      <c r="F2033" s="16" t="s">
        <v>6456</v>
      </c>
    </row>
    <row r="2034" spans="1:6" x14ac:dyDescent="0.25">
      <c r="A2034" s="16" t="s">
        <v>6457</v>
      </c>
      <c r="B2034" s="17" t="s">
        <v>6458</v>
      </c>
      <c r="C2034" s="17" t="s">
        <v>11</v>
      </c>
      <c r="D2034" s="17" t="s">
        <v>32</v>
      </c>
      <c r="E2034" s="17" t="s">
        <v>20</v>
      </c>
      <c r="F2034" s="16" t="s">
        <v>6459</v>
      </c>
    </row>
    <row r="2035" spans="1:6" x14ac:dyDescent="0.25">
      <c r="A2035" s="16" t="s">
        <v>6460</v>
      </c>
      <c r="B2035" s="17" t="s">
        <v>6461</v>
      </c>
      <c r="C2035" s="17" t="s">
        <v>11</v>
      </c>
      <c r="D2035" s="17" t="s">
        <v>570</v>
      </c>
      <c r="E2035" s="17" t="s">
        <v>20</v>
      </c>
      <c r="F2035" s="16" t="s">
        <v>6462</v>
      </c>
    </row>
    <row r="2036" spans="1:6" x14ac:dyDescent="0.25">
      <c r="A2036" s="16" t="s">
        <v>6463</v>
      </c>
      <c r="B2036" s="17" t="s">
        <v>6464</v>
      </c>
      <c r="C2036" s="17" t="s">
        <v>11</v>
      </c>
      <c r="D2036" s="17" t="s">
        <v>12</v>
      </c>
      <c r="E2036" s="17" t="s">
        <v>13</v>
      </c>
      <c r="F2036" s="16" t="s">
        <v>6465</v>
      </c>
    </row>
    <row r="2037" spans="1:6" x14ac:dyDescent="0.25">
      <c r="A2037" s="16" t="s">
        <v>6466</v>
      </c>
      <c r="B2037" s="17" t="s">
        <v>6467</v>
      </c>
      <c r="C2037" s="17" t="s">
        <v>11</v>
      </c>
      <c r="D2037" s="17" t="s">
        <v>74</v>
      </c>
      <c r="E2037" s="17" t="s">
        <v>20</v>
      </c>
      <c r="F2037" s="16" t="s">
        <v>6468</v>
      </c>
    </row>
    <row r="2038" spans="1:6" x14ac:dyDescent="0.25">
      <c r="A2038" s="16" t="s">
        <v>6469</v>
      </c>
      <c r="B2038" s="17" t="s">
        <v>6470</v>
      </c>
      <c r="C2038" s="17" t="s">
        <v>11</v>
      </c>
      <c r="D2038" s="17" t="s">
        <v>83</v>
      </c>
      <c r="E2038" s="17" t="s">
        <v>20</v>
      </c>
      <c r="F2038" s="16" t="s">
        <v>6471</v>
      </c>
    </row>
    <row r="2039" spans="1:6" x14ac:dyDescent="0.25">
      <c r="A2039" s="16" t="s">
        <v>6472</v>
      </c>
      <c r="B2039" s="17" t="s">
        <v>6473</v>
      </c>
      <c r="C2039" s="17" t="s">
        <v>11</v>
      </c>
      <c r="D2039" s="17" t="s">
        <v>32</v>
      </c>
      <c r="E2039" s="17" t="s">
        <v>20</v>
      </c>
      <c r="F2039" s="16" t="s">
        <v>6474</v>
      </c>
    </row>
    <row r="2040" spans="1:6" x14ac:dyDescent="0.25">
      <c r="A2040" s="16" t="s">
        <v>6475</v>
      </c>
      <c r="B2040" s="17" t="s">
        <v>6476</v>
      </c>
      <c r="C2040" s="17" t="s">
        <v>11</v>
      </c>
      <c r="D2040" s="17" t="s">
        <v>32</v>
      </c>
      <c r="E2040" s="17" t="s">
        <v>20</v>
      </c>
      <c r="F2040" s="16" t="s">
        <v>6477</v>
      </c>
    </row>
    <row r="2041" spans="1:6" x14ac:dyDescent="0.25">
      <c r="A2041" s="16" t="s">
        <v>6478</v>
      </c>
      <c r="B2041" s="17" t="s">
        <v>6479</v>
      </c>
      <c r="C2041" s="17" t="s">
        <v>11</v>
      </c>
      <c r="D2041" s="17" t="s">
        <v>83</v>
      </c>
      <c r="E2041" s="17" t="s">
        <v>20</v>
      </c>
      <c r="F2041" s="16" t="s">
        <v>6480</v>
      </c>
    </row>
    <row r="2042" spans="1:6" x14ac:dyDescent="0.25">
      <c r="A2042" s="16" t="s">
        <v>6481</v>
      </c>
      <c r="B2042" s="17" t="s">
        <v>6482</v>
      </c>
      <c r="C2042" s="17" t="s">
        <v>11</v>
      </c>
      <c r="D2042" s="17" t="s">
        <v>250</v>
      </c>
      <c r="E2042" s="17" t="s">
        <v>20</v>
      </c>
      <c r="F2042" s="16" t="s">
        <v>6483</v>
      </c>
    </row>
    <row r="2043" spans="1:6" x14ac:dyDescent="0.25">
      <c r="A2043" s="16" t="s">
        <v>6484</v>
      </c>
      <c r="B2043" s="17" t="s">
        <v>6485</v>
      </c>
      <c r="C2043" s="17" t="s">
        <v>11</v>
      </c>
      <c r="D2043" s="17" t="s">
        <v>12</v>
      </c>
      <c r="E2043" s="17" t="s">
        <v>13</v>
      </c>
      <c r="F2043" s="16" t="s">
        <v>6486</v>
      </c>
    </row>
    <row r="2044" spans="1:6" x14ac:dyDescent="0.25">
      <c r="A2044" s="16" t="s">
        <v>6487</v>
      </c>
      <c r="B2044" s="17" t="s">
        <v>6488</v>
      </c>
      <c r="C2044" s="17" t="s">
        <v>11</v>
      </c>
      <c r="D2044" s="17" t="s">
        <v>80</v>
      </c>
      <c r="E2044" s="17" t="s">
        <v>20</v>
      </c>
      <c r="F2044" s="16" t="s">
        <v>6489</v>
      </c>
    </row>
    <row r="2045" spans="1:6" x14ac:dyDescent="0.25">
      <c r="A2045" s="16" t="s">
        <v>6490</v>
      </c>
      <c r="B2045" s="17" t="s">
        <v>6491</v>
      </c>
      <c r="C2045" s="17" t="s">
        <v>11</v>
      </c>
      <c r="D2045" s="17" t="s">
        <v>186</v>
      </c>
      <c r="E2045" s="17" t="s">
        <v>20</v>
      </c>
      <c r="F2045" s="16" t="s">
        <v>6492</v>
      </c>
    </row>
    <row r="2046" spans="1:6" x14ac:dyDescent="0.25">
      <c r="A2046" s="16" t="s">
        <v>6493</v>
      </c>
      <c r="B2046" s="17" t="s">
        <v>6494</v>
      </c>
      <c r="C2046" s="17" t="s">
        <v>11</v>
      </c>
      <c r="D2046" s="17" t="s">
        <v>80</v>
      </c>
      <c r="E2046" s="17" t="s">
        <v>20</v>
      </c>
      <c r="F2046" s="16" t="s">
        <v>6495</v>
      </c>
    </row>
    <row r="2047" spans="1:6" x14ac:dyDescent="0.25">
      <c r="A2047" s="16" t="s">
        <v>6496</v>
      </c>
      <c r="B2047" s="17" t="s">
        <v>6497</v>
      </c>
      <c r="C2047" s="17" t="s">
        <v>11</v>
      </c>
      <c r="D2047" s="17" t="s">
        <v>12</v>
      </c>
      <c r="E2047" s="17" t="s">
        <v>13</v>
      </c>
      <c r="F2047" s="16" t="s">
        <v>6498</v>
      </c>
    </row>
    <row r="2048" spans="1:6" x14ac:dyDescent="0.25">
      <c r="A2048" s="16" t="s">
        <v>6499</v>
      </c>
      <c r="B2048" s="17" t="s">
        <v>6500</v>
      </c>
      <c r="C2048" s="17" t="s">
        <v>11</v>
      </c>
      <c r="D2048" s="17" t="s">
        <v>233</v>
      </c>
      <c r="E2048" s="17" t="s">
        <v>20</v>
      </c>
      <c r="F2048" s="16" t="s">
        <v>6501</v>
      </c>
    </row>
    <row r="2049" spans="1:6" x14ac:dyDescent="0.25">
      <c r="A2049" s="16" t="s">
        <v>6502</v>
      </c>
      <c r="B2049" s="17" t="s">
        <v>6503</v>
      </c>
      <c r="C2049" s="17" t="s">
        <v>11</v>
      </c>
      <c r="D2049" s="17" t="s">
        <v>32</v>
      </c>
      <c r="E2049" s="17" t="s">
        <v>20</v>
      </c>
      <c r="F2049" s="16" t="s">
        <v>6504</v>
      </c>
    </row>
    <row r="2050" spans="1:6" x14ac:dyDescent="0.25">
      <c r="A2050" s="16" t="s">
        <v>6505</v>
      </c>
      <c r="B2050" s="17" t="s">
        <v>6506</v>
      </c>
      <c r="C2050" s="17" t="s">
        <v>11</v>
      </c>
      <c r="D2050" s="17" t="s">
        <v>12</v>
      </c>
      <c r="E2050" s="17" t="s">
        <v>13</v>
      </c>
      <c r="F2050" s="16" t="s">
        <v>6507</v>
      </c>
    </row>
    <row r="2051" spans="1:6" x14ac:dyDescent="0.25">
      <c r="A2051" s="16" t="s">
        <v>6508</v>
      </c>
      <c r="B2051" s="17" t="s">
        <v>6509</v>
      </c>
      <c r="C2051" s="17" t="s">
        <v>11</v>
      </c>
      <c r="D2051" s="17" t="s">
        <v>32</v>
      </c>
      <c r="E2051" s="17" t="s">
        <v>20</v>
      </c>
      <c r="F2051" s="16" t="s">
        <v>6510</v>
      </c>
    </row>
    <row r="2052" spans="1:6" x14ac:dyDescent="0.25">
      <c r="A2052" s="16" t="s">
        <v>6511</v>
      </c>
      <c r="B2052" s="17" t="s">
        <v>6512</v>
      </c>
      <c r="C2052" s="17" t="s">
        <v>11</v>
      </c>
      <c r="D2052" s="17" t="s">
        <v>12</v>
      </c>
      <c r="E2052" s="17" t="s">
        <v>13</v>
      </c>
      <c r="F2052" s="16" t="s">
        <v>6513</v>
      </c>
    </row>
    <row r="2053" spans="1:6" x14ac:dyDescent="0.25">
      <c r="A2053" s="16" t="s">
        <v>6514</v>
      </c>
      <c r="B2053" s="17" t="s">
        <v>6515</v>
      </c>
      <c r="C2053" s="17" t="s">
        <v>11</v>
      </c>
      <c r="D2053" s="17" t="s">
        <v>74</v>
      </c>
      <c r="E2053" s="17" t="s">
        <v>20</v>
      </c>
      <c r="F2053" s="16" t="s">
        <v>6516</v>
      </c>
    </row>
    <row r="2054" spans="1:6" x14ac:dyDescent="0.25">
      <c r="A2054" s="16" t="s">
        <v>6517</v>
      </c>
      <c r="B2054" s="17" t="s">
        <v>6518</v>
      </c>
      <c r="C2054" s="17" t="s">
        <v>11</v>
      </c>
      <c r="D2054" s="17" t="s">
        <v>32</v>
      </c>
      <c r="E2054" s="17" t="s">
        <v>20</v>
      </c>
      <c r="F2054" s="16" t="s">
        <v>6519</v>
      </c>
    </row>
    <row r="2055" spans="1:6" x14ac:dyDescent="0.25">
      <c r="A2055" s="16" t="s">
        <v>6520</v>
      </c>
      <c r="B2055" s="17" t="s">
        <v>6521</v>
      </c>
      <c r="C2055" s="17" t="s">
        <v>11</v>
      </c>
      <c r="D2055" s="17" t="s">
        <v>32</v>
      </c>
      <c r="E2055" s="17" t="s">
        <v>20</v>
      </c>
      <c r="F2055" s="16" t="s">
        <v>6522</v>
      </c>
    </row>
    <row r="2056" spans="1:6" x14ac:dyDescent="0.25">
      <c r="A2056" s="16" t="s">
        <v>6523</v>
      </c>
      <c r="B2056" s="17" t="s">
        <v>6524</v>
      </c>
      <c r="C2056" s="17" t="s">
        <v>11</v>
      </c>
      <c r="D2056" s="17" t="s">
        <v>26</v>
      </c>
      <c r="E2056" s="17" t="s">
        <v>20</v>
      </c>
      <c r="F2056" s="16" t="s">
        <v>6525</v>
      </c>
    </row>
    <row r="2057" spans="1:6" x14ac:dyDescent="0.25">
      <c r="A2057" s="16" t="s">
        <v>6526</v>
      </c>
      <c r="B2057" s="17" t="s">
        <v>6527</v>
      </c>
      <c r="C2057" s="17" t="s">
        <v>11</v>
      </c>
      <c r="D2057" s="17" t="s">
        <v>182</v>
      </c>
      <c r="E2057" s="17" t="s">
        <v>20</v>
      </c>
      <c r="F2057" s="16" t="s">
        <v>6528</v>
      </c>
    </row>
    <row r="2058" spans="1:6" x14ac:dyDescent="0.25">
      <c r="A2058" s="16" t="s">
        <v>6529</v>
      </c>
      <c r="B2058" s="17" t="s">
        <v>6530</v>
      </c>
      <c r="C2058" s="17" t="s">
        <v>11</v>
      </c>
      <c r="D2058" s="17" t="s">
        <v>32</v>
      </c>
      <c r="E2058" s="17" t="s">
        <v>20</v>
      </c>
      <c r="F2058" s="16" t="s">
        <v>6531</v>
      </c>
    </row>
    <row r="2059" spans="1:6" x14ac:dyDescent="0.25">
      <c r="A2059" s="16" t="s">
        <v>6532</v>
      </c>
      <c r="B2059" s="17" t="s">
        <v>6533</v>
      </c>
      <c r="C2059" s="17" t="s">
        <v>11</v>
      </c>
      <c r="D2059" s="17" t="s">
        <v>186</v>
      </c>
      <c r="E2059" s="17" t="s">
        <v>20</v>
      </c>
      <c r="F2059" s="16" t="s">
        <v>6534</v>
      </c>
    </row>
    <row r="2060" spans="1:6" x14ac:dyDescent="0.25">
      <c r="A2060" s="16" t="s">
        <v>6535</v>
      </c>
      <c r="B2060" s="17" t="s">
        <v>6536</v>
      </c>
      <c r="C2060" s="17" t="s">
        <v>11</v>
      </c>
      <c r="D2060" s="17" t="s">
        <v>32</v>
      </c>
      <c r="E2060" s="17" t="s">
        <v>20</v>
      </c>
      <c r="F2060" s="16" t="s">
        <v>6537</v>
      </c>
    </row>
    <row r="2061" spans="1:6" x14ac:dyDescent="0.25">
      <c r="A2061" s="16" t="s">
        <v>6538</v>
      </c>
      <c r="B2061" s="17" t="s">
        <v>6539</v>
      </c>
      <c r="C2061" s="17" t="s">
        <v>11</v>
      </c>
      <c r="D2061" s="17" t="s">
        <v>19</v>
      </c>
      <c r="E2061" s="17" t="s">
        <v>20</v>
      </c>
      <c r="F2061" s="16" t="s">
        <v>6540</v>
      </c>
    </row>
    <row r="2062" spans="1:6" x14ac:dyDescent="0.25">
      <c r="A2062" s="16" t="s">
        <v>6541</v>
      </c>
      <c r="B2062" s="17" t="s">
        <v>6542</v>
      </c>
      <c r="C2062" s="17" t="s">
        <v>11</v>
      </c>
      <c r="D2062" s="17" t="s">
        <v>250</v>
      </c>
      <c r="E2062" s="17" t="s">
        <v>20</v>
      </c>
      <c r="F2062" s="16" t="s">
        <v>6543</v>
      </c>
    </row>
    <row r="2063" spans="1:6" x14ac:dyDescent="0.25">
      <c r="A2063" s="16" t="s">
        <v>6544</v>
      </c>
      <c r="B2063" s="17" t="s">
        <v>6545</v>
      </c>
      <c r="C2063" s="17" t="s">
        <v>11</v>
      </c>
      <c r="D2063" s="17" t="s">
        <v>811</v>
      </c>
      <c r="E2063" s="17" t="s">
        <v>20</v>
      </c>
      <c r="F2063" s="16" t="s">
        <v>6546</v>
      </c>
    </row>
    <row r="2064" spans="1:6" x14ac:dyDescent="0.25">
      <c r="A2064" s="16" t="s">
        <v>6547</v>
      </c>
      <c r="B2064" s="17" t="s">
        <v>6548</v>
      </c>
      <c r="C2064" s="17" t="s">
        <v>11</v>
      </c>
      <c r="D2064" s="17" t="s">
        <v>80</v>
      </c>
      <c r="E2064" s="17" t="s">
        <v>20</v>
      </c>
      <c r="F2064" s="16" t="s">
        <v>6549</v>
      </c>
    </row>
    <row r="2065" spans="1:6" x14ac:dyDescent="0.25">
      <c r="A2065" s="16" t="s">
        <v>6550</v>
      </c>
      <c r="B2065" s="17" t="s">
        <v>6551</v>
      </c>
      <c r="C2065" s="17" t="s">
        <v>11</v>
      </c>
      <c r="D2065" s="17" t="s">
        <v>32</v>
      </c>
      <c r="E2065" s="17" t="s">
        <v>20</v>
      </c>
      <c r="F2065" s="16" t="s">
        <v>6552</v>
      </c>
    </row>
    <row r="2066" spans="1:6" x14ac:dyDescent="0.25">
      <c r="A2066" s="16" t="s">
        <v>6553</v>
      </c>
      <c r="B2066" s="17" t="s">
        <v>6554</v>
      </c>
      <c r="C2066" s="17" t="s">
        <v>11</v>
      </c>
      <c r="D2066" s="17" t="s">
        <v>186</v>
      </c>
      <c r="E2066" s="17" t="s">
        <v>20</v>
      </c>
      <c r="F2066" s="16" t="s">
        <v>6555</v>
      </c>
    </row>
    <row r="2067" spans="1:6" x14ac:dyDescent="0.25">
      <c r="A2067" s="16" t="s">
        <v>6556</v>
      </c>
      <c r="B2067" s="17" t="s">
        <v>6557</v>
      </c>
      <c r="C2067" s="17" t="s">
        <v>11</v>
      </c>
      <c r="D2067" s="17" t="s">
        <v>186</v>
      </c>
      <c r="E2067" s="17" t="s">
        <v>20</v>
      </c>
      <c r="F2067" s="16" t="s">
        <v>6558</v>
      </c>
    </row>
    <row r="2068" spans="1:6" x14ac:dyDescent="0.25">
      <c r="A2068" s="16" t="s">
        <v>6559</v>
      </c>
      <c r="B2068" s="17" t="s">
        <v>6560</v>
      </c>
      <c r="C2068" s="17" t="s">
        <v>11</v>
      </c>
      <c r="D2068" s="17" t="s">
        <v>32</v>
      </c>
      <c r="E2068" s="17" t="s">
        <v>20</v>
      </c>
      <c r="F2068" s="16" t="s">
        <v>6561</v>
      </c>
    </row>
    <row r="2069" spans="1:6" x14ac:dyDescent="0.25">
      <c r="A2069" s="16" t="s">
        <v>6562</v>
      </c>
      <c r="B2069" s="17" t="s">
        <v>6563</v>
      </c>
      <c r="C2069" s="17" t="s">
        <v>11</v>
      </c>
      <c r="D2069" s="17" t="s">
        <v>32</v>
      </c>
      <c r="E2069" s="17" t="s">
        <v>20</v>
      </c>
      <c r="F2069" s="16" t="s">
        <v>6564</v>
      </c>
    </row>
    <row r="2070" spans="1:6" x14ac:dyDescent="0.25">
      <c r="A2070" s="16" t="s">
        <v>6565</v>
      </c>
      <c r="B2070" s="17" t="s">
        <v>6566</v>
      </c>
      <c r="C2070" s="17" t="s">
        <v>11</v>
      </c>
      <c r="D2070" s="17" t="s">
        <v>12</v>
      </c>
      <c r="E2070" s="17" t="s">
        <v>13</v>
      </c>
      <c r="F2070" s="16" t="s">
        <v>6567</v>
      </c>
    </row>
    <row r="2071" spans="1:6" x14ac:dyDescent="0.25">
      <c r="A2071" s="16" t="s">
        <v>6568</v>
      </c>
      <c r="B2071" s="17" t="s">
        <v>6569</v>
      </c>
      <c r="C2071" s="17" t="s">
        <v>11</v>
      </c>
      <c r="D2071" s="17" t="s">
        <v>12</v>
      </c>
      <c r="E2071" s="17" t="s">
        <v>13</v>
      </c>
      <c r="F2071" s="16" t="s">
        <v>6570</v>
      </c>
    </row>
    <row r="2072" spans="1:6" x14ac:dyDescent="0.25">
      <c r="A2072" s="16" t="s">
        <v>6571</v>
      </c>
      <c r="B2072" s="17" t="s">
        <v>6572</v>
      </c>
      <c r="C2072" s="17" t="s">
        <v>11</v>
      </c>
      <c r="D2072" s="17" t="s">
        <v>32</v>
      </c>
      <c r="E2072" s="17" t="s">
        <v>20</v>
      </c>
      <c r="F2072" s="16" t="s">
        <v>6573</v>
      </c>
    </row>
    <row r="2073" spans="1:6" x14ac:dyDescent="0.25">
      <c r="A2073" s="16" t="s">
        <v>6574</v>
      </c>
      <c r="B2073" s="17" t="s">
        <v>6575</v>
      </c>
      <c r="C2073" s="17" t="s">
        <v>11</v>
      </c>
      <c r="D2073" s="17" t="s">
        <v>80</v>
      </c>
      <c r="E2073" s="17" t="s">
        <v>20</v>
      </c>
      <c r="F2073" s="16" t="s">
        <v>6576</v>
      </c>
    </row>
    <row r="2074" spans="1:6" x14ac:dyDescent="0.25">
      <c r="A2074" s="16" t="s">
        <v>6577</v>
      </c>
      <c r="B2074" s="17" t="s">
        <v>6578</v>
      </c>
      <c r="C2074" s="17" t="s">
        <v>11</v>
      </c>
      <c r="D2074" s="17" t="s">
        <v>186</v>
      </c>
      <c r="E2074" s="17" t="s">
        <v>20</v>
      </c>
      <c r="F2074" s="16" t="s">
        <v>6579</v>
      </c>
    </row>
    <row r="2075" spans="1:6" x14ac:dyDescent="0.25">
      <c r="A2075" s="16" t="s">
        <v>6580</v>
      </c>
      <c r="B2075" s="17" t="s">
        <v>6581</v>
      </c>
      <c r="C2075" s="17" t="s">
        <v>11</v>
      </c>
      <c r="D2075" s="17" t="s">
        <v>12</v>
      </c>
      <c r="E2075" s="17" t="s">
        <v>13</v>
      </c>
      <c r="F2075" s="16" t="s">
        <v>6582</v>
      </c>
    </row>
    <row r="2076" spans="1:6" x14ac:dyDescent="0.25">
      <c r="A2076" s="16" t="s">
        <v>6583</v>
      </c>
      <c r="B2076" s="17" t="s">
        <v>6584</v>
      </c>
      <c r="C2076" s="17" t="s">
        <v>11</v>
      </c>
      <c r="D2076" s="17" t="s">
        <v>12</v>
      </c>
      <c r="E2076" s="17" t="s">
        <v>13</v>
      </c>
      <c r="F2076" s="16" t="s">
        <v>6585</v>
      </c>
    </row>
    <row r="2077" spans="1:6" x14ac:dyDescent="0.25">
      <c r="A2077" s="16" t="s">
        <v>6586</v>
      </c>
      <c r="B2077" s="17" t="s">
        <v>6587</v>
      </c>
      <c r="C2077" s="17" t="s">
        <v>11</v>
      </c>
      <c r="D2077" s="17" t="s">
        <v>32</v>
      </c>
      <c r="E2077" s="17" t="s">
        <v>20</v>
      </c>
      <c r="F2077" s="16" t="s">
        <v>6588</v>
      </c>
    </row>
    <row r="2078" spans="1:6" x14ac:dyDescent="0.25">
      <c r="A2078" s="16" t="s">
        <v>6589</v>
      </c>
      <c r="B2078" s="17" t="s">
        <v>6590</v>
      </c>
      <c r="C2078" s="17" t="s">
        <v>11</v>
      </c>
      <c r="D2078" s="17" t="s">
        <v>12</v>
      </c>
      <c r="E2078" s="17" t="s">
        <v>13</v>
      </c>
      <c r="F2078" s="16" t="s">
        <v>6591</v>
      </c>
    </row>
    <row r="2079" spans="1:6" x14ac:dyDescent="0.25">
      <c r="A2079" s="16" t="s">
        <v>6592</v>
      </c>
      <c r="B2079" s="17" t="s">
        <v>6593</v>
      </c>
      <c r="C2079" s="17" t="s">
        <v>11</v>
      </c>
      <c r="D2079" s="17" t="s">
        <v>12</v>
      </c>
      <c r="E2079" s="17" t="s">
        <v>13</v>
      </c>
      <c r="F2079" s="16" t="s">
        <v>6594</v>
      </c>
    </row>
    <row r="2080" spans="1:6" x14ac:dyDescent="0.25">
      <c r="A2080" s="16" t="s">
        <v>6595</v>
      </c>
      <c r="B2080" s="17" t="s">
        <v>6596</v>
      </c>
      <c r="C2080" s="17" t="s">
        <v>11</v>
      </c>
      <c r="D2080" s="17" t="s">
        <v>12</v>
      </c>
      <c r="E2080" s="17" t="s">
        <v>13</v>
      </c>
      <c r="F2080" s="16" t="s">
        <v>6597</v>
      </c>
    </row>
    <row r="2081" spans="1:6" x14ac:dyDescent="0.25">
      <c r="A2081" s="16" t="s">
        <v>6598</v>
      </c>
      <c r="B2081" s="17" t="s">
        <v>6599</v>
      </c>
      <c r="C2081" s="17" t="s">
        <v>11</v>
      </c>
      <c r="D2081" s="17" t="s">
        <v>32</v>
      </c>
      <c r="E2081" s="17" t="s">
        <v>20</v>
      </c>
      <c r="F2081" s="16" t="s">
        <v>6600</v>
      </c>
    </row>
    <row r="2082" spans="1:6" x14ac:dyDescent="0.25">
      <c r="A2082" s="16" t="s">
        <v>6601</v>
      </c>
      <c r="B2082" s="17" t="s">
        <v>6602</v>
      </c>
      <c r="C2082" s="17" t="s">
        <v>11</v>
      </c>
      <c r="D2082" s="17" t="s">
        <v>12</v>
      </c>
      <c r="E2082" s="17" t="s">
        <v>13</v>
      </c>
      <c r="F2082" s="16" t="s">
        <v>6603</v>
      </c>
    </row>
    <row r="2083" spans="1:6" x14ac:dyDescent="0.25">
      <c r="A2083" s="16" t="s">
        <v>6604</v>
      </c>
      <c r="B2083" s="17" t="s">
        <v>6605</v>
      </c>
      <c r="C2083" s="17" t="s">
        <v>11</v>
      </c>
      <c r="D2083" s="17" t="s">
        <v>12</v>
      </c>
      <c r="E2083" s="17" t="s">
        <v>13</v>
      </c>
      <c r="F2083" s="16" t="s">
        <v>6606</v>
      </c>
    </row>
    <row r="2084" spans="1:6" x14ac:dyDescent="0.25">
      <c r="A2084" s="16" t="s">
        <v>6607</v>
      </c>
      <c r="B2084" s="17" t="s">
        <v>6608</v>
      </c>
      <c r="C2084" s="17" t="s">
        <v>11</v>
      </c>
      <c r="D2084" s="17" t="s">
        <v>32</v>
      </c>
      <c r="E2084" s="17" t="s">
        <v>20</v>
      </c>
      <c r="F2084" s="16" t="s">
        <v>6609</v>
      </c>
    </row>
    <row r="2085" spans="1:6" x14ac:dyDescent="0.25">
      <c r="A2085" s="16" t="s">
        <v>6610</v>
      </c>
      <c r="B2085" s="17" t="s">
        <v>6611</v>
      </c>
      <c r="C2085" s="17" t="s">
        <v>11</v>
      </c>
      <c r="D2085" s="17" t="s">
        <v>12</v>
      </c>
      <c r="E2085" s="17" t="s">
        <v>13</v>
      </c>
      <c r="F2085" s="16" t="s">
        <v>6612</v>
      </c>
    </row>
    <row r="2086" spans="1:6" x14ac:dyDescent="0.25">
      <c r="A2086" s="16" t="s">
        <v>6613</v>
      </c>
      <c r="B2086" s="17" t="s">
        <v>6614</v>
      </c>
      <c r="C2086" s="17" t="s">
        <v>11</v>
      </c>
      <c r="D2086" s="17" t="s">
        <v>12</v>
      </c>
      <c r="E2086" s="17" t="s">
        <v>13</v>
      </c>
      <c r="F2086" s="16" t="s">
        <v>6615</v>
      </c>
    </row>
    <row r="2087" spans="1:6" x14ac:dyDescent="0.25">
      <c r="A2087" s="16" t="s">
        <v>6616</v>
      </c>
      <c r="B2087" s="17" t="s">
        <v>6617</v>
      </c>
      <c r="C2087" s="17" t="s">
        <v>11</v>
      </c>
      <c r="D2087" s="17" t="s">
        <v>12</v>
      </c>
      <c r="E2087" s="17" t="s">
        <v>13</v>
      </c>
      <c r="F2087" s="16" t="s">
        <v>6618</v>
      </c>
    </row>
    <row r="2088" spans="1:6" x14ac:dyDescent="0.25">
      <c r="A2088" s="16" t="s">
        <v>6619</v>
      </c>
      <c r="B2088" s="17" t="s">
        <v>6620</v>
      </c>
      <c r="C2088" s="17" t="s">
        <v>11</v>
      </c>
      <c r="D2088" s="17" t="s">
        <v>74</v>
      </c>
      <c r="E2088" s="17" t="s">
        <v>20</v>
      </c>
      <c r="F2088" s="16" t="s">
        <v>6621</v>
      </c>
    </row>
    <row r="2089" spans="1:6" x14ac:dyDescent="0.25">
      <c r="A2089" s="16" t="s">
        <v>6622</v>
      </c>
      <c r="B2089" s="17" t="s">
        <v>6623</v>
      </c>
      <c r="C2089" s="17" t="s">
        <v>11</v>
      </c>
      <c r="D2089" s="17" t="s">
        <v>12</v>
      </c>
      <c r="E2089" s="17" t="s">
        <v>13</v>
      </c>
      <c r="F2089" s="16" t="s">
        <v>6624</v>
      </c>
    </row>
    <row r="2090" spans="1:6" x14ac:dyDescent="0.25">
      <c r="A2090" s="16" t="s">
        <v>6625</v>
      </c>
      <c r="B2090" s="17" t="s">
        <v>6626</v>
      </c>
      <c r="C2090" s="17" t="s">
        <v>11</v>
      </c>
      <c r="D2090" s="17" t="s">
        <v>80</v>
      </c>
      <c r="E2090" s="17" t="s">
        <v>20</v>
      </c>
      <c r="F2090" s="16" t="s">
        <v>6627</v>
      </c>
    </row>
    <row r="2091" spans="1:6" x14ac:dyDescent="0.25">
      <c r="A2091" s="16" t="s">
        <v>6628</v>
      </c>
      <c r="B2091" s="17" t="s">
        <v>6629</v>
      </c>
      <c r="C2091" s="17" t="s">
        <v>11</v>
      </c>
      <c r="D2091" s="17" t="s">
        <v>32</v>
      </c>
      <c r="E2091" s="17" t="s">
        <v>20</v>
      </c>
      <c r="F2091" s="16" t="s">
        <v>6630</v>
      </c>
    </row>
    <row r="2092" spans="1:6" x14ac:dyDescent="0.25">
      <c r="A2092" s="16" t="s">
        <v>6631</v>
      </c>
      <c r="B2092" s="17" t="s">
        <v>6632</v>
      </c>
      <c r="C2092" s="17" t="s">
        <v>11</v>
      </c>
      <c r="D2092" s="17" t="s">
        <v>12</v>
      </c>
      <c r="E2092" s="17" t="s">
        <v>13</v>
      </c>
      <c r="F2092" s="16" t="s">
        <v>6633</v>
      </c>
    </row>
    <row r="2093" spans="1:6" x14ac:dyDescent="0.25">
      <c r="A2093" s="16" t="s">
        <v>6634</v>
      </c>
      <c r="B2093" s="17" t="s">
        <v>6635</v>
      </c>
      <c r="C2093" s="17" t="s">
        <v>11</v>
      </c>
      <c r="D2093" s="17" t="s">
        <v>32</v>
      </c>
      <c r="E2093" s="17" t="s">
        <v>20</v>
      </c>
      <c r="F2093" s="16" t="s">
        <v>6636</v>
      </c>
    </row>
    <row r="2094" spans="1:6" x14ac:dyDescent="0.25">
      <c r="A2094" s="16" t="s">
        <v>6637</v>
      </c>
      <c r="B2094" s="17" t="s">
        <v>6638</v>
      </c>
      <c r="C2094" s="17" t="s">
        <v>11</v>
      </c>
      <c r="D2094" s="17" t="s">
        <v>32</v>
      </c>
      <c r="E2094" s="17" t="s">
        <v>20</v>
      </c>
      <c r="F2094" s="16" t="s">
        <v>6639</v>
      </c>
    </row>
    <row r="2095" spans="1:6" x14ac:dyDescent="0.25">
      <c r="A2095" s="16" t="s">
        <v>6640</v>
      </c>
      <c r="B2095" s="17" t="s">
        <v>6641</v>
      </c>
      <c r="C2095" s="17" t="s">
        <v>11</v>
      </c>
      <c r="D2095" s="17" t="s">
        <v>186</v>
      </c>
      <c r="E2095" s="17" t="s">
        <v>20</v>
      </c>
      <c r="F2095" s="16" t="s">
        <v>6642</v>
      </c>
    </row>
    <row r="2096" spans="1:6" x14ac:dyDescent="0.25">
      <c r="A2096" s="16" t="s">
        <v>6643</v>
      </c>
      <c r="B2096" s="17" t="s">
        <v>6644</v>
      </c>
      <c r="C2096" s="17" t="s">
        <v>11</v>
      </c>
      <c r="D2096" s="17" t="s">
        <v>182</v>
      </c>
      <c r="E2096" s="17" t="s">
        <v>20</v>
      </c>
      <c r="F2096" s="16" t="s">
        <v>6645</v>
      </c>
    </row>
    <row r="2097" spans="1:6" x14ac:dyDescent="0.25">
      <c r="A2097" s="16" t="s">
        <v>6646</v>
      </c>
      <c r="B2097" s="17" t="s">
        <v>6647</v>
      </c>
      <c r="C2097" s="17" t="s">
        <v>11</v>
      </c>
      <c r="D2097" s="17" t="s">
        <v>12</v>
      </c>
      <c r="E2097" s="17" t="s">
        <v>13</v>
      </c>
      <c r="F2097" s="16" t="s">
        <v>6648</v>
      </c>
    </row>
    <row r="2098" spans="1:6" x14ac:dyDescent="0.25">
      <c r="A2098" s="16" t="s">
        <v>6649</v>
      </c>
      <c r="B2098" s="17" t="s">
        <v>6650</v>
      </c>
      <c r="C2098" s="17" t="s">
        <v>11</v>
      </c>
      <c r="D2098" s="17" t="s">
        <v>74</v>
      </c>
      <c r="E2098" s="17" t="s">
        <v>20</v>
      </c>
      <c r="F2098" s="16" t="s">
        <v>6651</v>
      </c>
    </row>
    <row r="2099" spans="1:6" x14ac:dyDescent="0.25">
      <c r="A2099" s="16" t="s">
        <v>6652</v>
      </c>
      <c r="B2099" s="17" t="s">
        <v>6653</v>
      </c>
      <c r="C2099" s="17" t="s">
        <v>11</v>
      </c>
      <c r="D2099" s="17" t="s">
        <v>32</v>
      </c>
      <c r="E2099" s="17" t="s">
        <v>20</v>
      </c>
      <c r="F2099" s="16" t="s">
        <v>6654</v>
      </c>
    </row>
    <row r="2100" spans="1:6" x14ac:dyDescent="0.25">
      <c r="A2100" s="16" t="s">
        <v>6655</v>
      </c>
      <c r="B2100" s="17" t="s">
        <v>6656</v>
      </c>
      <c r="C2100" s="17" t="s">
        <v>11</v>
      </c>
      <c r="D2100" s="17" t="s">
        <v>12</v>
      </c>
      <c r="E2100" s="17" t="s">
        <v>13</v>
      </c>
      <c r="F2100" s="16" t="s">
        <v>6657</v>
      </c>
    </row>
    <row r="2101" spans="1:6" x14ac:dyDescent="0.25">
      <c r="A2101" s="16" t="s">
        <v>6658</v>
      </c>
      <c r="B2101" s="17" t="s">
        <v>6659</v>
      </c>
      <c r="C2101" s="17" t="s">
        <v>11</v>
      </c>
      <c r="D2101" s="17" t="s">
        <v>12</v>
      </c>
      <c r="E2101" s="17" t="s">
        <v>13</v>
      </c>
      <c r="F2101" s="16" t="s">
        <v>6660</v>
      </c>
    </row>
    <row r="2102" spans="1:6" x14ac:dyDescent="0.25">
      <c r="A2102" s="16" t="s">
        <v>6661</v>
      </c>
      <c r="B2102" s="17" t="s">
        <v>6662</v>
      </c>
      <c r="C2102" s="17" t="s">
        <v>11</v>
      </c>
      <c r="D2102" s="17" t="s">
        <v>12</v>
      </c>
      <c r="E2102" s="17" t="s">
        <v>13</v>
      </c>
      <c r="F2102" s="16" t="s">
        <v>6663</v>
      </c>
    </row>
    <row r="2103" spans="1:6" x14ac:dyDescent="0.25">
      <c r="A2103" s="16" t="s">
        <v>6664</v>
      </c>
      <c r="B2103" s="17" t="s">
        <v>6665</v>
      </c>
      <c r="C2103" s="17" t="s">
        <v>11</v>
      </c>
      <c r="D2103" s="17" t="s">
        <v>12</v>
      </c>
      <c r="E2103" s="17" t="s">
        <v>13</v>
      </c>
      <c r="F2103" s="16" t="s">
        <v>6666</v>
      </c>
    </row>
    <row r="2104" spans="1:6" x14ac:dyDescent="0.25">
      <c r="A2104" s="16" t="s">
        <v>6667</v>
      </c>
      <c r="B2104" s="17" t="s">
        <v>6668</v>
      </c>
      <c r="C2104" s="17" t="s">
        <v>11</v>
      </c>
      <c r="D2104" s="17" t="s">
        <v>1318</v>
      </c>
      <c r="E2104" s="17" t="s">
        <v>20</v>
      </c>
      <c r="F2104" s="16" t="s">
        <v>6669</v>
      </c>
    </row>
    <row r="2105" spans="1:6" x14ac:dyDescent="0.25">
      <c r="A2105" s="16" t="s">
        <v>6670</v>
      </c>
      <c r="B2105" s="17" t="s">
        <v>6671</v>
      </c>
      <c r="C2105" s="17" t="s">
        <v>11</v>
      </c>
      <c r="D2105" s="17" t="s">
        <v>12</v>
      </c>
      <c r="E2105" s="17" t="s">
        <v>13</v>
      </c>
      <c r="F2105" s="16" t="s">
        <v>6672</v>
      </c>
    </row>
    <row r="2106" spans="1:6" x14ac:dyDescent="0.25">
      <c r="A2106" s="16" t="s">
        <v>6673</v>
      </c>
      <c r="B2106" s="17" t="s">
        <v>6674</v>
      </c>
      <c r="C2106" s="17" t="s">
        <v>11</v>
      </c>
      <c r="D2106" s="17" t="s">
        <v>12</v>
      </c>
      <c r="E2106" s="17" t="s">
        <v>13</v>
      </c>
      <c r="F2106" s="16" t="s">
        <v>6675</v>
      </c>
    </row>
    <row r="2107" spans="1:6" x14ac:dyDescent="0.25">
      <c r="A2107" s="16" t="s">
        <v>6676</v>
      </c>
      <c r="B2107" s="17" t="s">
        <v>6677</v>
      </c>
      <c r="C2107" s="17" t="s">
        <v>11</v>
      </c>
      <c r="D2107" s="17" t="s">
        <v>12</v>
      </c>
      <c r="E2107" s="17" t="s">
        <v>13</v>
      </c>
      <c r="F2107" s="16" t="s">
        <v>6678</v>
      </c>
    </row>
    <row r="2108" spans="1:6" x14ac:dyDescent="0.25">
      <c r="A2108" s="16" t="s">
        <v>6679</v>
      </c>
      <c r="B2108" s="17" t="s">
        <v>6680</v>
      </c>
      <c r="C2108" s="17" t="s">
        <v>11</v>
      </c>
      <c r="D2108" s="17" t="s">
        <v>12</v>
      </c>
      <c r="E2108" s="17" t="s">
        <v>13</v>
      </c>
      <c r="F2108" s="16" t="s">
        <v>6681</v>
      </c>
    </row>
    <row r="2109" spans="1:6" x14ac:dyDescent="0.25">
      <c r="A2109" s="16" t="s">
        <v>6682</v>
      </c>
      <c r="B2109" s="17" t="s">
        <v>6683</v>
      </c>
      <c r="C2109" s="17" t="s">
        <v>11</v>
      </c>
      <c r="D2109" s="17" t="s">
        <v>12</v>
      </c>
      <c r="E2109" s="17" t="s">
        <v>13</v>
      </c>
      <c r="F2109" s="16" t="s">
        <v>6684</v>
      </c>
    </row>
    <row r="2110" spans="1:6" x14ac:dyDescent="0.25">
      <c r="A2110" s="16" t="s">
        <v>6685</v>
      </c>
      <c r="B2110" s="17" t="s">
        <v>6686</v>
      </c>
      <c r="C2110" s="17" t="s">
        <v>11</v>
      </c>
      <c r="D2110" s="17" t="s">
        <v>83</v>
      </c>
      <c r="E2110" s="17" t="s">
        <v>20</v>
      </c>
      <c r="F2110" s="16" t="s">
        <v>6687</v>
      </c>
    </row>
    <row r="2111" spans="1:6" x14ac:dyDescent="0.25">
      <c r="A2111" s="16" t="s">
        <v>6688</v>
      </c>
      <c r="B2111" s="17" t="s">
        <v>6689</v>
      </c>
      <c r="C2111" s="17" t="s">
        <v>11</v>
      </c>
      <c r="D2111" s="17" t="s">
        <v>12</v>
      </c>
      <c r="E2111" s="17" t="s">
        <v>13</v>
      </c>
      <c r="F2111" s="16" t="s">
        <v>6690</v>
      </c>
    </row>
    <row r="2112" spans="1:6" x14ac:dyDescent="0.25">
      <c r="A2112" s="16" t="s">
        <v>6691</v>
      </c>
      <c r="B2112" s="17" t="s">
        <v>6692</v>
      </c>
      <c r="C2112" s="17" t="s">
        <v>11</v>
      </c>
      <c r="D2112" s="17" t="s">
        <v>12</v>
      </c>
      <c r="E2112" s="17" t="s">
        <v>13</v>
      </c>
      <c r="F2112" s="16" t="s">
        <v>6693</v>
      </c>
    </row>
    <row r="2113" spans="1:6" x14ac:dyDescent="0.25">
      <c r="A2113" s="16" t="s">
        <v>6694</v>
      </c>
      <c r="B2113" s="17" t="s">
        <v>6695</v>
      </c>
      <c r="C2113" s="17" t="s">
        <v>11</v>
      </c>
      <c r="D2113" s="17" t="s">
        <v>80</v>
      </c>
      <c r="E2113" s="17" t="s">
        <v>20</v>
      </c>
      <c r="F2113" s="16" t="s">
        <v>6696</v>
      </c>
    </row>
    <row r="2114" spans="1:6" x14ac:dyDescent="0.25">
      <c r="A2114" s="16" t="s">
        <v>6697</v>
      </c>
      <c r="B2114" s="17" t="s">
        <v>6698</v>
      </c>
      <c r="C2114" s="17" t="s">
        <v>11</v>
      </c>
      <c r="D2114" s="17" t="s">
        <v>12</v>
      </c>
      <c r="E2114" s="17" t="s">
        <v>13</v>
      </c>
      <c r="F2114" s="16" t="s">
        <v>6699</v>
      </c>
    </row>
    <row r="2115" spans="1:6" x14ac:dyDescent="0.25">
      <c r="A2115" s="16" t="s">
        <v>6700</v>
      </c>
      <c r="B2115" s="17" t="s">
        <v>6701</v>
      </c>
      <c r="C2115" s="17" t="s">
        <v>11</v>
      </c>
      <c r="D2115" s="17" t="s">
        <v>32</v>
      </c>
      <c r="E2115" s="17" t="s">
        <v>20</v>
      </c>
      <c r="F2115" s="16" t="s">
        <v>6702</v>
      </c>
    </row>
    <row r="2116" spans="1:6" x14ac:dyDescent="0.25">
      <c r="A2116" s="16" t="s">
        <v>6703</v>
      </c>
      <c r="B2116" s="17" t="s">
        <v>6704</v>
      </c>
      <c r="C2116" s="17" t="s">
        <v>11</v>
      </c>
      <c r="D2116" s="17" t="s">
        <v>32</v>
      </c>
      <c r="E2116" s="17" t="s">
        <v>20</v>
      </c>
      <c r="F2116" s="16" t="s">
        <v>6705</v>
      </c>
    </row>
    <row r="2117" spans="1:6" x14ac:dyDescent="0.25">
      <c r="A2117" s="16" t="s">
        <v>6706</v>
      </c>
      <c r="B2117" s="17" t="s">
        <v>6707</v>
      </c>
      <c r="C2117" s="17" t="s">
        <v>11</v>
      </c>
      <c r="D2117" s="17" t="s">
        <v>80</v>
      </c>
      <c r="E2117" s="17" t="s">
        <v>20</v>
      </c>
      <c r="F2117" s="16" t="s">
        <v>6708</v>
      </c>
    </row>
    <row r="2118" spans="1:6" x14ac:dyDescent="0.25">
      <c r="A2118" s="16" t="s">
        <v>6709</v>
      </c>
      <c r="B2118" s="17" t="s">
        <v>6710</v>
      </c>
      <c r="C2118" s="17" t="s">
        <v>11</v>
      </c>
      <c r="D2118" s="17" t="s">
        <v>12</v>
      </c>
      <c r="E2118" s="17" t="s">
        <v>13</v>
      </c>
      <c r="F2118" s="16" t="s">
        <v>6711</v>
      </c>
    </row>
    <row r="2119" spans="1:6" x14ac:dyDescent="0.25">
      <c r="A2119" s="16" t="s">
        <v>6712</v>
      </c>
      <c r="B2119" s="17" t="s">
        <v>6713</v>
      </c>
      <c r="C2119" s="17" t="s">
        <v>11</v>
      </c>
      <c r="D2119" s="17" t="s">
        <v>250</v>
      </c>
      <c r="E2119" s="17" t="s">
        <v>20</v>
      </c>
      <c r="F2119" s="16" t="s">
        <v>6714</v>
      </c>
    </row>
    <row r="2120" spans="1:6" x14ac:dyDescent="0.25">
      <c r="A2120" s="16" t="s">
        <v>6715</v>
      </c>
      <c r="B2120" s="17" t="s">
        <v>6716</v>
      </c>
      <c r="C2120" s="17" t="s">
        <v>11</v>
      </c>
      <c r="D2120" s="17" t="s">
        <v>89</v>
      </c>
      <c r="E2120" s="17" t="s">
        <v>20</v>
      </c>
      <c r="F2120" s="16" t="s">
        <v>6717</v>
      </c>
    </row>
    <row r="2121" spans="1:6" x14ac:dyDescent="0.25">
      <c r="A2121" s="16" t="s">
        <v>6718</v>
      </c>
      <c r="B2121" s="17" t="s">
        <v>6719</v>
      </c>
      <c r="C2121" s="17" t="s">
        <v>11</v>
      </c>
      <c r="D2121" s="17" t="s">
        <v>250</v>
      </c>
      <c r="E2121" s="17" t="s">
        <v>20</v>
      </c>
      <c r="F2121" s="16" t="s">
        <v>6720</v>
      </c>
    </row>
    <row r="2122" spans="1:6" x14ac:dyDescent="0.25">
      <c r="A2122" s="16" t="s">
        <v>6721</v>
      </c>
      <c r="B2122" s="17" t="s">
        <v>6722</v>
      </c>
      <c r="C2122" s="17" t="s">
        <v>11</v>
      </c>
      <c r="D2122" s="17" t="s">
        <v>32</v>
      </c>
      <c r="E2122" s="17" t="s">
        <v>20</v>
      </c>
      <c r="F2122" s="16" t="s">
        <v>6723</v>
      </c>
    </row>
    <row r="2123" spans="1:6" x14ac:dyDescent="0.25">
      <c r="A2123" s="16" t="s">
        <v>6724</v>
      </c>
      <c r="B2123" s="17" t="s">
        <v>6725</v>
      </c>
      <c r="C2123" s="17" t="s">
        <v>11</v>
      </c>
      <c r="D2123" s="17" t="s">
        <v>32</v>
      </c>
      <c r="E2123" s="17" t="s">
        <v>20</v>
      </c>
      <c r="F2123" s="16" t="s">
        <v>6726</v>
      </c>
    </row>
    <row r="2124" spans="1:6" x14ac:dyDescent="0.25">
      <c r="A2124" s="16" t="s">
        <v>6727</v>
      </c>
      <c r="B2124" s="17" t="s">
        <v>6728</v>
      </c>
      <c r="C2124" s="17" t="s">
        <v>11</v>
      </c>
      <c r="D2124" s="17" t="s">
        <v>32</v>
      </c>
      <c r="E2124" s="17" t="s">
        <v>20</v>
      </c>
      <c r="F2124" s="16" t="s">
        <v>6729</v>
      </c>
    </row>
    <row r="2125" spans="1:6" x14ac:dyDescent="0.25">
      <c r="A2125" s="16" t="s">
        <v>6730</v>
      </c>
      <c r="B2125" s="17" t="s">
        <v>6731</v>
      </c>
      <c r="C2125" s="17" t="s">
        <v>11</v>
      </c>
      <c r="D2125" s="17" t="s">
        <v>12</v>
      </c>
      <c r="E2125" s="17" t="s">
        <v>13</v>
      </c>
      <c r="F2125" s="16" t="s">
        <v>6732</v>
      </c>
    </row>
    <row r="2126" spans="1:6" x14ac:dyDescent="0.25">
      <c r="A2126" s="16" t="s">
        <v>6733</v>
      </c>
      <c r="B2126" s="17" t="s">
        <v>6734</v>
      </c>
      <c r="C2126" s="17" t="s">
        <v>11</v>
      </c>
      <c r="D2126" s="17" t="s">
        <v>12</v>
      </c>
      <c r="E2126" s="17" t="s">
        <v>13</v>
      </c>
      <c r="F2126" s="16" t="s">
        <v>6735</v>
      </c>
    </row>
    <row r="2127" spans="1:6" x14ac:dyDescent="0.25">
      <c r="A2127" s="16" t="s">
        <v>6736</v>
      </c>
      <c r="B2127" s="17" t="s">
        <v>6737</v>
      </c>
      <c r="C2127" s="17" t="s">
        <v>11</v>
      </c>
      <c r="D2127" s="17" t="s">
        <v>83</v>
      </c>
      <c r="E2127" s="17" t="s">
        <v>20</v>
      </c>
      <c r="F2127" s="16" t="s">
        <v>6738</v>
      </c>
    </row>
    <row r="2128" spans="1:6" x14ac:dyDescent="0.25">
      <c r="A2128" s="16" t="s">
        <v>6739</v>
      </c>
      <c r="B2128" s="17" t="s">
        <v>6740</v>
      </c>
      <c r="C2128" s="17" t="s">
        <v>11</v>
      </c>
      <c r="D2128" s="17" t="s">
        <v>12</v>
      </c>
      <c r="E2128" s="17" t="s">
        <v>13</v>
      </c>
      <c r="F2128" s="16" t="s">
        <v>6741</v>
      </c>
    </row>
    <row r="2129" spans="1:6" x14ac:dyDescent="0.25">
      <c r="A2129" s="16" t="s">
        <v>6742</v>
      </c>
      <c r="B2129" s="17" t="s">
        <v>6743</v>
      </c>
      <c r="C2129" s="17" t="s">
        <v>11</v>
      </c>
      <c r="D2129" s="17" t="s">
        <v>148</v>
      </c>
      <c r="E2129" s="17" t="s">
        <v>20</v>
      </c>
      <c r="F2129" s="16" t="s">
        <v>6744</v>
      </c>
    </row>
    <row r="2130" spans="1:6" x14ac:dyDescent="0.25">
      <c r="A2130" s="16" t="s">
        <v>6745</v>
      </c>
      <c r="B2130" s="17" t="s">
        <v>6746</v>
      </c>
      <c r="C2130" s="17" t="s">
        <v>11</v>
      </c>
      <c r="D2130" s="17" t="s">
        <v>80</v>
      </c>
      <c r="E2130" s="17" t="s">
        <v>20</v>
      </c>
      <c r="F2130" s="16" t="s">
        <v>6747</v>
      </c>
    </row>
    <row r="2131" spans="1:6" x14ac:dyDescent="0.25">
      <c r="A2131" s="16" t="s">
        <v>6748</v>
      </c>
      <c r="B2131" s="17" t="s">
        <v>6749</v>
      </c>
      <c r="C2131" s="17" t="s">
        <v>11</v>
      </c>
      <c r="D2131" s="17" t="s">
        <v>250</v>
      </c>
      <c r="E2131" s="17" t="s">
        <v>20</v>
      </c>
      <c r="F2131" s="16" t="s">
        <v>6750</v>
      </c>
    </row>
    <row r="2132" spans="1:6" x14ac:dyDescent="0.25">
      <c r="A2132" s="16" t="s">
        <v>6751</v>
      </c>
      <c r="B2132" s="17" t="s">
        <v>6752</v>
      </c>
      <c r="C2132" s="17" t="s">
        <v>11</v>
      </c>
      <c r="D2132" s="17" t="s">
        <v>32</v>
      </c>
      <c r="E2132" s="17" t="s">
        <v>20</v>
      </c>
      <c r="F2132" s="16" t="s">
        <v>6753</v>
      </c>
    </row>
    <row r="2133" spans="1:6" x14ac:dyDescent="0.25">
      <c r="A2133" s="16" t="s">
        <v>6754</v>
      </c>
      <c r="B2133" s="17" t="s">
        <v>6755</v>
      </c>
      <c r="C2133" s="17" t="s">
        <v>11</v>
      </c>
      <c r="D2133" s="17" t="s">
        <v>12</v>
      </c>
      <c r="E2133" s="17" t="s">
        <v>13</v>
      </c>
      <c r="F2133" s="16" t="s">
        <v>6756</v>
      </c>
    </row>
    <row r="2134" spans="1:6" x14ac:dyDescent="0.25">
      <c r="A2134" s="16" t="s">
        <v>6757</v>
      </c>
      <c r="B2134" s="17" t="s">
        <v>6758</v>
      </c>
      <c r="C2134" s="17" t="s">
        <v>11</v>
      </c>
      <c r="D2134" s="17" t="s">
        <v>26</v>
      </c>
      <c r="E2134" s="17" t="s">
        <v>20</v>
      </c>
      <c r="F2134" s="16" t="s">
        <v>6759</v>
      </c>
    </row>
    <row r="2135" spans="1:6" x14ac:dyDescent="0.25">
      <c r="A2135" s="16" t="s">
        <v>6760</v>
      </c>
      <c r="B2135" s="17" t="s">
        <v>6761</v>
      </c>
      <c r="C2135" s="17" t="s">
        <v>11</v>
      </c>
      <c r="D2135" s="17" t="s">
        <v>83</v>
      </c>
      <c r="E2135" s="17" t="s">
        <v>20</v>
      </c>
      <c r="F2135" s="16" t="s">
        <v>6762</v>
      </c>
    </row>
    <row r="2136" spans="1:6" x14ac:dyDescent="0.25">
      <c r="A2136" s="16" t="s">
        <v>6763</v>
      </c>
      <c r="B2136" s="17" t="s">
        <v>6764</v>
      </c>
      <c r="C2136" s="17" t="s">
        <v>11</v>
      </c>
      <c r="D2136" s="17" t="s">
        <v>32</v>
      </c>
      <c r="E2136" s="17" t="s">
        <v>20</v>
      </c>
      <c r="F2136" s="16" t="s">
        <v>6765</v>
      </c>
    </row>
    <row r="2137" spans="1:6" x14ac:dyDescent="0.25">
      <c r="A2137" s="16" t="s">
        <v>6766</v>
      </c>
      <c r="B2137" s="17" t="s">
        <v>6767</v>
      </c>
      <c r="C2137" s="17" t="s">
        <v>11</v>
      </c>
      <c r="D2137" s="17" t="s">
        <v>32</v>
      </c>
      <c r="E2137" s="17" t="s">
        <v>20</v>
      </c>
      <c r="F2137" s="16" t="s">
        <v>6768</v>
      </c>
    </row>
    <row r="2138" spans="1:6" x14ac:dyDescent="0.25">
      <c r="A2138" s="16" t="s">
        <v>6769</v>
      </c>
      <c r="B2138" s="17" t="s">
        <v>6770</v>
      </c>
      <c r="C2138" s="17" t="s">
        <v>11</v>
      </c>
      <c r="D2138" s="17" t="s">
        <v>182</v>
      </c>
      <c r="E2138" s="17" t="s">
        <v>20</v>
      </c>
      <c r="F2138" s="16" t="s">
        <v>6771</v>
      </c>
    </row>
    <row r="2139" spans="1:6" x14ac:dyDescent="0.25">
      <c r="A2139" s="16" t="s">
        <v>6772</v>
      </c>
      <c r="B2139" s="17" t="s">
        <v>6773</v>
      </c>
      <c r="C2139" s="17" t="s">
        <v>11</v>
      </c>
      <c r="D2139" s="17" t="s">
        <v>12</v>
      </c>
      <c r="E2139" s="17" t="s">
        <v>13</v>
      </c>
      <c r="F2139" s="16" t="s">
        <v>6774</v>
      </c>
    </row>
    <row r="2140" spans="1:6" x14ac:dyDescent="0.25">
      <c r="A2140" s="16" t="s">
        <v>6775</v>
      </c>
      <c r="B2140" s="17" t="s">
        <v>6776</v>
      </c>
      <c r="C2140" s="17" t="s">
        <v>11</v>
      </c>
      <c r="D2140" s="17" t="s">
        <v>74</v>
      </c>
      <c r="E2140" s="17" t="s">
        <v>20</v>
      </c>
      <c r="F2140" s="16" t="s">
        <v>6777</v>
      </c>
    </row>
    <row r="2141" spans="1:6" x14ac:dyDescent="0.25">
      <c r="A2141" s="16" t="s">
        <v>6778</v>
      </c>
      <c r="B2141" s="17" t="s">
        <v>6779</v>
      </c>
      <c r="C2141" s="17" t="s">
        <v>11</v>
      </c>
      <c r="D2141" s="17" t="s">
        <v>68</v>
      </c>
      <c r="E2141" s="17" t="s">
        <v>20</v>
      </c>
      <c r="F2141" s="16" t="s">
        <v>6780</v>
      </c>
    </row>
    <row r="2142" spans="1:6" x14ac:dyDescent="0.25">
      <c r="A2142" s="16" t="s">
        <v>6781</v>
      </c>
      <c r="B2142" s="17" t="s">
        <v>6782</v>
      </c>
      <c r="C2142" s="17" t="s">
        <v>11</v>
      </c>
      <c r="D2142" s="17" t="s">
        <v>32</v>
      </c>
      <c r="E2142" s="17" t="s">
        <v>20</v>
      </c>
      <c r="F2142" s="16" t="s">
        <v>6783</v>
      </c>
    </row>
    <row r="2143" spans="1:6" x14ac:dyDescent="0.25">
      <c r="A2143" s="16" t="s">
        <v>6784</v>
      </c>
      <c r="B2143" s="17" t="s">
        <v>6785</v>
      </c>
      <c r="C2143" s="17" t="s">
        <v>11</v>
      </c>
      <c r="D2143" s="17" t="s">
        <v>83</v>
      </c>
      <c r="E2143" s="17" t="s">
        <v>20</v>
      </c>
      <c r="F2143" s="16" t="s">
        <v>6786</v>
      </c>
    </row>
    <row r="2144" spans="1:6" x14ac:dyDescent="0.25">
      <c r="A2144" s="16" t="s">
        <v>6787</v>
      </c>
      <c r="B2144" s="17" t="s">
        <v>6788</v>
      </c>
      <c r="C2144" s="17" t="s">
        <v>11</v>
      </c>
      <c r="D2144" s="17" t="s">
        <v>32</v>
      </c>
      <c r="E2144" s="17" t="s">
        <v>20</v>
      </c>
      <c r="F2144" s="16" t="s">
        <v>6789</v>
      </c>
    </row>
    <row r="2145" spans="1:6" x14ac:dyDescent="0.25">
      <c r="A2145" s="16" t="s">
        <v>6790</v>
      </c>
      <c r="B2145" s="17" t="s">
        <v>6791</v>
      </c>
      <c r="C2145" s="17" t="s">
        <v>11</v>
      </c>
      <c r="D2145" s="17" t="s">
        <v>32</v>
      </c>
      <c r="E2145" s="17" t="s">
        <v>20</v>
      </c>
      <c r="F2145" s="16" t="s">
        <v>6792</v>
      </c>
    </row>
    <row r="2146" spans="1:6" x14ac:dyDescent="0.25">
      <c r="A2146" s="16" t="s">
        <v>6793</v>
      </c>
      <c r="B2146" s="17" t="s">
        <v>6794</v>
      </c>
      <c r="C2146" s="17" t="s">
        <v>11</v>
      </c>
      <c r="D2146" s="17" t="s">
        <v>83</v>
      </c>
      <c r="E2146" s="17" t="s">
        <v>20</v>
      </c>
      <c r="F2146" s="16" t="s">
        <v>6795</v>
      </c>
    </row>
    <row r="2147" spans="1:6" x14ac:dyDescent="0.25">
      <c r="A2147" s="16" t="s">
        <v>6796</v>
      </c>
      <c r="B2147" s="17" t="s">
        <v>6797</v>
      </c>
      <c r="C2147" s="17" t="s">
        <v>11</v>
      </c>
      <c r="D2147" s="17" t="s">
        <v>32</v>
      </c>
      <c r="E2147" s="17" t="s">
        <v>20</v>
      </c>
      <c r="F2147" s="16" t="s">
        <v>6798</v>
      </c>
    </row>
    <row r="2148" spans="1:6" x14ac:dyDescent="0.25">
      <c r="A2148" s="16" t="s">
        <v>6799</v>
      </c>
      <c r="B2148" s="17" t="s">
        <v>6800</v>
      </c>
      <c r="C2148" s="17" t="s">
        <v>11</v>
      </c>
      <c r="D2148" s="17" t="s">
        <v>32</v>
      </c>
      <c r="E2148" s="17" t="s">
        <v>20</v>
      </c>
      <c r="F2148" s="16" t="s">
        <v>6801</v>
      </c>
    </row>
    <row r="2149" spans="1:6" x14ac:dyDescent="0.25">
      <c r="A2149" s="16" t="s">
        <v>6802</v>
      </c>
      <c r="B2149" s="17" t="s">
        <v>6803</v>
      </c>
      <c r="C2149" s="17" t="s">
        <v>1235</v>
      </c>
      <c r="D2149" s="17" t="s">
        <v>6804</v>
      </c>
      <c r="E2149" s="17" t="s">
        <v>1237</v>
      </c>
      <c r="F2149" s="16" t="s">
        <v>6805</v>
      </c>
    </row>
    <row r="2150" spans="1:6" x14ac:dyDescent="0.25">
      <c r="A2150" s="16" t="s">
        <v>6806</v>
      </c>
      <c r="B2150" s="17" t="s">
        <v>6807</v>
      </c>
      <c r="C2150" s="17" t="s">
        <v>11</v>
      </c>
      <c r="D2150" s="17" t="s">
        <v>148</v>
      </c>
      <c r="E2150" s="17" t="s">
        <v>20</v>
      </c>
      <c r="F2150" s="16" t="s">
        <v>6808</v>
      </c>
    </row>
    <row r="2151" spans="1:6" x14ac:dyDescent="0.25">
      <c r="A2151" s="16" t="s">
        <v>6809</v>
      </c>
      <c r="B2151" s="17" t="s">
        <v>6810</v>
      </c>
      <c r="C2151" s="17" t="s">
        <v>11</v>
      </c>
      <c r="D2151" s="17" t="s">
        <v>32</v>
      </c>
      <c r="E2151" s="17" t="s">
        <v>20</v>
      </c>
      <c r="F2151" s="16" t="s">
        <v>6811</v>
      </c>
    </row>
    <row r="2152" spans="1:6" x14ac:dyDescent="0.25">
      <c r="A2152" s="16" t="s">
        <v>6812</v>
      </c>
      <c r="B2152" s="17" t="s">
        <v>6813</v>
      </c>
      <c r="C2152" s="17" t="s">
        <v>11</v>
      </c>
      <c r="D2152" s="17" t="s">
        <v>32</v>
      </c>
      <c r="E2152" s="17" t="s">
        <v>20</v>
      </c>
      <c r="F2152" s="16" t="s">
        <v>6814</v>
      </c>
    </row>
    <row r="2153" spans="1:6" x14ac:dyDescent="0.25">
      <c r="A2153" s="16" t="s">
        <v>6815</v>
      </c>
      <c r="B2153" s="17" t="s">
        <v>6816</v>
      </c>
      <c r="C2153" s="17" t="s">
        <v>11</v>
      </c>
      <c r="D2153" s="17" t="s">
        <v>32</v>
      </c>
      <c r="E2153" s="17" t="s">
        <v>20</v>
      </c>
      <c r="F2153" s="16" t="s">
        <v>6817</v>
      </c>
    </row>
    <row r="2154" spans="1:6" x14ac:dyDescent="0.25">
      <c r="A2154" s="16" t="s">
        <v>6818</v>
      </c>
      <c r="B2154" s="17" t="s">
        <v>6819</v>
      </c>
      <c r="C2154" s="17" t="s">
        <v>11</v>
      </c>
      <c r="D2154" s="17" t="s">
        <v>12</v>
      </c>
      <c r="E2154" s="17" t="s">
        <v>13</v>
      </c>
      <c r="F2154" s="16" t="s">
        <v>6820</v>
      </c>
    </row>
    <row r="2155" spans="1:6" x14ac:dyDescent="0.25">
      <c r="A2155" s="16" t="s">
        <v>6821</v>
      </c>
      <c r="B2155" s="17" t="s">
        <v>6822</v>
      </c>
      <c r="C2155" s="17" t="s">
        <v>11</v>
      </c>
      <c r="D2155" s="17" t="s">
        <v>12</v>
      </c>
      <c r="E2155" s="17" t="s">
        <v>13</v>
      </c>
      <c r="F2155" s="16" t="s">
        <v>6823</v>
      </c>
    </row>
    <row r="2156" spans="1:6" x14ac:dyDescent="0.25">
      <c r="A2156" s="16" t="s">
        <v>6824</v>
      </c>
      <c r="B2156" s="17" t="s">
        <v>6825</v>
      </c>
      <c r="C2156" s="17" t="s">
        <v>11</v>
      </c>
      <c r="D2156" s="17" t="s">
        <v>12</v>
      </c>
      <c r="E2156" s="17" t="s">
        <v>13</v>
      </c>
      <c r="F2156" s="16" t="s">
        <v>6826</v>
      </c>
    </row>
    <row r="2157" spans="1:6" x14ac:dyDescent="0.25">
      <c r="A2157" s="16" t="s">
        <v>6827</v>
      </c>
      <c r="B2157" s="17" t="s">
        <v>6828</v>
      </c>
      <c r="C2157" s="17" t="s">
        <v>11</v>
      </c>
      <c r="D2157" s="17" t="s">
        <v>32</v>
      </c>
      <c r="E2157" s="17" t="s">
        <v>20</v>
      </c>
      <c r="F2157" s="16" t="s">
        <v>6829</v>
      </c>
    </row>
    <row r="2158" spans="1:6" x14ac:dyDescent="0.25">
      <c r="A2158" s="16" t="s">
        <v>6830</v>
      </c>
      <c r="B2158" s="17" t="s">
        <v>6831</v>
      </c>
      <c r="C2158" s="17" t="s">
        <v>11</v>
      </c>
      <c r="D2158" s="17" t="s">
        <v>83</v>
      </c>
      <c r="E2158" s="17" t="s">
        <v>20</v>
      </c>
      <c r="F2158" s="16" t="s">
        <v>6832</v>
      </c>
    </row>
    <row r="2159" spans="1:6" x14ac:dyDescent="0.25">
      <c r="A2159" s="16" t="s">
        <v>6833</v>
      </c>
      <c r="B2159" s="17" t="s">
        <v>6834</v>
      </c>
      <c r="C2159" s="17" t="s">
        <v>11</v>
      </c>
      <c r="D2159" s="17" t="s">
        <v>32</v>
      </c>
      <c r="E2159" s="17" t="s">
        <v>20</v>
      </c>
      <c r="F2159" s="16" t="s">
        <v>6835</v>
      </c>
    </row>
    <row r="2160" spans="1:6" x14ac:dyDescent="0.25">
      <c r="A2160" s="16" t="s">
        <v>6836</v>
      </c>
      <c r="B2160" s="17" t="s">
        <v>6837</v>
      </c>
      <c r="C2160" s="17" t="s">
        <v>11</v>
      </c>
      <c r="D2160" s="17" t="s">
        <v>12</v>
      </c>
      <c r="E2160" s="17" t="s">
        <v>13</v>
      </c>
      <c r="F2160" s="16" t="s">
        <v>6838</v>
      </c>
    </row>
    <row r="2161" spans="1:6" x14ac:dyDescent="0.25">
      <c r="A2161" s="16" t="s">
        <v>6839</v>
      </c>
      <c r="B2161" s="17" t="s">
        <v>6840</v>
      </c>
      <c r="C2161" s="17" t="s">
        <v>11</v>
      </c>
      <c r="D2161" s="17" t="s">
        <v>80</v>
      </c>
      <c r="E2161" s="17" t="s">
        <v>20</v>
      </c>
      <c r="F2161" s="16" t="s">
        <v>6841</v>
      </c>
    </row>
    <row r="2162" spans="1:6" x14ac:dyDescent="0.25">
      <c r="A2162" s="16" t="s">
        <v>6842</v>
      </c>
      <c r="B2162" s="17" t="s">
        <v>6843</v>
      </c>
      <c r="C2162" s="17" t="s">
        <v>11</v>
      </c>
      <c r="D2162" s="17" t="s">
        <v>12</v>
      </c>
      <c r="E2162" s="17" t="s">
        <v>13</v>
      </c>
      <c r="F2162" s="16" t="s">
        <v>6844</v>
      </c>
    </row>
    <row r="2163" spans="1:6" x14ac:dyDescent="0.25">
      <c r="A2163" s="16" t="s">
        <v>6845</v>
      </c>
      <c r="B2163" s="17" t="s">
        <v>6846</v>
      </c>
      <c r="C2163" s="17" t="s">
        <v>11</v>
      </c>
      <c r="D2163" s="17" t="s">
        <v>12</v>
      </c>
      <c r="E2163" s="17" t="s">
        <v>13</v>
      </c>
      <c r="F2163" s="16" t="s">
        <v>6847</v>
      </c>
    </row>
    <row r="2164" spans="1:6" x14ac:dyDescent="0.25">
      <c r="A2164" s="16" t="s">
        <v>6848</v>
      </c>
      <c r="B2164" s="17" t="s">
        <v>6849</v>
      </c>
      <c r="C2164" s="17" t="s">
        <v>11</v>
      </c>
      <c r="D2164" s="17" t="s">
        <v>12</v>
      </c>
      <c r="E2164" s="17" t="s">
        <v>13</v>
      </c>
      <c r="F2164" s="16" t="s">
        <v>6850</v>
      </c>
    </row>
    <row r="2165" spans="1:6" x14ac:dyDescent="0.25">
      <c r="A2165" s="16" t="s">
        <v>6851</v>
      </c>
      <c r="B2165" s="17" t="s">
        <v>6852</v>
      </c>
      <c r="C2165" s="17" t="s">
        <v>11</v>
      </c>
      <c r="D2165" s="17" t="s">
        <v>12</v>
      </c>
      <c r="E2165" s="17" t="s">
        <v>13</v>
      </c>
      <c r="F2165" s="16" t="s">
        <v>6853</v>
      </c>
    </row>
    <row r="2166" spans="1:6" x14ac:dyDescent="0.25">
      <c r="A2166" s="16" t="s">
        <v>6854</v>
      </c>
      <c r="B2166" s="17" t="s">
        <v>6855</v>
      </c>
      <c r="C2166" s="17" t="s">
        <v>11</v>
      </c>
      <c r="D2166" s="17" t="s">
        <v>32</v>
      </c>
      <c r="E2166" s="17" t="s">
        <v>20</v>
      </c>
      <c r="F2166" s="16" t="s">
        <v>6856</v>
      </c>
    </row>
    <row r="2167" spans="1:6" x14ac:dyDescent="0.25">
      <c r="A2167" s="16" t="s">
        <v>6857</v>
      </c>
      <c r="B2167" s="17" t="s">
        <v>6858</v>
      </c>
      <c r="C2167" s="17" t="s">
        <v>11</v>
      </c>
      <c r="D2167" s="17" t="s">
        <v>12</v>
      </c>
      <c r="E2167" s="17" t="s">
        <v>13</v>
      </c>
      <c r="F2167" s="16" t="s">
        <v>6859</v>
      </c>
    </row>
    <row r="2168" spans="1:6" x14ac:dyDescent="0.25">
      <c r="A2168" s="16" t="s">
        <v>6860</v>
      </c>
      <c r="B2168" s="17" t="s">
        <v>6861</v>
      </c>
      <c r="C2168" s="17" t="s">
        <v>11</v>
      </c>
      <c r="D2168" s="17" t="s">
        <v>59</v>
      </c>
      <c r="E2168" s="17" t="s">
        <v>13</v>
      </c>
      <c r="F2168" s="16" t="s">
        <v>6862</v>
      </c>
    </row>
    <row r="2169" spans="1:6" x14ac:dyDescent="0.25">
      <c r="A2169" s="16" t="s">
        <v>6863</v>
      </c>
      <c r="B2169" s="17" t="s">
        <v>6864</v>
      </c>
      <c r="C2169" s="17" t="s">
        <v>11</v>
      </c>
      <c r="D2169" s="17" t="s">
        <v>32</v>
      </c>
      <c r="E2169" s="17" t="s">
        <v>20</v>
      </c>
      <c r="F2169" s="16" t="s">
        <v>6865</v>
      </c>
    </row>
    <row r="2170" spans="1:6" x14ac:dyDescent="0.25">
      <c r="A2170" s="16" t="s">
        <v>6866</v>
      </c>
      <c r="B2170" s="17" t="s">
        <v>6867</v>
      </c>
      <c r="C2170" s="17" t="s">
        <v>11</v>
      </c>
      <c r="D2170" s="17" t="s">
        <v>12</v>
      </c>
      <c r="E2170" s="17" t="s">
        <v>13</v>
      </c>
      <c r="F2170" s="16" t="s">
        <v>6868</v>
      </c>
    </row>
    <row r="2171" spans="1:6" x14ac:dyDescent="0.25">
      <c r="A2171" s="16" t="s">
        <v>6869</v>
      </c>
      <c r="B2171" s="17" t="s">
        <v>6870</v>
      </c>
      <c r="C2171" s="17" t="s">
        <v>11</v>
      </c>
      <c r="D2171" s="17" t="s">
        <v>250</v>
      </c>
      <c r="E2171" s="17" t="s">
        <v>20</v>
      </c>
      <c r="F2171" s="16" t="s">
        <v>6871</v>
      </c>
    </row>
    <row r="2172" spans="1:6" x14ac:dyDescent="0.25">
      <c r="A2172" s="16" t="s">
        <v>6872</v>
      </c>
      <c r="B2172" s="17" t="s">
        <v>6873</v>
      </c>
      <c r="C2172" s="17" t="s">
        <v>11</v>
      </c>
      <c r="D2172" s="17" t="s">
        <v>59</v>
      </c>
      <c r="E2172" s="17" t="s">
        <v>13</v>
      </c>
      <c r="F2172" s="16" t="s">
        <v>6874</v>
      </c>
    </row>
    <row r="2173" spans="1:6" x14ac:dyDescent="0.25">
      <c r="A2173" s="16" t="s">
        <v>6875</v>
      </c>
      <c r="B2173" s="17" t="s">
        <v>6876</v>
      </c>
      <c r="C2173" s="17" t="s">
        <v>11</v>
      </c>
      <c r="D2173" s="17" t="s">
        <v>12</v>
      </c>
      <c r="E2173" s="17" t="s">
        <v>13</v>
      </c>
      <c r="F2173" s="16" t="s">
        <v>6877</v>
      </c>
    </row>
    <row r="2174" spans="1:6" x14ac:dyDescent="0.25">
      <c r="A2174" s="16" t="s">
        <v>6878</v>
      </c>
      <c r="B2174" s="17" t="s">
        <v>6879</v>
      </c>
      <c r="C2174" s="17" t="s">
        <v>11</v>
      </c>
      <c r="D2174" s="17" t="s">
        <v>12</v>
      </c>
      <c r="E2174" s="17" t="s">
        <v>13</v>
      </c>
      <c r="F2174" s="16" t="s">
        <v>6880</v>
      </c>
    </row>
    <row r="2175" spans="1:6" x14ac:dyDescent="0.25">
      <c r="A2175" s="16" t="s">
        <v>6881</v>
      </c>
      <c r="B2175" s="17" t="s">
        <v>6882</v>
      </c>
      <c r="C2175" s="17" t="s">
        <v>11</v>
      </c>
      <c r="D2175" s="17" t="s">
        <v>12</v>
      </c>
      <c r="E2175" s="17" t="s">
        <v>13</v>
      </c>
      <c r="F2175" s="16" t="s">
        <v>6883</v>
      </c>
    </row>
    <row r="2176" spans="1:6" x14ac:dyDescent="0.25">
      <c r="A2176" s="16" t="s">
        <v>6884</v>
      </c>
      <c r="B2176" s="17" t="s">
        <v>6885</v>
      </c>
      <c r="C2176" s="17" t="s">
        <v>11</v>
      </c>
      <c r="D2176" s="17" t="s">
        <v>12</v>
      </c>
      <c r="E2176" s="17" t="s">
        <v>13</v>
      </c>
      <c r="F2176" s="16" t="s">
        <v>6886</v>
      </c>
    </row>
    <row r="2177" spans="1:6" x14ac:dyDescent="0.25">
      <c r="A2177" s="16" t="s">
        <v>6887</v>
      </c>
      <c r="B2177" s="17" t="s">
        <v>6888</v>
      </c>
      <c r="C2177" s="17" t="s">
        <v>11</v>
      </c>
      <c r="D2177" s="17" t="s">
        <v>12</v>
      </c>
      <c r="E2177" s="17" t="s">
        <v>13</v>
      </c>
      <c r="F2177" s="16" t="s">
        <v>6889</v>
      </c>
    </row>
    <row r="2178" spans="1:6" x14ac:dyDescent="0.25">
      <c r="A2178" s="16" t="s">
        <v>6890</v>
      </c>
      <c r="B2178" s="17" t="s">
        <v>6891</v>
      </c>
      <c r="C2178" s="17" t="s">
        <v>11</v>
      </c>
      <c r="D2178" s="17" t="s">
        <v>32</v>
      </c>
      <c r="E2178" s="17" t="s">
        <v>20</v>
      </c>
      <c r="F2178" s="16" t="s">
        <v>6892</v>
      </c>
    </row>
    <row r="2179" spans="1:6" x14ac:dyDescent="0.25">
      <c r="A2179" s="16" t="s">
        <v>6893</v>
      </c>
      <c r="B2179" s="17" t="s">
        <v>6894</v>
      </c>
      <c r="C2179" s="17" t="s">
        <v>11</v>
      </c>
      <c r="D2179" s="17" t="s">
        <v>1402</v>
      </c>
      <c r="E2179" s="17" t="s">
        <v>13</v>
      </c>
      <c r="F2179" s="16" t="s">
        <v>6895</v>
      </c>
    </row>
    <row r="2180" spans="1:6" x14ac:dyDescent="0.25">
      <c r="A2180" s="16" t="s">
        <v>6896</v>
      </c>
      <c r="B2180" s="17" t="s">
        <v>6897</v>
      </c>
      <c r="C2180" s="17" t="s">
        <v>11</v>
      </c>
      <c r="D2180" s="17" t="s">
        <v>12</v>
      </c>
      <c r="E2180" s="17" t="s">
        <v>13</v>
      </c>
      <c r="F2180" s="16" t="s">
        <v>6898</v>
      </c>
    </row>
    <row r="2181" spans="1:6" x14ac:dyDescent="0.25">
      <c r="A2181" s="16" t="s">
        <v>6899</v>
      </c>
      <c r="B2181" s="17" t="s">
        <v>6900</v>
      </c>
      <c r="C2181" s="17" t="s">
        <v>11</v>
      </c>
      <c r="D2181" s="17" t="s">
        <v>32</v>
      </c>
      <c r="E2181" s="17" t="s">
        <v>20</v>
      </c>
      <c r="F2181" s="16" t="s">
        <v>6901</v>
      </c>
    </row>
    <row r="2182" spans="1:6" x14ac:dyDescent="0.25">
      <c r="A2182" s="16" t="s">
        <v>6902</v>
      </c>
      <c r="B2182" s="17" t="s">
        <v>6903</v>
      </c>
      <c r="C2182" s="17" t="s">
        <v>11</v>
      </c>
      <c r="D2182" s="17" t="s">
        <v>12</v>
      </c>
      <c r="E2182" s="17" t="s">
        <v>13</v>
      </c>
      <c r="F2182" s="16" t="s">
        <v>6904</v>
      </c>
    </row>
    <row r="2183" spans="1:6" x14ac:dyDescent="0.25">
      <c r="A2183" s="16" t="s">
        <v>6905</v>
      </c>
      <c r="B2183" s="17" t="s">
        <v>6906</v>
      </c>
      <c r="C2183" s="17" t="s">
        <v>11</v>
      </c>
      <c r="D2183" s="17" t="s">
        <v>12</v>
      </c>
      <c r="E2183" s="17" t="s">
        <v>13</v>
      </c>
      <c r="F2183" s="16" t="s">
        <v>6907</v>
      </c>
    </row>
    <row r="2184" spans="1:6" x14ac:dyDescent="0.25">
      <c r="A2184" s="16" t="s">
        <v>6908</v>
      </c>
      <c r="B2184" s="17" t="s">
        <v>6909</v>
      </c>
      <c r="C2184" s="17" t="s">
        <v>11</v>
      </c>
      <c r="D2184" s="17" t="s">
        <v>12</v>
      </c>
      <c r="E2184" s="17" t="s">
        <v>13</v>
      </c>
      <c r="F2184" s="16" t="s">
        <v>6910</v>
      </c>
    </row>
    <row r="2185" spans="1:6" x14ac:dyDescent="0.25">
      <c r="A2185" s="16" t="s">
        <v>6911</v>
      </c>
      <c r="B2185" s="17" t="s">
        <v>6912</v>
      </c>
      <c r="C2185" s="17" t="s">
        <v>11</v>
      </c>
      <c r="D2185" s="17" t="s">
        <v>59</v>
      </c>
      <c r="E2185" s="17" t="s">
        <v>13</v>
      </c>
      <c r="F2185" s="16" t="s">
        <v>6913</v>
      </c>
    </row>
    <row r="2186" spans="1:6" x14ac:dyDescent="0.25">
      <c r="A2186" s="16" t="s">
        <v>6914</v>
      </c>
      <c r="B2186" s="17" t="s">
        <v>6915</v>
      </c>
      <c r="C2186" s="17" t="s">
        <v>11</v>
      </c>
      <c r="D2186" s="17" t="s">
        <v>12</v>
      </c>
      <c r="E2186" s="17" t="s">
        <v>13</v>
      </c>
      <c r="F2186" s="16" t="s">
        <v>6916</v>
      </c>
    </row>
    <row r="2187" spans="1:6" x14ac:dyDescent="0.25">
      <c r="A2187" s="16" t="s">
        <v>6917</v>
      </c>
      <c r="B2187" s="17" t="s">
        <v>6918</v>
      </c>
      <c r="C2187" s="17" t="s">
        <v>11</v>
      </c>
      <c r="D2187" s="17" t="s">
        <v>26</v>
      </c>
      <c r="E2187" s="17" t="s">
        <v>20</v>
      </c>
      <c r="F2187" s="16" t="s">
        <v>6919</v>
      </c>
    </row>
    <row r="2188" spans="1:6" x14ac:dyDescent="0.25">
      <c r="A2188" s="16" t="s">
        <v>6920</v>
      </c>
      <c r="B2188" s="17" t="s">
        <v>6921</v>
      </c>
      <c r="C2188" s="17" t="s">
        <v>11</v>
      </c>
      <c r="D2188" s="17" t="s">
        <v>12</v>
      </c>
      <c r="E2188" s="17" t="s">
        <v>13</v>
      </c>
      <c r="F2188" s="16" t="s">
        <v>6922</v>
      </c>
    </row>
    <row r="2189" spans="1:6" x14ac:dyDescent="0.25">
      <c r="A2189" s="16" t="s">
        <v>6923</v>
      </c>
      <c r="B2189" s="17" t="s">
        <v>6924</v>
      </c>
      <c r="C2189" s="17" t="s">
        <v>11</v>
      </c>
      <c r="D2189" s="17" t="s">
        <v>59</v>
      </c>
      <c r="E2189" s="17" t="s">
        <v>13</v>
      </c>
      <c r="F2189" s="16" t="s">
        <v>6925</v>
      </c>
    </row>
    <row r="2190" spans="1:6" x14ac:dyDescent="0.25">
      <c r="A2190" s="16" t="s">
        <v>6926</v>
      </c>
      <c r="B2190" s="17" t="s">
        <v>6927</v>
      </c>
      <c r="C2190" s="17" t="s">
        <v>214</v>
      </c>
      <c r="D2190" s="17" t="s">
        <v>68</v>
      </c>
      <c r="E2190" s="17" t="s">
        <v>20</v>
      </c>
      <c r="F2190" s="16" t="s">
        <v>6928</v>
      </c>
    </row>
    <row r="2191" spans="1:6" x14ac:dyDescent="0.25">
      <c r="A2191" s="16" t="s">
        <v>6929</v>
      </c>
      <c r="B2191" s="17" t="s">
        <v>6930</v>
      </c>
      <c r="C2191" s="17" t="s">
        <v>11</v>
      </c>
      <c r="D2191" s="17" t="s">
        <v>12</v>
      </c>
      <c r="E2191" s="17" t="s">
        <v>13</v>
      </c>
      <c r="F2191" s="16" t="s">
        <v>6931</v>
      </c>
    </row>
    <row r="2192" spans="1:6" x14ac:dyDescent="0.25">
      <c r="A2192" s="16" t="s">
        <v>6932</v>
      </c>
      <c r="B2192" s="17" t="s">
        <v>6933</v>
      </c>
      <c r="C2192" s="17" t="s">
        <v>11</v>
      </c>
      <c r="D2192" s="17" t="s">
        <v>12</v>
      </c>
      <c r="E2192" s="17" t="s">
        <v>13</v>
      </c>
      <c r="F2192" s="16" t="s">
        <v>6934</v>
      </c>
    </row>
    <row r="2193" spans="1:6" x14ac:dyDescent="0.25">
      <c r="A2193" s="16" t="s">
        <v>6935</v>
      </c>
      <c r="B2193" s="17" t="s">
        <v>6936</v>
      </c>
      <c r="C2193" s="17" t="s">
        <v>11</v>
      </c>
      <c r="D2193" s="17" t="s">
        <v>89</v>
      </c>
      <c r="E2193" s="17" t="s">
        <v>20</v>
      </c>
      <c r="F2193" s="16" t="s">
        <v>6937</v>
      </c>
    </row>
    <row r="2194" spans="1:6" x14ac:dyDescent="0.25">
      <c r="A2194" s="16" t="s">
        <v>6938</v>
      </c>
      <c r="B2194" s="17" t="s">
        <v>6939</v>
      </c>
      <c r="C2194" s="17" t="s">
        <v>11</v>
      </c>
      <c r="D2194" s="17" t="s">
        <v>12</v>
      </c>
      <c r="E2194" s="17" t="s">
        <v>13</v>
      </c>
      <c r="F2194" s="16" t="s">
        <v>6940</v>
      </c>
    </row>
    <row r="2195" spans="1:6" x14ac:dyDescent="0.25">
      <c r="A2195" s="16" t="s">
        <v>6941</v>
      </c>
      <c r="B2195" s="17" t="s">
        <v>6942</v>
      </c>
      <c r="C2195" s="17" t="s">
        <v>11</v>
      </c>
      <c r="D2195" s="17" t="s">
        <v>12</v>
      </c>
      <c r="E2195" s="17" t="s">
        <v>13</v>
      </c>
      <c r="F2195" s="16" t="s">
        <v>6943</v>
      </c>
    </row>
    <row r="2196" spans="1:6" x14ac:dyDescent="0.25">
      <c r="A2196" s="16" t="s">
        <v>6944</v>
      </c>
      <c r="B2196" s="17" t="s">
        <v>6945</v>
      </c>
      <c r="C2196" s="17" t="s">
        <v>11</v>
      </c>
      <c r="D2196" s="17" t="s">
        <v>12</v>
      </c>
      <c r="E2196" s="17" t="s">
        <v>13</v>
      </c>
      <c r="F2196" s="16" t="s">
        <v>6946</v>
      </c>
    </row>
    <row r="2197" spans="1:6" x14ac:dyDescent="0.25">
      <c r="A2197" s="16" t="s">
        <v>6947</v>
      </c>
      <c r="B2197" s="17" t="s">
        <v>6948</v>
      </c>
      <c r="C2197" s="17" t="s">
        <v>11</v>
      </c>
      <c r="D2197" s="17" t="s">
        <v>32</v>
      </c>
      <c r="E2197" s="17" t="s">
        <v>20</v>
      </c>
      <c r="F2197" s="16" t="s">
        <v>6949</v>
      </c>
    </row>
    <row r="2198" spans="1:6" x14ac:dyDescent="0.25">
      <c r="A2198" s="16" t="s">
        <v>6950</v>
      </c>
      <c r="B2198" s="17" t="s">
        <v>6951</v>
      </c>
      <c r="C2198" s="17" t="s">
        <v>11</v>
      </c>
      <c r="D2198" s="17" t="s">
        <v>649</v>
      </c>
      <c r="E2198" s="17" t="s">
        <v>20</v>
      </c>
      <c r="F2198" s="16" t="s">
        <v>6952</v>
      </c>
    </row>
    <row r="2199" spans="1:6" x14ac:dyDescent="0.25">
      <c r="A2199" s="16" t="s">
        <v>6953</v>
      </c>
      <c r="B2199" s="17" t="s">
        <v>6954</v>
      </c>
      <c r="C2199" s="17" t="s">
        <v>11</v>
      </c>
      <c r="D2199" s="17" t="s">
        <v>12</v>
      </c>
      <c r="E2199" s="17" t="s">
        <v>13</v>
      </c>
      <c r="F2199" s="16" t="s">
        <v>6955</v>
      </c>
    </row>
    <row r="2200" spans="1:6" x14ac:dyDescent="0.25">
      <c r="A2200" s="16" t="s">
        <v>6956</v>
      </c>
      <c r="B2200" s="17" t="s">
        <v>6957</v>
      </c>
      <c r="C2200" s="17" t="s">
        <v>11</v>
      </c>
      <c r="D2200" s="17" t="s">
        <v>291</v>
      </c>
      <c r="E2200" s="17" t="s">
        <v>20</v>
      </c>
      <c r="F2200" s="16" t="s">
        <v>6958</v>
      </c>
    </row>
    <row r="2201" spans="1:6" x14ac:dyDescent="0.25">
      <c r="A2201" s="16" t="s">
        <v>6959</v>
      </c>
      <c r="B2201" s="17" t="s">
        <v>6960</v>
      </c>
      <c r="C2201" s="17" t="s">
        <v>11</v>
      </c>
      <c r="D2201" s="17" t="s">
        <v>83</v>
      </c>
      <c r="E2201" s="17" t="s">
        <v>20</v>
      </c>
      <c r="F2201" s="16" t="s">
        <v>6961</v>
      </c>
    </row>
    <row r="2202" spans="1:6" x14ac:dyDescent="0.25">
      <c r="A2202" s="16" t="s">
        <v>6962</v>
      </c>
      <c r="B2202" s="17" t="s">
        <v>6963</v>
      </c>
      <c r="C2202" s="17" t="s">
        <v>11</v>
      </c>
      <c r="D2202" s="17" t="s">
        <v>12</v>
      </c>
      <c r="E2202" s="17" t="s">
        <v>13</v>
      </c>
      <c r="F2202" s="16" t="s">
        <v>6964</v>
      </c>
    </row>
    <row r="2203" spans="1:6" x14ac:dyDescent="0.25">
      <c r="A2203" s="16" t="s">
        <v>6965</v>
      </c>
      <c r="B2203" s="17" t="s">
        <v>6966</v>
      </c>
      <c r="C2203" s="17" t="s">
        <v>11</v>
      </c>
      <c r="D2203" s="17" t="s">
        <v>250</v>
      </c>
      <c r="E2203" s="17" t="s">
        <v>20</v>
      </c>
      <c r="F2203" s="16" t="s">
        <v>6967</v>
      </c>
    </row>
    <row r="2204" spans="1:6" x14ac:dyDescent="0.25">
      <c r="A2204" s="16" t="s">
        <v>6968</v>
      </c>
      <c r="B2204" s="17" t="s">
        <v>6969</v>
      </c>
      <c r="C2204" s="17" t="s">
        <v>11</v>
      </c>
      <c r="D2204" s="17" t="s">
        <v>12</v>
      </c>
      <c r="E2204" s="17" t="s">
        <v>13</v>
      </c>
      <c r="F2204" s="16" t="s">
        <v>6970</v>
      </c>
    </row>
    <row r="2205" spans="1:6" x14ac:dyDescent="0.25">
      <c r="A2205" s="16" t="s">
        <v>6971</v>
      </c>
      <c r="B2205" s="17" t="s">
        <v>6972</v>
      </c>
      <c r="C2205" s="17" t="s">
        <v>11</v>
      </c>
      <c r="D2205" s="17" t="s">
        <v>83</v>
      </c>
      <c r="E2205" s="17" t="s">
        <v>20</v>
      </c>
      <c r="F2205" s="16" t="s">
        <v>6973</v>
      </c>
    </row>
    <row r="2206" spans="1:6" x14ac:dyDescent="0.25">
      <c r="A2206" s="16" t="s">
        <v>6974</v>
      </c>
      <c r="B2206" s="17" t="s">
        <v>6975</v>
      </c>
      <c r="C2206" s="17" t="s">
        <v>11</v>
      </c>
      <c r="D2206" s="17" t="s">
        <v>12</v>
      </c>
      <c r="E2206" s="17" t="s">
        <v>13</v>
      </c>
      <c r="F2206" s="16" t="s">
        <v>6976</v>
      </c>
    </row>
    <row r="2207" spans="1:6" x14ac:dyDescent="0.25">
      <c r="A2207" s="16" t="s">
        <v>6977</v>
      </c>
      <c r="B2207" s="17" t="s">
        <v>6978</v>
      </c>
      <c r="C2207" s="17" t="s">
        <v>11</v>
      </c>
      <c r="D2207" s="17" t="s">
        <v>12</v>
      </c>
      <c r="E2207" s="17" t="s">
        <v>13</v>
      </c>
      <c r="F2207" s="16" t="s">
        <v>6979</v>
      </c>
    </row>
    <row r="2208" spans="1:6" x14ac:dyDescent="0.25">
      <c r="A2208" s="16" t="s">
        <v>6980</v>
      </c>
      <c r="B2208" s="17" t="s">
        <v>6981</v>
      </c>
      <c r="C2208" s="17" t="s">
        <v>11</v>
      </c>
      <c r="D2208" s="17" t="s">
        <v>83</v>
      </c>
      <c r="E2208" s="17" t="s">
        <v>20</v>
      </c>
      <c r="F2208" s="16" t="s">
        <v>6982</v>
      </c>
    </row>
    <row r="2209" spans="1:6" x14ac:dyDescent="0.25">
      <c r="A2209" s="16" t="s">
        <v>6983</v>
      </c>
      <c r="B2209" s="17" t="s">
        <v>6984</v>
      </c>
      <c r="C2209" s="17" t="s">
        <v>11</v>
      </c>
      <c r="D2209" s="17" t="s">
        <v>12</v>
      </c>
      <c r="E2209" s="17" t="s">
        <v>13</v>
      </c>
      <c r="F2209" s="16" t="s">
        <v>6985</v>
      </c>
    </row>
    <row r="2210" spans="1:6" x14ac:dyDescent="0.25">
      <c r="A2210" s="16" t="s">
        <v>6986</v>
      </c>
      <c r="B2210" s="17" t="s">
        <v>6987</v>
      </c>
      <c r="C2210" s="17" t="s">
        <v>11</v>
      </c>
      <c r="D2210" s="17" t="s">
        <v>12</v>
      </c>
      <c r="E2210" s="17" t="s">
        <v>13</v>
      </c>
      <c r="F2210" s="16" t="s">
        <v>6988</v>
      </c>
    </row>
    <row r="2211" spans="1:6" x14ac:dyDescent="0.25">
      <c r="A2211" s="16" t="s">
        <v>6989</v>
      </c>
      <c r="B2211" s="17" t="s">
        <v>6990</v>
      </c>
      <c r="C2211" s="17" t="s">
        <v>11</v>
      </c>
      <c r="D2211" s="17" t="s">
        <v>12</v>
      </c>
      <c r="E2211" s="17" t="s">
        <v>13</v>
      </c>
      <c r="F2211" s="16" t="s">
        <v>6991</v>
      </c>
    </row>
    <row r="2212" spans="1:6" x14ac:dyDescent="0.25">
      <c r="A2212" s="16" t="s">
        <v>6992</v>
      </c>
      <c r="B2212" s="17" t="s">
        <v>6993</v>
      </c>
      <c r="C2212" s="17" t="s">
        <v>11</v>
      </c>
      <c r="D2212" s="17" t="s">
        <v>12</v>
      </c>
      <c r="E2212" s="17" t="s">
        <v>13</v>
      </c>
      <c r="F2212" s="16" t="s">
        <v>6994</v>
      </c>
    </row>
    <row r="2213" spans="1:6" x14ac:dyDescent="0.25">
      <c r="A2213" s="16" t="s">
        <v>6995</v>
      </c>
      <c r="B2213" s="17" t="s">
        <v>6996</v>
      </c>
      <c r="C2213" s="17" t="s">
        <v>11</v>
      </c>
      <c r="D2213" s="17" t="s">
        <v>12</v>
      </c>
      <c r="E2213" s="17" t="s">
        <v>13</v>
      </c>
      <c r="F2213" s="16" t="s">
        <v>6997</v>
      </c>
    </row>
    <row r="2214" spans="1:6" x14ac:dyDescent="0.25">
      <c r="A2214" s="16" t="s">
        <v>6998</v>
      </c>
      <c r="B2214" s="17" t="s">
        <v>6999</v>
      </c>
      <c r="C2214" s="17" t="s">
        <v>11</v>
      </c>
      <c r="D2214" s="17" t="s">
        <v>12</v>
      </c>
      <c r="E2214" s="17" t="s">
        <v>13</v>
      </c>
      <c r="F2214" s="16" t="s">
        <v>7000</v>
      </c>
    </row>
    <row r="2215" spans="1:6" x14ac:dyDescent="0.25">
      <c r="A2215" s="16" t="s">
        <v>7001</v>
      </c>
      <c r="B2215" s="17" t="s">
        <v>7002</v>
      </c>
      <c r="C2215" s="17" t="s">
        <v>11</v>
      </c>
      <c r="D2215" s="17" t="s">
        <v>26</v>
      </c>
      <c r="E2215" s="17" t="s">
        <v>20</v>
      </c>
      <c r="F2215" s="16" t="s">
        <v>7003</v>
      </c>
    </row>
    <row r="2216" spans="1:6" x14ac:dyDescent="0.25">
      <c r="A2216" s="16" t="s">
        <v>7004</v>
      </c>
      <c r="B2216" s="17" t="s">
        <v>7005</v>
      </c>
      <c r="C2216" s="17" t="s">
        <v>11</v>
      </c>
      <c r="D2216" s="17" t="s">
        <v>12</v>
      </c>
      <c r="E2216" s="17" t="s">
        <v>13</v>
      </c>
      <c r="F2216" s="16" t="s">
        <v>7006</v>
      </c>
    </row>
    <row r="2217" spans="1:6" x14ac:dyDescent="0.25">
      <c r="A2217" s="16" t="s">
        <v>7007</v>
      </c>
      <c r="B2217" s="17" t="s">
        <v>7008</v>
      </c>
      <c r="C2217" s="17" t="s">
        <v>11</v>
      </c>
      <c r="D2217" s="17" t="s">
        <v>12</v>
      </c>
      <c r="E2217" s="17" t="s">
        <v>13</v>
      </c>
      <c r="F2217" s="16" t="s">
        <v>7009</v>
      </c>
    </row>
    <row r="2218" spans="1:6" x14ac:dyDescent="0.25">
      <c r="A2218" s="16" t="s">
        <v>7010</v>
      </c>
      <c r="B2218" s="17" t="s">
        <v>7011</v>
      </c>
      <c r="C2218" s="17" t="s">
        <v>11</v>
      </c>
      <c r="D2218" s="17" t="s">
        <v>12</v>
      </c>
      <c r="E2218" s="17" t="s">
        <v>13</v>
      </c>
      <c r="F2218" s="16" t="s">
        <v>7012</v>
      </c>
    </row>
    <row r="2219" spans="1:6" x14ac:dyDescent="0.25">
      <c r="A2219" s="16" t="s">
        <v>7013</v>
      </c>
      <c r="B2219" s="17" t="s">
        <v>7014</v>
      </c>
      <c r="C2219" s="17" t="s">
        <v>11</v>
      </c>
      <c r="D2219" s="17" t="s">
        <v>12</v>
      </c>
      <c r="E2219" s="17" t="s">
        <v>13</v>
      </c>
      <c r="F2219" s="16" t="s">
        <v>7015</v>
      </c>
    </row>
    <row r="2220" spans="1:6" x14ac:dyDescent="0.25">
      <c r="A2220" s="16" t="s">
        <v>7016</v>
      </c>
      <c r="B2220" s="17" t="s">
        <v>7017</v>
      </c>
      <c r="C2220" s="17" t="s">
        <v>11</v>
      </c>
      <c r="D2220" s="17" t="s">
        <v>12</v>
      </c>
      <c r="E2220" s="17" t="s">
        <v>13</v>
      </c>
      <c r="F2220" s="16" t="s">
        <v>7018</v>
      </c>
    </row>
    <row r="2221" spans="1:6" x14ac:dyDescent="0.25">
      <c r="A2221" s="16" t="s">
        <v>7019</v>
      </c>
      <c r="B2221" s="17" t="s">
        <v>7020</v>
      </c>
      <c r="C2221" s="17" t="s">
        <v>11</v>
      </c>
      <c r="D2221" s="17" t="s">
        <v>12</v>
      </c>
      <c r="E2221" s="17" t="s">
        <v>13</v>
      </c>
      <c r="F2221" s="16" t="s">
        <v>7021</v>
      </c>
    </row>
    <row r="2222" spans="1:6" x14ac:dyDescent="0.25">
      <c r="A2222" s="16" t="s">
        <v>7022</v>
      </c>
      <c r="B2222" s="17" t="s">
        <v>7023</v>
      </c>
      <c r="C2222" s="17" t="s">
        <v>11</v>
      </c>
      <c r="D2222" s="17" t="s">
        <v>12</v>
      </c>
      <c r="E2222" s="17" t="s">
        <v>13</v>
      </c>
      <c r="F2222" s="16" t="s">
        <v>7024</v>
      </c>
    </row>
    <row r="2223" spans="1:6" x14ac:dyDescent="0.25">
      <c r="A2223" s="16" t="s">
        <v>7025</v>
      </c>
      <c r="B2223" s="17" t="s">
        <v>7026</v>
      </c>
      <c r="C2223" s="17" t="s">
        <v>11</v>
      </c>
      <c r="D2223" s="17" t="s">
        <v>12</v>
      </c>
      <c r="E2223" s="17" t="s">
        <v>13</v>
      </c>
      <c r="F2223" s="16" t="s">
        <v>7027</v>
      </c>
    </row>
    <row r="2224" spans="1:6" x14ac:dyDescent="0.25">
      <c r="A2224" s="16" t="s">
        <v>7028</v>
      </c>
      <c r="B2224" s="17" t="s">
        <v>7029</v>
      </c>
      <c r="C2224" s="17" t="s">
        <v>11</v>
      </c>
      <c r="D2224" s="17" t="s">
        <v>12</v>
      </c>
      <c r="E2224" s="17" t="s">
        <v>13</v>
      </c>
      <c r="F2224" s="16" t="s">
        <v>7030</v>
      </c>
    </row>
    <row r="2225" spans="1:6" x14ac:dyDescent="0.25">
      <c r="A2225" s="16" t="s">
        <v>7031</v>
      </c>
      <c r="B2225" s="17" t="s">
        <v>7032</v>
      </c>
      <c r="C2225" s="17" t="s">
        <v>11</v>
      </c>
      <c r="D2225" s="17" t="s">
        <v>12</v>
      </c>
      <c r="E2225" s="17" t="s">
        <v>13</v>
      </c>
      <c r="F2225" s="16" t="s">
        <v>7033</v>
      </c>
    </row>
    <row r="2226" spans="1:6" x14ac:dyDescent="0.25">
      <c r="A2226" s="16" t="s">
        <v>7034</v>
      </c>
      <c r="B2226" s="17" t="s">
        <v>7035</v>
      </c>
      <c r="C2226" s="17" t="s">
        <v>11</v>
      </c>
      <c r="D2226" s="17" t="s">
        <v>32</v>
      </c>
      <c r="E2226" s="17" t="s">
        <v>20</v>
      </c>
      <c r="F2226" s="16" t="s">
        <v>7036</v>
      </c>
    </row>
    <row r="2227" spans="1:6" x14ac:dyDescent="0.25">
      <c r="A2227" s="16" t="s">
        <v>7037</v>
      </c>
      <c r="B2227" s="17" t="s">
        <v>7038</v>
      </c>
      <c r="C2227" s="17" t="s">
        <v>11</v>
      </c>
      <c r="D2227" s="17" t="s">
        <v>12</v>
      </c>
      <c r="E2227" s="17" t="s">
        <v>13</v>
      </c>
      <c r="F2227" s="16" t="s">
        <v>7039</v>
      </c>
    </row>
    <row r="2228" spans="1:6" x14ac:dyDescent="0.25">
      <c r="A2228" s="16" t="s">
        <v>7040</v>
      </c>
      <c r="B2228" s="17" t="s">
        <v>7041</v>
      </c>
      <c r="C2228" s="17" t="s">
        <v>11</v>
      </c>
      <c r="D2228" s="17" t="s">
        <v>12</v>
      </c>
      <c r="E2228" s="17" t="s">
        <v>13</v>
      </c>
      <c r="F2228" s="16" t="s">
        <v>7042</v>
      </c>
    </row>
    <row r="2229" spans="1:6" x14ac:dyDescent="0.25">
      <c r="A2229" s="16" t="s">
        <v>7043</v>
      </c>
      <c r="B2229" s="17" t="s">
        <v>7044</v>
      </c>
      <c r="C2229" s="17" t="s">
        <v>11</v>
      </c>
      <c r="D2229" s="17" t="s">
        <v>186</v>
      </c>
      <c r="E2229" s="17" t="s">
        <v>20</v>
      </c>
      <c r="F2229" s="16" t="s">
        <v>7045</v>
      </c>
    </row>
    <row r="2230" spans="1:6" x14ac:dyDescent="0.25">
      <c r="A2230" s="16" t="s">
        <v>7046</v>
      </c>
      <c r="B2230" s="17" t="s">
        <v>7047</v>
      </c>
      <c r="C2230" s="17" t="s">
        <v>11</v>
      </c>
      <c r="D2230" s="17" t="s">
        <v>12</v>
      </c>
      <c r="E2230" s="17" t="s">
        <v>13</v>
      </c>
      <c r="F2230" s="16" t="s">
        <v>7048</v>
      </c>
    </row>
    <row r="2231" spans="1:6" x14ac:dyDescent="0.25">
      <c r="A2231" s="16" t="s">
        <v>7049</v>
      </c>
      <c r="B2231" s="17" t="s">
        <v>7050</v>
      </c>
      <c r="C2231" s="17" t="s">
        <v>11</v>
      </c>
      <c r="D2231" s="17" t="s">
        <v>12</v>
      </c>
      <c r="E2231" s="17" t="s">
        <v>13</v>
      </c>
      <c r="F2231" s="16" t="s">
        <v>7051</v>
      </c>
    </row>
    <row r="2232" spans="1:6" x14ac:dyDescent="0.25">
      <c r="A2232" s="16" t="s">
        <v>7052</v>
      </c>
      <c r="B2232" s="17" t="s">
        <v>7053</v>
      </c>
      <c r="C2232" s="17" t="s">
        <v>11</v>
      </c>
      <c r="D2232" s="17" t="s">
        <v>12</v>
      </c>
      <c r="E2232" s="17" t="s">
        <v>13</v>
      </c>
      <c r="F2232" s="16" t="s">
        <v>7054</v>
      </c>
    </row>
    <row r="2233" spans="1:6" x14ac:dyDescent="0.25">
      <c r="A2233" s="16" t="s">
        <v>7055</v>
      </c>
      <c r="B2233" s="17" t="s">
        <v>7056</v>
      </c>
      <c r="C2233" s="17" t="s">
        <v>11</v>
      </c>
      <c r="D2233" s="17" t="s">
        <v>12</v>
      </c>
      <c r="E2233" s="17" t="s">
        <v>13</v>
      </c>
      <c r="F2233" s="16" t="s">
        <v>7057</v>
      </c>
    </row>
    <row r="2234" spans="1:6" x14ac:dyDescent="0.25">
      <c r="A2234" s="16" t="s">
        <v>7058</v>
      </c>
      <c r="B2234" s="17" t="s">
        <v>7059</v>
      </c>
      <c r="C2234" s="17" t="s">
        <v>11</v>
      </c>
      <c r="D2234" s="17" t="s">
        <v>12</v>
      </c>
      <c r="E2234" s="17" t="s">
        <v>13</v>
      </c>
      <c r="F2234" s="16" t="s">
        <v>7060</v>
      </c>
    </row>
    <row r="2235" spans="1:6" x14ac:dyDescent="0.25">
      <c r="A2235" s="16" t="s">
        <v>7061</v>
      </c>
      <c r="B2235" s="17" t="s">
        <v>7062</v>
      </c>
      <c r="C2235" s="17" t="s">
        <v>11</v>
      </c>
      <c r="D2235" s="17" t="s">
        <v>12</v>
      </c>
      <c r="E2235" s="17" t="s">
        <v>13</v>
      </c>
      <c r="F2235" s="16" t="s">
        <v>7063</v>
      </c>
    </row>
    <row r="2236" spans="1:6" x14ac:dyDescent="0.25">
      <c r="A2236" s="16" t="s">
        <v>7064</v>
      </c>
      <c r="B2236" s="17" t="s">
        <v>7065</v>
      </c>
      <c r="C2236" s="17" t="s">
        <v>11</v>
      </c>
      <c r="D2236" s="17" t="s">
        <v>12</v>
      </c>
      <c r="E2236" s="17" t="s">
        <v>13</v>
      </c>
      <c r="F2236" s="16" t="s">
        <v>7066</v>
      </c>
    </row>
    <row r="2237" spans="1:6" x14ac:dyDescent="0.25">
      <c r="A2237" s="16" t="s">
        <v>7067</v>
      </c>
      <c r="B2237" s="17" t="s">
        <v>7068</v>
      </c>
      <c r="C2237" s="17" t="s">
        <v>11</v>
      </c>
      <c r="D2237" s="17" t="s">
        <v>12</v>
      </c>
      <c r="E2237" s="17" t="s">
        <v>13</v>
      </c>
      <c r="F2237" s="16" t="s">
        <v>7069</v>
      </c>
    </row>
    <row r="2238" spans="1:6" x14ac:dyDescent="0.25">
      <c r="A2238" s="16" t="s">
        <v>7070</v>
      </c>
      <c r="B2238" s="17" t="s">
        <v>7071</v>
      </c>
      <c r="C2238" s="17" t="s">
        <v>11</v>
      </c>
      <c r="D2238" s="17" t="s">
        <v>12</v>
      </c>
      <c r="E2238" s="17" t="s">
        <v>13</v>
      </c>
      <c r="F2238" s="16" t="s">
        <v>7072</v>
      </c>
    </row>
    <row r="2239" spans="1:6" x14ac:dyDescent="0.25">
      <c r="A2239" s="16" t="s">
        <v>7073</v>
      </c>
      <c r="B2239" s="17" t="s">
        <v>7074</v>
      </c>
      <c r="C2239" s="17" t="s">
        <v>11</v>
      </c>
      <c r="D2239" s="17" t="s">
        <v>83</v>
      </c>
      <c r="E2239" s="17" t="s">
        <v>20</v>
      </c>
      <c r="F2239" s="16" t="s">
        <v>7075</v>
      </c>
    </row>
    <row r="2240" spans="1:6" x14ac:dyDescent="0.25">
      <c r="A2240" s="16" t="s">
        <v>7076</v>
      </c>
      <c r="B2240" s="17" t="s">
        <v>7077</v>
      </c>
      <c r="C2240" s="17" t="s">
        <v>11</v>
      </c>
      <c r="D2240" s="17" t="s">
        <v>12</v>
      </c>
      <c r="E2240" s="17" t="s">
        <v>13</v>
      </c>
      <c r="F2240" s="16" t="s">
        <v>7078</v>
      </c>
    </row>
    <row r="2241" spans="1:6" x14ac:dyDescent="0.25">
      <c r="A2241" s="16" t="s">
        <v>7079</v>
      </c>
      <c r="B2241" s="17" t="s">
        <v>7080</v>
      </c>
      <c r="C2241" s="17" t="s">
        <v>11</v>
      </c>
      <c r="D2241" s="17" t="s">
        <v>12</v>
      </c>
      <c r="E2241" s="17" t="s">
        <v>13</v>
      </c>
      <c r="F2241" s="16" t="s">
        <v>7081</v>
      </c>
    </row>
    <row r="2242" spans="1:6" x14ac:dyDescent="0.25">
      <c r="A2242" s="16" t="s">
        <v>7082</v>
      </c>
      <c r="B2242" s="17" t="s">
        <v>7083</v>
      </c>
      <c r="C2242" s="17" t="s">
        <v>11</v>
      </c>
      <c r="D2242" s="17" t="s">
        <v>59</v>
      </c>
      <c r="E2242" s="17" t="s">
        <v>13</v>
      </c>
      <c r="F2242" s="16" t="s">
        <v>7084</v>
      </c>
    </row>
    <row r="2243" spans="1:6" x14ac:dyDescent="0.25">
      <c r="A2243" s="16" t="s">
        <v>7085</v>
      </c>
      <c r="B2243" s="17" t="s">
        <v>7086</v>
      </c>
      <c r="C2243" s="17" t="s">
        <v>11</v>
      </c>
      <c r="D2243" s="17" t="s">
        <v>32</v>
      </c>
      <c r="E2243" s="17" t="s">
        <v>20</v>
      </c>
      <c r="F2243" s="16" t="s">
        <v>7087</v>
      </c>
    </row>
    <row r="2244" spans="1:6" x14ac:dyDescent="0.25">
      <c r="A2244" s="16" t="s">
        <v>7088</v>
      </c>
      <c r="B2244" s="17" t="s">
        <v>7089</v>
      </c>
      <c r="C2244" s="17" t="s">
        <v>11</v>
      </c>
      <c r="D2244" s="17" t="s">
        <v>12</v>
      </c>
      <c r="E2244" s="17" t="s">
        <v>13</v>
      </c>
      <c r="F2244" s="16" t="s">
        <v>7090</v>
      </c>
    </row>
    <row r="2245" spans="1:6" x14ac:dyDescent="0.25">
      <c r="A2245" s="16" t="s">
        <v>7091</v>
      </c>
      <c r="B2245" s="17" t="s">
        <v>7092</v>
      </c>
      <c r="C2245" s="17" t="s">
        <v>11</v>
      </c>
      <c r="D2245" s="17" t="s">
        <v>250</v>
      </c>
      <c r="E2245" s="17" t="s">
        <v>20</v>
      </c>
      <c r="F2245" s="16" t="s">
        <v>7093</v>
      </c>
    </row>
    <row r="2246" spans="1:6" x14ac:dyDescent="0.25">
      <c r="A2246" s="16" t="s">
        <v>7094</v>
      </c>
      <c r="B2246" s="17" t="s">
        <v>7095</v>
      </c>
      <c r="C2246" s="17" t="s">
        <v>11</v>
      </c>
      <c r="D2246" s="17" t="s">
        <v>32</v>
      </c>
      <c r="E2246" s="17" t="s">
        <v>20</v>
      </c>
      <c r="F2246" s="16" t="s">
        <v>7096</v>
      </c>
    </row>
    <row r="2247" spans="1:6" x14ac:dyDescent="0.25">
      <c r="A2247" s="16" t="s">
        <v>7097</v>
      </c>
      <c r="B2247" s="17" t="s">
        <v>7098</v>
      </c>
      <c r="C2247" s="17" t="s">
        <v>11</v>
      </c>
      <c r="D2247" s="17" t="s">
        <v>12</v>
      </c>
      <c r="E2247" s="17" t="s">
        <v>13</v>
      </c>
      <c r="F2247" s="16" t="s">
        <v>7099</v>
      </c>
    </row>
    <row r="2248" spans="1:6" x14ac:dyDescent="0.25">
      <c r="A2248" s="16" t="s">
        <v>7100</v>
      </c>
      <c r="B2248" s="17" t="s">
        <v>7101</v>
      </c>
      <c r="C2248" s="17" t="s">
        <v>11</v>
      </c>
      <c r="D2248" s="17" t="s">
        <v>59</v>
      </c>
      <c r="E2248" s="17" t="s">
        <v>13</v>
      </c>
      <c r="F2248" s="16" t="s">
        <v>7102</v>
      </c>
    </row>
    <row r="2249" spans="1:6" x14ac:dyDescent="0.25">
      <c r="A2249" s="16" t="s">
        <v>7103</v>
      </c>
      <c r="B2249" s="17" t="s">
        <v>7104</v>
      </c>
      <c r="C2249" s="17" t="s">
        <v>11</v>
      </c>
      <c r="D2249" s="17" t="s">
        <v>32</v>
      </c>
      <c r="E2249" s="17" t="s">
        <v>20</v>
      </c>
      <c r="F2249" s="16" t="s">
        <v>7105</v>
      </c>
    </row>
    <row r="2250" spans="1:6" x14ac:dyDescent="0.25">
      <c r="A2250" s="16" t="s">
        <v>7106</v>
      </c>
      <c r="B2250" s="17" t="s">
        <v>7107</v>
      </c>
      <c r="C2250" s="17" t="s">
        <v>11</v>
      </c>
      <c r="D2250" s="17" t="s">
        <v>32</v>
      </c>
      <c r="E2250" s="17" t="s">
        <v>20</v>
      </c>
      <c r="F2250" s="16" t="s">
        <v>7108</v>
      </c>
    </row>
    <row r="2251" spans="1:6" x14ac:dyDescent="0.25">
      <c r="A2251" s="16" t="s">
        <v>7109</v>
      </c>
      <c r="B2251" s="17" t="s">
        <v>7110</v>
      </c>
      <c r="C2251" s="17" t="s">
        <v>11</v>
      </c>
      <c r="D2251" s="17" t="s">
        <v>68</v>
      </c>
      <c r="E2251" s="17" t="s">
        <v>20</v>
      </c>
      <c r="F2251" s="16" t="s">
        <v>7111</v>
      </c>
    </row>
    <row r="2252" spans="1:6" x14ac:dyDescent="0.25">
      <c r="A2252" s="16" t="s">
        <v>7112</v>
      </c>
      <c r="B2252" s="17" t="s">
        <v>7113</v>
      </c>
      <c r="C2252" s="17" t="s">
        <v>11</v>
      </c>
      <c r="D2252" s="17" t="s">
        <v>12</v>
      </c>
      <c r="E2252" s="17" t="s">
        <v>13</v>
      </c>
      <c r="F2252" s="16" t="s">
        <v>7114</v>
      </c>
    </row>
    <row r="2253" spans="1:6" x14ac:dyDescent="0.25">
      <c r="A2253" s="16" t="s">
        <v>7115</v>
      </c>
      <c r="B2253" s="17" t="s">
        <v>7116</v>
      </c>
      <c r="C2253" s="17" t="s">
        <v>11</v>
      </c>
      <c r="D2253" s="17" t="s">
        <v>12</v>
      </c>
      <c r="E2253" s="17" t="s">
        <v>13</v>
      </c>
      <c r="F2253" s="16" t="s">
        <v>7117</v>
      </c>
    </row>
    <row r="2254" spans="1:6" x14ac:dyDescent="0.25">
      <c r="A2254" s="16" t="s">
        <v>7118</v>
      </c>
      <c r="B2254" s="17" t="s">
        <v>7119</v>
      </c>
      <c r="C2254" s="17" t="s">
        <v>11</v>
      </c>
      <c r="D2254" s="17" t="s">
        <v>32</v>
      </c>
      <c r="E2254" s="17" t="s">
        <v>20</v>
      </c>
      <c r="F2254" s="16" t="s">
        <v>7120</v>
      </c>
    </row>
    <row r="2255" spans="1:6" x14ac:dyDescent="0.25">
      <c r="A2255" s="16" t="s">
        <v>7121</v>
      </c>
      <c r="B2255" s="17" t="s">
        <v>7122</v>
      </c>
      <c r="C2255" s="17" t="s">
        <v>11</v>
      </c>
      <c r="D2255" s="17" t="s">
        <v>12</v>
      </c>
      <c r="E2255" s="17" t="s">
        <v>13</v>
      </c>
      <c r="F2255" s="16" t="s">
        <v>7123</v>
      </c>
    </row>
    <row r="2256" spans="1:6" x14ac:dyDescent="0.25">
      <c r="A2256" s="16" t="s">
        <v>7124</v>
      </c>
      <c r="B2256" s="17" t="s">
        <v>7125</v>
      </c>
      <c r="C2256" s="17" t="s">
        <v>11</v>
      </c>
      <c r="D2256" s="17" t="s">
        <v>12</v>
      </c>
      <c r="E2256" s="17" t="s">
        <v>13</v>
      </c>
      <c r="F2256" s="16" t="s">
        <v>7126</v>
      </c>
    </row>
    <row r="2257" spans="1:6" x14ac:dyDescent="0.25">
      <c r="A2257" s="16" t="s">
        <v>7127</v>
      </c>
      <c r="B2257" s="17" t="s">
        <v>7128</v>
      </c>
      <c r="C2257" s="17" t="s">
        <v>11</v>
      </c>
      <c r="D2257" s="17" t="s">
        <v>12</v>
      </c>
      <c r="E2257" s="17" t="s">
        <v>13</v>
      </c>
      <c r="F2257" s="16" t="s">
        <v>7129</v>
      </c>
    </row>
    <row r="2258" spans="1:6" x14ac:dyDescent="0.25">
      <c r="A2258" s="16" t="s">
        <v>7130</v>
      </c>
      <c r="B2258" s="17" t="s">
        <v>7131</v>
      </c>
      <c r="C2258" s="17" t="s">
        <v>11</v>
      </c>
      <c r="D2258" s="17" t="s">
        <v>12</v>
      </c>
      <c r="E2258" s="17" t="s">
        <v>13</v>
      </c>
      <c r="F2258" s="16" t="s">
        <v>7132</v>
      </c>
    </row>
    <row r="2259" spans="1:6" x14ac:dyDescent="0.25">
      <c r="A2259" s="16" t="s">
        <v>7133</v>
      </c>
      <c r="B2259" s="17" t="s">
        <v>7134</v>
      </c>
      <c r="C2259" s="17" t="s">
        <v>11</v>
      </c>
      <c r="D2259" s="17" t="s">
        <v>12</v>
      </c>
      <c r="E2259" s="17" t="s">
        <v>13</v>
      </c>
      <c r="F2259" s="16" t="s">
        <v>7135</v>
      </c>
    </row>
    <row r="2260" spans="1:6" x14ac:dyDescent="0.25">
      <c r="A2260" s="16" t="s">
        <v>7136</v>
      </c>
      <c r="B2260" s="17" t="s">
        <v>7137</v>
      </c>
      <c r="C2260" s="17" t="s">
        <v>11</v>
      </c>
      <c r="D2260" s="17" t="s">
        <v>291</v>
      </c>
      <c r="E2260" s="17" t="s">
        <v>20</v>
      </c>
      <c r="F2260" s="16" t="s">
        <v>7138</v>
      </c>
    </row>
    <row r="2261" spans="1:6" x14ac:dyDescent="0.25">
      <c r="A2261" s="16" t="s">
        <v>7139</v>
      </c>
      <c r="B2261" s="17" t="s">
        <v>7140</v>
      </c>
      <c r="C2261" s="17" t="s">
        <v>11</v>
      </c>
      <c r="D2261" s="17" t="s">
        <v>80</v>
      </c>
      <c r="E2261" s="17" t="s">
        <v>20</v>
      </c>
      <c r="F2261" s="16" t="s">
        <v>7141</v>
      </c>
    </row>
    <row r="2262" spans="1:6" x14ac:dyDescent="0.25">
      <c r="A2262" s="16" t="s">
        <v>7142</v>
      </c>
      <c r="B2262" s="17" t="s">
        <v>7143</v>
      </c>
      <c r="C2262" s="17" t="s">
        <v>11</v>
      </c>
      <c r="D2262" s="17" t="s">
        <v>12</v>
      </c>
      <c r="E2262" s="17" t="s">
        <v>13</v>
      </c>
      <c r="F2262" s="16" t="s">
        <v>7144</v>
      </c>
    </row>
    <row r="2263" spans="1:6" x14ac:dyDescent="0.25">
      <c r="A2263" s="16" t="s">
        <v>7145</v>
      </c>
      <c r="B2263" s="17" t="s">
        <v>7146</v>
      </c>
      <c r="C2263" s="17" t="s">
        <v>11</v>
      </c>
      <c r="D2263" s="17" t="s">
        <v>12</v>
      </c>
      <c r="E2263" s="17" t="s">
        <v>13</v>
      </c>
      <c r="F2263" s="16" t="s">
        <v>7147</v>
      </c>
    </row>
    <row r="2264" spans="1:6" x14ac:dyDescent="0.25">
      <c r="A2264" s="16" t="s">
        <v>7148</v>
      </c>
      <c r="B2264" s="17" t="s">
        <v>7149</v>
      </c>
      <c r="C2264" s="17" t="s">
        <v>11</v>
      </c>
      <c r="D2264" s="17" t="s">
        <v>12</v>
      </c>
      <c r="E2264" s="17" t="s">
        <v>13</v>
      </c>
      <c r="F2264" s="16" t="s">
        <v>7150</v>
      </c>
    </row>
    <row r="2265" spans="1:6" x14ac:dyDescent="0.25">
      <c r="A2265" s="16" t="s">
        <v>7151</v>
      </c>
      <c r="B2265" s="17" t="s">
        <v>7152</v>
      </c>
      <c r="C2265" s="17" t="s">
        <v>11</v>
      </c>
      <c r="D2265" s="17" t="s">
        <v>12</v>
      </c>
      <c r="E2265" s="17" t="s">
        <v>13</v>
      </c>
      <c r="F2265" s="16" t="s">
        <v>7153</v>
      </c>
    </row>
    <row r="2266" spans="1:6" x14ac:dyDescent="0.25">
      <c r="A2266" s="16" t="s">
        <v>7154</v>
      </c>
      <c r="B2266" s="17" t="s">
        <v>7155</v>
      </c>
      <c r="C2266" s="17" t="s">
        <v>11</v>
      </c>
      <c r="D2266" s="17" t="s">
        <v>12</v>
      </c>
      <c r="E2266" s="17" t="s">
        <v>13</v>
      </c>
      <c r="F2266" s="16" t="s">
        <v>7156</v>
      </c>
    </row>
    <row r="2267" spans="1:6" x14ac:dyDescent="0.25">
      <c r="A2267" s="16" t="s">
        <v>7157</v>
      </c>
      <c r="B2267" s="17" t="s">
        <v>7158</v>
      </c>
      <c r="C2267" s="17" t="s">
        <v>11</v>
      </c>
      <c r="D2267" s="17" t="s">
        <v>32</v>
      </c>
      <c r="E2267" s="17" t="s">
        <v>20</v>
      </c>
      <c r="F2267" s="16" t="s">
        <v>7159</v>
      </c>
    </row>
    <row r="2268" spans="1:6" x14ac:dyDescent="0.25">
      <c r="A2268" s="16" t="s">
        <v>7160</v>
      </c>
      <c r="B2268" s="17" t="s">
        <v>7161</v>
      </c>
      <c r="C2268" s="17" t="s">
        <v>11</v>
      </c>
      <c r="D2268" s="17" t="s">
        <v>12</v>
      </c>
      <c r="E2268" s="17" t="s">
        <v>13</v>
      </c>
      <c r="F2268" s="16" t="s">
        <v>7162</v>
      </c>
    </row>
    <row r="2269" spans="1:6" x14ac:dyDescent="0.25">
      <c r="A2269" s="16" t="s">
        <v>7163</v>
      </c>
      <c r="B2269" s="17" t="s">
        <v>7164</v>
      </c>
      <c r="C2269" s="17" t="s">
        <v>11</v>
      </c>
      <c r="D2269" s="17" t="s">
        <v>12</v>
      </c>
      <c r="E2269" s="17" t="s">
        <v>13</v>
      </c>
      <c r="F2269" s="16" t="s">
        <v>7165</v>
      </c>
    </row>
    <row r="2270" spans="1:6" x14ac:dyDescent="0.25">
      <c r="A2270" s="16" t="s">
        <v>7166</v>
      </c>
      <c r="B2270" s="17" t="s">
        <v>7167</v>
      </c>
      <c r="C2270" s="17" t="s">
        <v>11</v>
      </c>
      <c r="D2270" s="17" t="s">
        <v>12</v>
      </c>
      <c r="E2270" s="17" t="s">
        <v>13</v>
      </c>
      <c r="F2270" s="16" t="s">
        <v>7168</v>
      </c>
    </row>
    <row r="2271" spans="1:6" x14ac:dyDescent="0.25">
      <c r="A2271" s="16" t="s">
        <v>7169</v>
      </c>
      <c r="B2271" s="17" t="s">
        <v>7170</v>
      </c>
      <c r="C2271" s="17" t="s">
        <v>11</v>
      </c>
      <c r="D2271" s="17" t="s">
        <v>12</v>
      </c>
      <c r="E2271" s="17" t="s">
        <v>13</v>
      </c>
      <c r="F2271" s="16" t="s">
        <v>7171</v>
      </c>
    </row>
    <row r="2272" spans="1:6" x14ac:dyDescent="0.25">
      <c r="A2272" s="16" t="s">
        <v>7172</v>
      </c>
      <c r="B2272" s="17" t="s">
        <v>7173</v>
      </c>
      <c r="C2272" s="17" t="s">
        <v>11</v>
      </c>
      <c r="D2272" s="17" t="s">
        <v>12</v>
      </c>
      <c r="E2272" s="17" t="s">
        <v>13</v>
      </c>
      <c r="F2272" s="16" t="s">
        <v>7174</v>
      </c>
    </row>
    <row r="2273" spans="1:6" x14ac:dyDescent="0.25">
      <c r="A2273" s="16" t="s">
        <v>7175</v>
      </c>
      <c r="B2273" s="17" t="s">
        <v>7176</v>
      </c>
      <c r="C2273" s="17" t="s">
        <v>11</v>
      </c>
      <c r="D2273" s="17" t="s">
        <v>26</v>
      </c>
      <c r="E2273" s="17" t="s">
        <v>20</v>
      </c>
      <c r="F2273" s="16" t="s">
        <v>7177</v>
      </c>
    </row>
    <row r="2274" spans="1:6" x14ac:dyDescent="0.25">
      <c r="A2274" s="16" t="s">
        <v>7178</v>
      </c>
      <c r="B2274" s="17" t="s">
        <v>7179</v>
      </c>
      <c r="C2274" s="17" t="s">
        <v>11</v>
      </c>
      <c r="D2274" s="17" t="s">
        <v>32</v>
      </c>
      <c r="E2274" s="17" t="s">
        <v>20</v>
      </c>
      <c r="F2274" s="16" t="s">
        <v>7180</v>
      </c>
    </row>
    <row r="2275" spans="1:6" x14ac:dyDescent="0.25">
      <c r="A2275" s="16" t="s">
        <v>7181</v>
      </c>
      <c r="B2275" s="17" t="s">
        <v>7182</v>
      </c>
      <c r="C2275" s="17" t="s">
        <v>11</v>
      </c>
      <c r="D2275" s="17" t="s">
        <v>12</v>
      </c>
      <c r="E2275" s="17" t="s">
        <v>13</v>
      </c>
      <c r="F2275" s="16" t="s">
        <v>7183</v>
      </c>
    </row>
    <row r="2276" spans="1:6" x14ac:dyDescent="0.25">
      <c r="A2276" s="16" t="s">
        <v>7184</v>
      </c>
      <c r="B2276" s="17" t="s">
        <v>7185</v>
      </c>
      <c r="C2276" s="17" t="s">
        <v>11</v>
      </c>
      <c r="D2276" s="17" t="s">
        <v>32</v>
      </c>
      <c r="E2276" s="17" t="s">
        <v>20</v>
      </c>
      <c r="F2276" s="16" t="s">
        <v>7186</v>
      </c>
    </row>
    <row r="2277" spans="1:6" x14ac:dyDescent="0.25">
      <c r="A2277" s="16" t="s">
        <v>7187</v>
      </c>
      <c r="B2277" s="17" t="s">
        <v>7188</v>
      </c>
      <c r="C2277" s="17" t="s">
        <v>11</v>
      </c>
      <c r="D2277" s="17" t="s">
        <v>12</v>
      </c>
      <c r="E2277" s="17" t="s">
        <v>13</v>
      </c>
      <c r="F2277" s="16" t="s">
        <v>7189</v>
      </c>
    </row>
    <row r="2278" spans="1:6" x14ac:dyDescent="0.25">
      <c r="A2278" s="16" t="s">
        <v>7190</v>
      </c>
      <c r="B2278" s="17" t="s">
        <v>7191</v>
      </c>
      <c r="C2278" s="17" t="s">
        <v>11</v>
      </c>
      <c r="D2278" s="17" t="s">
        <v>32</v>
      </c>
      <c r="E2278" s="17" t="s">
        <v>20</v>
      </c>
      <c r="F2278" s="16" t="s">
        <v>7192</v>
      </c>
    </row>
    <row r="2279" spans="1:6" x14ac:dyDescent="0.25">
      <c r="A2279" s="16" t="s">
        <v>7193</v>
      </c>
      <c r="B2279" s="17" t="s">
        <v>7194</v>
      </c>
      <c r="C2279" s="17" t="s">
        <v>11</v>
      </c>
      <c r="D2279" s="17" t="s">
        <v>12</v>
      </c>
      <c r="E2279" s="17" t="s">
        <v>13</v>
      </c>
      <c r="F2279" s="16" t="s">
        <v>7195</v>
      </c>
    </row>
    <row r="2280" spans="1:6" x14ac:dyDescent="0.25">
      <c r="A2280" s="16" t="s">
        <v>7196</v>
      </c>
      <c r="B2280" s="17" t="s">
        <v>7197</v>
      </c>
      <c r="C2280" s="17" t="s">
        <v>11</v>
      </c>
      <c r="D2280" s="17" t="s">
        <v>12</v>
      </c>
      <c r="E2280" s="17" t="s">
        <v>13</v>
      </c>
      <c r="F2280" s="16" t="s">
        <v>7198</v>
      </c>
    </row>
    <row r="2281" spans="1:6" x14ac:dyDescent="0.25">
      <c r="A2281" s="16" t="s">
        <v>7199</v>
      </c>
      <c r="B2281" s="17" t="s">
        <v>7200</v>
      </c>
      <c r="C2281" s="17" t="s">
        <v>11</v>
      </c>
      <c r="D2281" s="17" t="s">
        <v>12</v>
      </c>
      <c r="E2281" s="17" t="s">
        <v>13</v>
      </c>
      <c r="F2281" s="16" t="s">
        <v>7201</v>
      </c>
    </row>
    <row r="2282" spans="1:6" x14ac:dyDescent="0.25">
      <c r="A2282" s="16" t="s">
        <v>7202</v>
      </c>
      <c r="B2282" s="17" t="s">
        <v>7203</v>
      </c>
      <c r="C2282" s="17" t="s">
        <v>11</v>
      </c>
      <c r="D2282" s="17" t="s">
        <v>83</v>
      </c>
      <c r="E2282" s="17" t="s">
        <v>20</v>
      </c>
      <c r="F2282" s="16" t="s">
        <v>7204</v>
      </c>
    </row>
    <row r="2283" spans="1:6" x14ac:dyDescent="0.25">
      <c r="A2283" s="16" t="s">
        <v>7205</v>
      </c>
      <c r="B2283" s="17" t="s">
        <v>7206</v>
      </c>
      <c r="C2283" s="17" t="s">
        <v>11</v>
      </c>
      <c r="D2283" s="17" t="s">
        <v>12</v>
      </c>
      <c r="E2283" s="17" t="s">
        <v>13</v>
      </c>
      <c r="F2283" s="16" t="s">
        <v>7207</v>
      </c>
    </row>
    <row r="2284" spans="1:6" x14ac:dyDescent="0.25">
      <c r="A2284" s="16" t="s">
        <v>7208</v>
      </c>
      <c r="B2284" s="17" t="s">
        <v>7209</v>
      </c>
      <c r="C2284" s="17" t="s">
        <v>11</v>
      </c>
      <c r="D2284" s="17" t="s">
        <v>74</v>
      </c>
      <c r="E2284" s="17" t="s">
        <v>20</v>
      </c>
      <c r="F2284" s="16" t="s">
        <v>7210</v>
      </c>
    </row>
    <row r="2285" spans="1:6" x14ac:dyDescent="0.25">
      <c r="A2285" s="16" t="s">
        <v>7211</v>
      </c>
      <c r="B2285" s="17" t="s">
        <v>7212</v>
      </c>
      <c r="C2285" s="17" t="s">
        <v>11</v>
      </c>
      <c r="D2285" s="17" t="s">
        <v>250</v>
      </c>
      <c r="E2285" s="17" t="s">
        <v>20</v>
      </c>
      <c r="F2285" s="16" t="s">
        <v>7213</v>
      </c>
    </row>
    <row r="2286" spans="1:6" x14ac:dyDescent="0.25">
      <c r="A2286" s="16" t="s">
        <v>7214</v>
      </c>
      <c r="B2286" s="17" t="s">
        <v>7215</v>
      </c>
      <c r="C2286" s="17" t="s">
        <v>11</v>
      </c>
      <c r="D2286" s="17" t="s">
        <v>182</v>
      </c>
      <c r="E2286" s="17" t="s">
        <v>20</v>
      </c>
      <c r="F2286" s="16" t="s">
        <v>7216</v>
      </c>
    </row>
    <row r="2287" spans="1:6" x14ac:dyDescent="0.25">
      <c r="A2287" s="16" t="s">
        <v>7217</v>
      </c>
      <c r="B2287" s="17" t="s">
        <v>7218</v>
      </c>
      <c r="C2287" s="17" t="s">
        <v>11</v>
      </c>
      <c r="D2287" s="17" t="s">
        <v>12</v>
      </c>
      <c r="E2287" s="17" t="s">
        <v>13</v>
      </c>
      <c r="F2287" s="16" t="s">
        <v>7219</v>
      </c>
    </row>
    <row r="2288" spans="1:6" x14ac:dyDescent="0.25">
      <c r="A2288" s="16" t="s">
        <v>7220</v>
      </c>
      <c r="B2288" s="17" t="s">
        <v>7221</v>
      </c>
      <c r="C2288" s="17" t="s">
        <v>11</v>
      </c>
      <c r="D2288" s="17" t="s">
        <v>3346</v>
      </c>
      <c r="E2288" s="17" t="s">
        <v>20</v>
      </c>
      <c r="F2288" s="16" t="s">
        <v>7222</v>
      </c>
    </row>
    <row r="2289" spans="1:6" x14ac:dyDescent="0.25">
      <c r="A2289" s="16" t="s">
        <v>7223</v>
      </c>
      <c r="B2289" s="17" t="s">
        <v>7224</v>
      </c>
      <c r="C2289" s="17" t="s">
        <v>11</v>
      </c>
      <c r="D2289" s="17" t="s">
        <v>12</v>
      </c>
      <c r="E2289" s="17" t="s">
        <v>13</v>
      </c>
      <c r="F2289" s="16" t="s">
        <v>7225</v>
      </c>
    </row>
    <row r="2290" spans="1:6" x14ac:dyDescent="0.25">
      <c r="A2290" s="16" t="s">
        <v>7226</v>
      </c>
      <c r="B2290" s="17" t="s">
        <v>7227</v>
      </c>
      <c r="C2290" s="17" t="s">
        <v>214</v>
      </c>
      <c r="D2290" s="17" t="s">
        <v>74</v>
      </c>
      <c r="E2290" s="17" t="s">
        <v>20</v>
      </c>
      <c r="F2290" s="16" t="s">
        <v>7228</v>
      </c>
    </row>
    <row r="2291" spans="1:6" x14ac:dyDescent="0.25">
      <c r="A2291" s="16" t="s">
        <v>7229</v>
      </c>
      <c r="B2291" s="17" t="s">
        <v>7230</v>
      </c>
      <c r="C2291" s="17" t="s">
        <v>11</v>
      </c>
      <c r="D2291" s="17" t="s">
        <v>12</v>
      </c>
      <c r="E2291" s="17" t="s">
        <v>13</v>
      </c>
      <c r="F2291" s="16" t="s">
        <v>7231</v>
      </c>
    </row>
    <row r="2292" spans="1:6" x14ac:dyDescent="0.25">
      <c r="A2292" s="16" t="s">
        <v>7232</v>
      </c>
      <c r="B2292" s="17" t="s">
        <v>7233</v>
      </c>
      <c r="C2292" s="17" t="s">
        <v>11</v>
      </c>
      <c r="D2292" s="17" t="s">
        <v>12</v>
      </c>
      <c r="E2292" s="17" t="s">
        <v>13</v>
      </c>
      <c r="F2292" s="16" t="s">
        <v>7234</v>
      </c>
    </row>
    <row r="2293" spans="1:6" x14ac:dyDescent="0.25">
      <c r="A2293" s="16" t="s">
        <v>7235</v>
      </c>
      <c r="B2293" s="17" t="s">
        <v>7236</v>
      </c>
      <c r="C2293" s="17" t="s">
        <v>11</v>
      </c>
      <c r="D2293" s="17" t="s">
        <v>32</v>
      </c>
      <c r="E2293" s="17" t="s">
        <v>20</v>
      </c>
      <c r="F2293" s="16" t="s">
        <v>7237</v>
      </c>
    </row>
    <row r="2294" spans="1:6" x14ac:dyDescent="0.25">
      <c r="A2294" s="16" t="s">
        <v>7238</v>
      </c>
      <c r="B2294" s="17" t="s">
        <v>7239</v>
      </c>
      <c r="C2294" s="17" t="s">
        <v>11</v>
      </c>
      <c r="D2294" s="17" t="s">
        <v>233</v>
      </c>
      <c r="E2294" s="17" t="s">
        <v>20</v>
      </c>
      <c r="F2294" s="16" t="s">
        <v>7240</v>
      </c>
    </row>
    <row r="2295" spans="1:6" x14ac:dyDescent="0.25">
      <c r="A2295" s="16" t="s">
        <v>7241</v>
      </c>
      <c r="B2295" s="17" t="s">
        <v>7242</v>
      </c>
      <c r="C2295" s="17" t="s">
        <v>11</v>
      </c>
      <c r="D2295" s="17" t="s">
        <v>12</v>
      </c>
      <c r="E2295" s="17" t="s">
        <v>13</v>
      </c>
      <c r="F2295" s="16" t="s">
        <v>7243</v>
      </c>
    </row>
    <row r="2296" spans="1:6" x14ac:dyDescent="0.25">
      <c r="A2296" s="16" t="s">
        <v>7244</v>
      </c>
      <c r="B2296" s="17" t="s">
        <v>7245</v>
      </c>
      <c r="C2296" s="17" t="s">
        <v>11</v>
      </c>
      <c r="D2296" s="17" t="s">
        <v>12</v>
      </c>
      <c r="E2296" s="17" t="s">
        <v>13</v>
      </c>
      <c r="F2296" s="16" t="s">
        <v>7246</v>
      </c>
    </row>
    <row r="2297" spans="1:6" x14ac:dyDescent="0.25">
      <c r="A2297" s="16" t="s">
        <v>7247</v>
      </c>
      <c r="B2297" s="17" t="s">
        <v>7248</v>
      </c>
      <c r="C2297" s="17" t="s">
        <v>11</v>
      </c>
      <c r="D2297" s="17" t="s">
        <v>12</v>
      </c>
      <c r="E2297" s="17" t="s">
        <v>13</v>
      </c>
      <c r="F2297" s="16" t="s">
        <v>7249</v>
      </c>
    </row>
    <row r="2298" spans="1:6" x14ac:dyDescent="0.25">
      <c r="A2298" s="16" t="s">
        <v>7250</v>
      </c>
      <c r="B2298" s="17" t="s">
        <v>7251</v>
      </c>
      <c r="C2298" s="17" t="s">
        <v>11</v>
      </c>
      <c r="D2298" s="17" t="s">
        <v>12</v>
      </c>
      <c r="E2298" s="17" t="s">
        <v>13</v>
      </c>
      <c r="F2298" s="16" t="s">
        <v>7252</v>
      </c>
    </row>
    <row r="2299" spans="1:6" x14ac:dyDescent="0.25">
      <c r="A2299" s="16" t="s">
        <v>7253</v>
      </c>
      <c r="B2299" s="17" t="s">
        <v>7254</v>
      </c>
      <c r="C2299" s="17" t="s">
        <v>11</v>
      </c>
      <c r="D2299" s="17" t="s">
        <v>12</v>
      </c>
      <c r="E2299" s="17" t="s">
        <v>13</v>
      </c>
      <c r="F2299" s="16" t="s">
        <v>7255</v>
      </c>
    </row>
    <row r="2300" spans="1:6" x14ac:dyDescent="0.25">
      <c r="A2300" s="16" t="s">
        <v>7256</v>
      </c>
      <c r="B2300" s="17" t="s">
        <v>7257</v>
      </c>
      <c r="C2300" s="17" t="s">
        <v>11</v>
      </c>
      <c r="D2300" s="17" t="s">
        <v>12</v>
      </c>
      <c r="E2300" s="17" t="s">
        <v>13</v>
      </c>
      <c r="F2300" s="16" t="s">
        <v>7258</v>
      </c>
    </row>
    <row r="2301" spans="1:6" x14ac:dyDescent="0.25">
      <c r="A2301" s="16" t="s">
        <v>7259</v>
      </c>
      <c r="B2301" s="17" t="s">
        <v>7260</v>
      </c>
      <c r="C2301" s="17" t="s">
        <v>11</v>
      </c>
      <c r="D2301" s="17" t="s">
        <v>12</v>
      </c>
      <c r="E2301" s="17" t="s">
        <v>13</v>
      </c>
      <c r="F2301" s="16" t="s">
        <v>7261</v>
      </c>
    </row>
    <row r="2302" spans="1:6" x14ac:dyDescent="0.25">
      <c r="A2302" s="16" t="s">
        <v>7262</v>
      </c>
      <c r="B2302" s="17" t="s">
        <v>7263</v>
      </c>
      <c r="C2302" s="17" t="s">
        <v>11</v>
      </c>
      <c r="D2302" s="17" t="s">
        <v>12</v>
      </c>
      <c r="E2302" s="17" t="s">
        <v>13</v>
      </c>
      <c r="F2302" s="16" t="s">
        <v>7264</v>
      </c>
    </row>
    <row r="2303" spans="1:6" x14ac:dyDescent="0.25">
      <c r="A2303" s="16" t="s">
        <v>7265</v>
      </c>
      <c r="B2303" s="17" t="s">
        <v>7266</v>
      </c>
      <c r="C2303" s="17" t="s">
        <v>11</v>
      </c>
      <c r="D2303" s="17" t="s">
        <v>32</v>
      </c>
      <c r="E2303" s="17" t="s">
        <v>20</v>
      </c>
      <c r="F2303" s="16" t="s">
        <v>7267</v>
      </c>
    </row>
    <row r="2304" spans="1:6" x14ac:dyDescent="0.25">
      <c r="A2304" s="16" t="s">
        <v>7268</v>
      </c>
      <c r="B2304" s="17" t="s">
        <v>7269</v>
      </c>
      <c r="C2304" s="17" t="s">
        <v>11</v>
      </c>
      <c r="D2304" s="17" t="s">
        <v>291</v>
      </c>
      <c r="E2304" s="17" t="s">
        <v>20</v>
      </c>
      <c r="F2304" s="16" t="s">
        <v>7270</v>
      </c>
    </row>
    <row r="2305" spans="1:6" x14ac:dyDescent="0.25">
      <c r="A2305" s="16" t="s">
        <v>7271</v>
      </c>
      <c r="B2305" s="17" t="s">
        <v>7272</v>
      </c>
      <c r="C2305" s="17" t="s">
        <v>11</v>
      </c>
      <c r="D2305" s="17" t="s">
        <v>12</v>
      </c>
      <c r="E2305" s="17" t="s">
        <v>13</v>
      </c>
      <c r="F2305" s="16" t="s">
        <v>7273</v>
      </c>
    </row>
    <row r="2306" spans="1:6" x14ac:dyDescent="0.25">
      <c r="A2306" s="16" t="s">
        <v>7274</v>
      </c>
      <c r="B2306" s="17" t="s">
        <v>7275</v>
      </c>
      <c r="C2306" s="17" t="s">
        <v>11</v>
      </c>
      <c r="D2306" s="17" t="s">
        <v>12</v>
      </c>
      <c r="E2306" s="17" t="s">
        <v>13</v>
      </c>
      <c r="F2306" s="16" t="s">
        <v>7276</v>
      </c>
    </row>
    <row r="2307" spans="1:6" x14ac:dyDescent="0.25">
      <c r="A2307" s="16" t="s">
        <v>7277</v>
      </c>
      <c r="B2307" s="17" t="s">
        <v>7278</v>
      </c>
      <c r="C2307" s="17" t="s">
        <v>11</v>
      </c>
      <c r="D2307" s="17" t="s">
        <v>233</v>
      </c>
      <c r="E2307" s="17" t="s">
        <v>20</v>
      </c>
      <c r="F2307" s="16" t="s">
        <v>7279</v>
      </c>
    </row>
    <row r="2308" spans="1:6" x14ac:dyDescent="0.25">
      <c r="A2308" s="16" t="s">
        <v>7280</v>
      </c>
      <c r="B2308" s="17" t="s">
        <v>7281</v>
      </c>
      <c r="C2308" s="17" t="s">
        <v>11</v>
      </c>
      <c r="D2308" s="17" t="s">
        <v>182</v>
      </c>
      <c r="E2308" s="17" t="s">
        <v>20</v>
      </c>
      <c r="F2308" s="16" t="s">
        <v>7282</v>
      </c>
    </row>
    <row r="2309" spans="1:6" x14ac:dyDescent="0.25">
      <c r="A2309" s="16" t="s">
        <v>7283</v>
      </c>
      <c r="B2309" s="17" t="s">
        <v>7284</v>
      </c>
      <c r="C2309" s="17" t="s">
        <v>11</v>
      </c>
      <c r="D2309" s="17" t="s">
        <v>12</v>
      </c>
      <c r="E2309" s="17" t="s">
        <v>13</v>
      </c>
      <c r="F2309" s="16" t="s">
        <v>7285</v>
      </c>
    </row>
    <row r="2310" spans="1:6" x14ac:dyDescent="0.25">
      <c r="A2310" s="16" t="s">
        <v>7286</v>
      </c>
      <c r="B2310" s="17" t="s">
        <v>7287</v>
      </c>
      <c r="C2310" s="17" t="s">
        <v>11</v>
      </c>
      <c r="D2310" s="17" t="s">
        <v>182</v>
      </c>
      <c r="E2310" s="17" t="s">
        <v>20</v>
      </c>
      <c r="F2310" s="16" t="s">
        <v>7288</v>
      </c>
    </row>
    <row r="2311" spans="1:6" x14ac:dyDescent="0.25">
      <c r="A2311" s="16" t="s">
        <v>7289</v>
      </c>
      <c r="B2311" s="17" t="s">
        <v>7290</v>
      </c>
      <c r="C2311" s="17" t="s">
        <v>11</v>
      </c>
      <c r="D2311" s="17" t="s">
        <v>148</v>
      </c>
      <c r="E2311" s="17" t="s">
        <v>20</v>
      </c>
      <c r="F2311" s="16" t="s">
        <v>7291</v>
      </c>
    </row>
    <row r="2312" spans="1:6" x14ac:dyDescent="0.25">
      <c r="A2312" s="16" t="s">
        <v>7292</v>
      </c>
      <c r="B2312" s="17" t="s">
        <v>7293</v>
      </c>
      <c r="C2312" s="17" t="s">
        <v>11</v>
      </c>
      <c r="D2312" s="17" t="s">
        <v>12</v>
      </c>
      <c r="E2312" s="17" t="s">
        <v>13</v>
      </c>
      <c r="F2312" s="16" t="s">
        <v>7294</v>
      </c>
    </row>
    <row r="2313" spans="1:6" x14ac:dyDescent="0.25">
      <c r="A2313" s="16" t="s">
        <v>7295</v>
      </c>
      <c r="B2313" s="17" t="s">
        <v>7296</v>
      </c>
      <c r="C2313" s="17" t="s">
        <v>11</v>
      </c>
      <c r="D2313" s="17" t="s">
        <v>12</v>
      </c>
      <c r="E2313" s="17" t="s">
        <v>13</v>
      </c>
      <c r="F2313" s="16" t="s">
        <v>7297</v>
      </c>
    </row>
    <row r="2314" spans="1:6" x14ac:dyDescent="0.25">
      <c r="A2314" s="16" t="s">
        <v>7298</v>
      </c>
      <c r="B2314" s="17" t="s">
        <v>7299</v>
      </c>
      <c r="C2314" s="17" t="s">
        <v>11</v>
      </c>
      <c r="D2314" s="17" t="s">
        <v>89</v>
      </c>
      <c r="E2314" s="17" t="s">
        <v>20</v>
      </c>
      <c r="F2314" s="16" t="s">
        <v>7300</v>
      </c>
    </row>
    <row r="2315" spans="1:6" x14ac:dyDescent="0.25">
      <c r="A2315" s="16" t="s">
        <v>7301</v>
      </c>
      <c r="B2315" s="17" t="s">
        <v>7302</v>
      </c>
      <c r="C2315" s="17" t="s">
        <v>11</v>
      </c>
      <c r="D2315" s="17" t="s">
        <v>649</v>
      </c>
      <c r="E2315" s="17" t="s">
        <v>20</v>
      </c>
      <c r="F2315" s="16" t="s">
        <v>7303</v>
      </c>
    </row>
    <row r="2316" spans="1:6" x14ac:dyDescent="0.25">
      <c r="A2316" s="16" t="s">
        <v>7304</v>
      </c>
      <c r="B2316" s="17" t="s">
        <v>7305</v>
      </c>
      <c r="C2316" s="17" t="s">
        <v>11</v>
      </c>
      <c r="D2316" s="17" t="s">
        <v>148</v>
      </c>
      <c r="E2316" s="17" t="s">
        <v>20</v>
      </c>
      <c r="F2316" s="16" t="s">
        <v>7306</v>
      </c>
    </row>
    <row r="2317" spans="1:6" x14ac:dyDescent="0.25">
      <c r="A2317" s="16" t="s">
        <v>7307</v>
      </c>
      <c r="B2317" s="17" t="s">
        <v>7308</v>
      </c>
      <c r="C2317" s="17" t="s">
        <v>11</v>
      </c>
      <c r="D2317" s="17" t="s">
        <v>83</v>
      </c>
      <c r="E2317" s="17" t="s">
        <v>20</v>
      </c>
      <c r="F2317" s="16" t="s">
        <v>7309</v>
      </c>
    </row>
    <row r="2318" spans="1:6" x14ac:dyDescent="0.25">
      <c r="A2318" s="16" t="s">
        <v>7310</v>
      </c>
      <c r="B2318" s="17" t="s">
        <v>7311</v>
      </c>
      <c r="C2318" s="17" t="s">
        <v>11</v>
      </c>
      <c r="D2318" s="17" t="s">
        <v>74</v>
      </c>
      <c r="E2318" s="17" t="s">
        <v>20</v>
      </c>
      <c r="F2318" s="16" t="s">
        <v>7312</v>
      </c>
    </row>
    <row r="2319" spans="1:6" x14ac:dyDescent="0.25">
      <c r="A2319" s="16" t="s">
        <v>7313</v>
      </c>
      <c r="B2319" s="17" t="s">
        <v>7314</v>
      </c>
      <c r="C2319" s="17" t="s">
        <v>11</v>
      </c>
      <c r="D2319" s="17" t="s">
        <v>12</v>
      </c>
      <c r="E2319" s="17" t="s">
        <v>13</v>
      </c>
      <c r="F2319" s="16" t="s">
        <v>7315</v>
      </c>
    </row>
    <row r="2320" spans="1:6" x14ac:dyDescent="0.25">
      <c r="A2320" s="16" t="s">
        <v>7316</v>
      </c>
      <c r="B2320" s="17" t="s">
        <v>7317</v>
      </c>
      <c r="C2320" s="17" t="s">
        <v>11</v>
      </c>
      <c r="D2320" s="17" t="s">
        <v>32</v>
      </c>
      <c r="E2320" s="17" t="s">
        <v>20</v>
      </c>
      <c r="F2320" s="16" t="s">
        <v>7318</v>
      </c>
    </row>
    <row r="2321" spans="1:6" x14ac:dyDescent="0.25">
      <c r="A2321" s="16" t="s">
        <v>7319</v>
      </c>
      <c r="B2321" s="17" t="s">
        <v>7320</v>
      </c>
      <c r="C2321" s="17" t="s">
        <v>11</v>
      </c>
      <c r="D2321" s="17" t="s">
        <v>12</v>
      </c>
      <c r="E2321" s="17" t="s">
        <v>13</v>
      </c>
      <c r="F2321" s="16" t="s">
        <v>7321</v>
      </c>
    </row>
    <row r="2322" spans="1:6" x14ac:dyDescent="0.25">
      <c r="A2322" s="16" t="s">
        <v>7322</v>
      </c>
      <c r="B2322" s="17" t="s">
        <v>7323</v>
      </c>
      <c r="C2322" s="17" t="s">
        <v>11</v>
      </c>
      <c r="D2322" s="17" t="s">
        <v>12</v>
      </c>
      <c r="E2322" s="17" t="s">
        <v>13</v>
      </c>
      <c r="F2322" s="16" t="s">
        <v>7324</v>
      </c>
    </row>
    <row r="2323" spans="1:6" x14ac:dyDescent="0.25">
      <c r="A2323" s="16" t="s">
        <v>7325</v>
      </c>
      <c r="B2323" s="17" t="s">
        <v>7326</v>
      </c>
      <c r="C2323" s="17" t="s">
        <v>11</v>
      </c>
      <c r="D2323" s="17" t="s">
        <v>250</v>
      </c>
      <c r="E2323" s="17" t="s">
        <v>20</v>
      </c>
      <c r="F2323" s="16" t="s">
        <v>7327</v>
      </c>
    </row>
    <row r="2324" spans="1:6" x14ac:dyDescent="0.25">
      <c r="A2324" s="16" t="s">
        <v>7328</v>
      </c>
      <c r="B2324" s="17" t="s">
        <v>7329</v>
      </c>
      <c r="C2324" s="17" t="s">
        <v>11</v>
      </c>
      <c r="D2324" s="17" t="s">
        <v>12</v>
      </c>
      <c r="E2324" s="17" t="s">
        <v>13</v>
      </c>
      <c r="F2324" s="16" t="s">
        <v>7330</v>
      </c>
    </row>
    <row r="2325" spans="1:6" x14ac:dyDescent="0.25">
      <c r="A2325" s="16" t="s">
        <v>7331</v>
      </c>
      <c r="B2325" s="17" t="s">
        <v>7332</v>
      </c>
      <c r="C2325" s="17" t="s">
        <v>11</v>
      </c>
      <c r="D2325" s="17" t="s">
        <v>12</v>
      </c>
      <c r="E2325" s="17" t="s">
        <v>13</v>
      </c>
      <c r="F2325" s="16" t="s">
        <v>7333</v>
      </c>
    </row>
    <row r="2326" spans="1:6" x14ac:dyDescent="0.25">
      <c r="A2326" s="16" t="s">
        <v>7334</v>
      </c>
      <c r="B2326" s="17" t="s">
        <v>7335</v>
      </c>
      <c r="C2326" s="17" t="s">
        <v>11</v>
      </c>
      <c r="D2326" s="17" t="s">
        <v>12</v>
      </c>
      <c r="E2326" s="17" t="s">
        <v>13</v>
      </c>
      <c r="F2326" s="16" t="s">
        <v>7336</v>
      </c>
    </row>
    <row r="2327" spans="1:6" x14ac:dyDescent="0.25">
      <c r="A2327" s="16" t="s">
        <v>7337</v>
      </c>
      <c r="B2327" s="17" t="s">
        <v>7338</v>
      </c>
      <c r="C2327" s="17" t="s">
        <v>11</v>
      </c>
      <c r="D2327" s="17" t="s">
        <v>12</v>
      </c>
      <c r="E2327" s="17" t="s">
        <v>13</v>
      </c>
      <c r="F2327" s="16" t="s">
        <v>7339</v>
      </c>
    </row>
    <row r="2328" spans="1:6" x14ac:dyDescent="0.25">
      <c r="A2328" s="16" t="s">
        <v>7340</v>
      </c>
      <c r="B2328" s="17" t="s">
        <v>7341</v>
      </c>
      <c r="C2328" s="17" t="s">
        <v>11</v>
      </c>
      <c r="D2328" s="17" t="s">
        <v>148</v>
      </c>
      <c r="E2328" s="17" t="s">
        <v>20</v>
      </c>
      <c r="F2328" s="16" t="s">
        <v>7342</v>
      </c>
    </row>
    <row r="2329" spans="1:6" x14ac:dyDescent="0.25">
      <c r="A2329" s="16" t="s">
        <v>7343</v>
      </c>
      <c r="B2329" s="17" t="s">
        <v>7344</v>
      </c>
      <c r="C2329" s="17" t="s">
        <v>11</v>
      </c>
      <c r="D2329" s="17" t="s">
        <v>148</v>
      </c>
      <c r="E2329" s="17" t="s">
        <v>20</v>
      </c>
      <c r="F2329" s="16" t="s">
        <v>7345</v>
      </c>
    </row>
    <row r="2330" spans="1:6" x14ac:dyDescent="0.25">
      <c r="A2330" s="16" t="s">
        <v>7346</v>
      </c>
      <c r="B2330" s="17" t="s">
        <v>7347</v>
      </c>
      <c r="C2330" s="17" t="s">
        <v>11</v>
      </c>
      <c r="D2330" s="17" t="s">
        <v>32</v>
      </c>
      <c r="E2330" s="17" t="s">
        <v>20</v>
      </c>
      <c r="F2330" s="16" t="s">
        <v>7348</v>
      </c>
    </row>
    <row r="2331" spans="1:6" x14ac:dyDescent="0.25">
      <c r="A2331" s="16" t="s">
        <v>7349</v>
      </c>
      <c r="B2331" s="17" t="s">
        <v>7350</v>
      </c>
      <c r="C2331" s="17" t="s">
        <v>11</v>
      </c>
      <c r="D2331" s="17" t="s">
        <v>148</v>
      </c>
      <c r="E2331" s="17" t="s">
        <v>20</v>
      </c>
      <c r="F2331" s="16" t="s">
        <v>7351</v>
      </c>
    </row>
    <row r="2332" spans="1:6" x14ac:dyDescent="0.25">
      <c r="A2332" s="16" t="s">
        <v>7352</v>
      </c>
      <c r="B2332" s="17" t="s">
        <v>7353</v>
      </c>
      <c r="C2332" s="17" t="s">
        <v>11</v>
      </c>
      <c r="D2332" s="17" t="s">
        <v>3346</v>
      </c>
      <c r="E2332" s="17" t="s">
        <v>20</v>
      </c>
      <c r="F2332" s="16" t="s">
        <v>7354</v>
      </c>
    </row>
    <row r="2333" spans="1:6" x14ac:dyDescent="0.25">
      <c r="A2333" s="16" t="s">
        <v>7355</v>
      </c>
      <c r="B2333" s="17" t="s">
        <v>7356</v>
      </c>
      <c r="C2333" s="17" t="s">
        <v>11</v>
      </c>
      <c r="D2333" s="17" t="s">
        <v>12</v>
      </c>
      <c r="E2333" s="17" t="s">
        <v>13</v>
      </c>
      <c r="F2333" s="16" t="s">
        <v>7357</v>
      </c>
    </row>
    <row r="2334" spans="1:6" x14ac:dyDescent="0.25">
      <c r="A2334" s="16" t="s">
        <v>7358</v>
      </c>
      <c r="B2334" s="17" t="s">
        <v>7359</v>
      </c>
      <c r="C2334" s="17" t="s">
        <v>11</v>
      </c>
      <c r="D2334" s="17" t="s">
        <v>32</v>
      </c>
      <c r="E2334" s="17" t="s">
        <v>20</v>
      </c>
      <c r="F2334" s="16" t="s">
        <v>7360</v>
      </c>
    </row>
    <row r="2335" spans="1:6" x14ac:dyDescent="0.25">
      <c r="A2335" s="16" t="s">
        <v>7361</v>
      </c>
      <c r="B2335" s="17" t="s">
        <v>7362</v>
      </c>
      <c r="C2335" s="17" t="s">
        <v>11</v>
      </c>
      <c r="D2335" s="17" t="s">
        <v>32</v>
      </c>
      <c r="E2335" s="17" t="s">
        <v>20</v>
      </c>
      <c r="F2335" s="16" t="s">
        <v>7363</v>
      </c>
    </row>
    <row r="2336" spans="1:6" x14ac:dyDescent="0.25">
      <c r="A2336" s="16" t="s">
        <v>7364</v>
      </c>
      <c r="B2336" s="17" t="s">
        <v>7365</v>
      </c>
      <c r="C2336" s="17" t="s">
        <v>11</v>
      </c>
      <c r="D2336" s="17" t="s">
        <v>68</v>
      </c>
      <c r="E2336" s="17" t="s">
        <v>20</v>
      </c>
      <c r="F2336" s="16" t="s">
        <v>7366</v>
      </c>
    </row>
    <row r="2337" spans="1:6" x14ac:dyDescent="0.25">
      <c r="A2337" s="16" t="s">
        <v>7367</v>
      </c>
      <c r="B2337" s="17" t="s">
        <v>7368</v>
      </c>
      <c r="C2337" s="17" t="s">
        <v>11</v>
      </c>
      <c r="D2337" s="17" t="s">
        <v>32</v>
      </c>
      <c r="E2337" s="17" t="s">
        <v>20</v>
      </c>
      <c r="F2337" s="16" t="s">
        <v>7369</v>
      </c>
    </row>
    <row r="2338" spans="1:6" x14ac:dyDescent="0.25">
      <c r="A2338" s="16" t="s">
        <v>7370</v>
      </c>
      <c r="B2338" s="17" t="s">
        <v>7371</v>
      </c>
      <c r="C2338" s="17" t="s">
        <v>11</v>
      </c>
      <c r="D2338" s="17" t="s">
        <v>186</v>
      </c>
      <c r="E2338" s="17" t="s">
        <v>20</v>
      </c>
      <c r="F2338" s="16" t="s">
        <v>7372</v>
      </c>
    </row>
    <row r="2339" spans="1:6" x14ac:dyDescent="0.25">
      <c r="A2339" s="16" t="s">
        <v>7373</v>
      </c>
      <c r="B2339" s="17" t="s">
        <v>7374</v>
      </c>
      <c r="C2339" s="17" t="s">
        <v>11</v>
      </c>
      <c r="D2339" s="17" t="s">
        <v>83</v>
      </c>
      <c r="E2339" s="17" t="s">
        <v>20</v>
      </c>
      <c r="F2339" s="16" t="s">
        <v>7375</v>
      </c>
    </row>
    <row r="2340" spans="1:6" x14ac:dyDescent="0.25">
      <c r="A2340" s="16" t="s">
        <v>7376</v>
      </c>
      <c r="B2340" s="17" t="s">
        <v>7377</v>
      </c>
      <c r="C2340" s="17" t="s">
        <v>11</v>
      </c>
      <c r="D2340" s="17" t="s">
        <v>74</v>
      </c>
      <c r="E2340" s="17" t="s">
        <v>20</v>
      </c>
      <c r="F2340" s="16" t="s">
        <v>7378</v>
      </c>
    </row>
    <row r="2341" spans="1:6" x14ac:dyDescent="0.25">
      <c r="A2341" s="16" t="s">
        <v>7379</v>
      </c>
      <c r="B2341" s="17" t="s">
        <v>7380</v>
      </c>
      <c r="C2341" s="17" t="s">
        <v>11</v>
      </c>
      <c r="D2341" s="17" t="s">
        <v>250</v>
      </c>
      <c r="E2341" s="17" t="s">
        <v>20</v>
      </c>
      <c r="F2341" s="16" t="s">
        <v>7381</v>
      </c>
    </row>
    <row r="2342" spans="1:6" x14ac:dyDescent="0.25">
      <c r="A2342" s="16" t="s">
        <v>7382</v>
      </c>
      <c r="B2342" s="17" t="s">
        <v>7383</v>
      </c>
      <c r="C2342" s="17" t="s">
        <v>11</v>
      </c>
      <c r="D2342" s="17" t="s">
        <v>32</v>
      </c>
      <c r="E2342" s="17" t="s">
        <v>20</v>
      </c>
      <c r="F2342" s="16" t="s">
        <v>7384</v>
      </c>
    </row>
    <row r="2343" spans="1:6" x14ac:dyDescent="0.25">
      <c r="A2343" s="16" t="s">
        <v>7385</v>
      </c>
      <c r="B2343" s="17" t="s">
        <v>7386</v>
      </c>
      <c r="C2343" s="17" t="s">
        <v>11</v>
      </c>
      <c r="D2343" s="17" t="s">
        <v>32</v>
      </c>
      <c r="E2343" s="17" t="s">
        <v>20</v>
      </c>
      <c r="F2343" s="16" t="s">
        <v>7387</v>
      </c>
    </row>
    <row r="2344" spans="1:6" x14ac:dyDescent="0.25">
      <c r="A2344" s="16" t="s">
        <v>7388</v>
      </c>
      <c r="B2344" s="17" t="s">
        <v>7389</v>
      </c>
      <c r="C2344" s="17" t="s">
        <v>11</v>
      </c>
      <c r="D2344" s="17" t="s">
        <v>12</v>
      </c>
      <c r="E2344" s="17" t="s">
        <v>13</v>
      </c>
      <c r="F2344" s="16" t="s">
        <v>7390</v>
      </c>
    </row>
    <row r="2345" spans="1:6" x14ac:dyDescent="0.25">
      <c r="A2345" s="16" t="s">
        <v>7391</v>
      </c>
      <c r="B2345" s="17" t="s">
        <v>7392</v>
      </c>
      <c r="C2345" s="17" t="s">
        <v>11</v>
      </c>
      <c r="D2345" s="17" t="s">
        <v>12</v>
      </c>
      <c r="E2345" s="17" t="s">
        <v>13</v>
      </c>
      <c r="F2345" s="16" t="s">
        <v>7393</v>
      </c>
    </row>
    <row r="2346" spans="1:6" x14ac:dyDescent="0.25">
      <c r="A2346" s="16" t="s">
        <v>7394</v>
      </c>
      <c r="B2346" s="17" t="s">
        <v>7395</v>
      </c>
      <c r="C2346" s="17" t="s">
        <v>11</v>
      </c>
      <c r="D2346" s="17" t="s">
        <v>250</v>
      </c>
      <c r="E2346" s="17" t="s">
        <v>20</v>
      </c>
      <c r="F2346" s="16" t="s">
        <v>7396</v>
      </c>
    </row>
    <row r="2347" spans="1:6" x14ac:dyDescent="0.25">
      <c r="A2347" s="16" t="s">
        <v>7397</v>
      </c>
      <c r="B2347" s="17" t="s">
        <v>7398</v>
      </c>
      <c r="C2347" s="17" t="s">
        <v>11</v>
      </c>
      <c r="D2347" s="17" t="s">
        <v>12</v>
      </c>
      <c r="E2347" s="17" t="s">
        <v>13</v>
      </c>
      <c r="F2347" s="16" t="s">
        <v>7399</v>
      </c>
    </row>
    <row r="2348" spans="1:6" x14ac:dyDescent="0.25">
      <c r="A2348" s="16" t="s">
        <v>7400</v>
      </c>
      <c r="B2348" s="17" t="s">
        <v>7401</v>
      </c>
      <c r="C2348" s="17" t="s">
        <v>11</v>
      </c>
      <c r="D2348" s="17" t="s">
        <v>12</v>
      </c>
      <c r="E2348" s="17" t="s">
        <v>13</v>
      </c>
      <c r="F2348" s="16" t="s">
        <v>7402</v>
      </c>
    </row>
    <row r="2349" spans="1:6" x14ac:dyDescent="0.25">
      <c r="A2349" s="16" t="s">
        <v>7403</v>
      </c>
      <c r="B2349" s="17" t="s">
        <v>7404</v>
      </c>
      <c r="C2349" s="17" t="s">
        <v>11</v>
      </c>
      <c r="D2349" s="17" t="s">
        <v>12</v>
      </c>
      <c r="E2349" s="17" t="s">
        <v>13</v>
      </c>
      <c r="F2349" s="16" t="s">
        <v>7405</v>
      </c>
    </row>
    <row r="2350" spans="1:6" x14ac:dyDescent="0.25">
      <c r="A2350" s="16" t="s">
        <v>7406</v>
      </c>
      <c r="B2350" s="17" t="s">
        <v>7407</v>
      </c>
      <c r="C2350" s="17" t="s">
        <v>11</v>
      </c>
      <c r="D2350" s="17" t="s">
        <v>59</v>
      </c>
      <c r="E2350" s="17" t="s">
        <v>13</v>
      </c>
      <c r="F2350" s="16" t="s">
        <v>7408</v>
      </c>
    </row>
    <row r="2351" spans="1:6" x14ac:dyDescent="0.25">
      <c r="A2351" s="16" t="s">
        <v>7409</v>
      </c>
      <c r="B2351" s="17" t="s">
        <v>7410</v>
      </c>
      <c r="C2351" s="17" t="s">
        <v>11</v>
      </c>
      <c r="D2351" s="17" t="s">
        <v>12</v>
      </c>
      <c r="E2351" s="17" t="s">
        <v>13</v>
      </c>
      <c r="F2351" s="16" t="s">
        <v>7411</v>
      </c>
    </row>
    <row r="2352" spans="1:6" x14ac:dyDescent="0.25">
      <c r="A2352" s="16" t="s">
        <v>7412</v>
      </c>
      <c r="B2352" s="17" t="s">
        <v>7413</v>
      </c>
      <c r="C2352" s="17" t="s">
        <v>11</v>
      </c>
      <c r="D2352" s="17" t="s">
        <v>12</v>
      </c>
      <c r="E2352" s="17" t="s">
        <v>13</v>
      </c>
      <c r="F2352" s="16" t="s">
        <v>7414</v>
      </c>
    </row>
    <row r="2353" spans="1:6" x14ac:dyDescent="0.25">
      <c r="A2353" s="16" t="s">
        <v>7415</v>
      </c>
      <c r="B2353" s="17" t="s">
        <v>7416</v>
      </c>
      <c r="C2353" s="17" t="s">
        <v>11</v>
      </c>
      <c r="D2353" s="17" t="s">
        <v>12</v>
      </c>
      <c r="E2353" s="17" t="s">
        <v>13</v>
      </c>
      <c r="F2353" s="16" t="s">
        <v>7417</v>
      </c>
    </row>
    <row r="2354" spans="1:6" x14ac:dyDescent="0.25">
      <c r="A2354" s="16" t="s">
        <v>7418</v>
      </c>
      <c r="B2354" s="17" t="s">
        <v>7419</v>
      </c>
      <c r="C2354" s="17" t="s">
        <v>11</v>
      </c>
      <c r="D2354" s="17" t="s">
        <v>12</v>
      </c>
      <c r="E2354" s="17" t="s">
        <v>13</v>
      </c>
      <c r="F2354" s="16" t="s">
        <v>7420</v>
      </c>
    </row>
    <row r="2355" spans="1:6" x14ac:dyDescent="0.25">
      <c r="A2355" s="16" t="s">
        <v>7421</v>
      </c>
      <c r="B2355" s="17" t="s">
        <v>7422</v>
      </c>
      <c r="C2355" s="17" t="s">
        <v>11</v>
      </c>
      <c r="D2355" s="17" t="s">
        <v>12</v>
      </c>
      <c r="E2355" s="17" t="s">
        <v>13</v>
      </c>
      <c r="F2355" s="16" t="s">
        <v>7423</v>
      </c>
    </row>
    <row r="2356" spans="1:6" x14ac:dyDescent="0.25">
      <c r="A2356" s="16" t="s">
        <v>7424</v>
      </c>
      <c r="B2356" s="17" t="s">
        <v>7425</v>
      </c>
      <c r="C2356" s="17" t="s">
        <v>11</v>
      </c>
      <c r="D2356" s="17" t="s">
        <v>12</v>
      </c>
      <c r="E2356" s="17" t="s">
        <v>13</v>
      </c>
      <c r="F2356" s="16" t="s">
        <v>7426</v>
      </c>
    </row>
    <row r="2357" spans="1:6" x14ac:dyDescent="0.25">
      <c r="A2357" s="16" t="s">
        <v>7427</v>
      </c>
      <c r="B2357" s="17" t="s">
        <v>7428</v>
      </c>
      <c r="C2357" s="17" t="s">
        <v>11</v>
      </c>
      <c r="D2357" s="17" t="s">
        <v>12</v>
      </c>
      <c r="E2357" s="17" t="s">
        <v>13</v>
      </c>
      <c r="F2357" s="16" t="s">
        <v>7429</v>
      </c>
    </row>
    <row r="2358" spans="1:6" x14ac:dyDescent="0.25">
      <c r="A2358" s="16" t="s">
        <v>7430</v>
      </c>
      <c r="B2358" s="17" t="s">
        <v>7431</v>
      </c>
      <c r="C2358" s="17" t="s">
        <v>11</v>
      </c>
      <c r="D2358" s="17" t="s">
        <v>12</v>
      </c>
      <c r="E2358" s="17" t="s">
        <v>13</v>
      </c>
      <c r="F2358" s="16" t="s">
        <v>7432</v>
      </c>
    </row>
    <row r="2359" spans="1:6" x14ac:dyDescent="0.25">
      <c r="A2359" s="16" t="s">
        <v>7433</v>
      </c>
      <c r="B2359" s="17" t="s">
        <v>7434</v>
      </c>
      <c r="C2359" s="17" t="s">
        <v>11</v>
      </c>
      <c r="D2359" s="17" t="s">
        <v>811</v>
      </c>
      <c r="E2359" s="17" t="s">
        <v>20</v>
      </c>
      <c r="F2359" s="16" t="s">
        <v>7435</v>
      </c>
    </row>
    <row r="2360" spans="1:6" x14ac:dyDescent="0.25">
      <c r="A2360" s="16" t="s">
        <v>7436</v>
      </c>
      <c r="B2360" s="17" t="s">
        <v>7437</v>
      </c>
      <c r="C2360" s="17" t="s">
        <v>11</v>
      </c>
      <c r="D2360" s="17" t="s">
        <v>12</v>
      </c>
      <c r="E2360" s="17" t="s">
        <v>13</v>
      </c>
      <c r="F2360" s="16" t="s">
        <v>7438</v>
      </c>
    </row>
    <row r="2361" spans="1:6" x14ac:dyDescent="0.25">
      <c r="A2361" s="16" t="s">
        <v>7439</v>
      </c>
      <c r="B2361" s="17" t="s">
        <v>7440</v>
      </c>
      <c r="C2361" s="17" t="s">
        <v>11</v>
      </c>
      <c r="D2361" s="17" t="s">
        <v>12</v>
      </c>
      <c r="E2361" s="17" t="s">
        <v>13</v>
      </c>
      <c r="F2361" s="16" t="s">
        <v>7441</v>
      </c>
    </row>
    <row r="2362" spans="1:6" x14ac:dyDescent="0.25">
      <c r="A2362" s="16" t="s">
        <v>7442</v>
      </c>
      <c r="B2362" s="17" t="s">
        <v>7443</v>
      </c>
      <c r="C2362" s="17" t="s">
        <v>11</v>
      </c>
      <c r="D2362" s="17" t="s">
        <v>74</v>
      </c>
      <c r="E2362" s="17" t="s">
        <v>20</v>
      </c>
      <c r="F2362" s="16" t="s">
        <v>7444</v>
      </c>
    </row>
    <row r="2363" spans="1:6" x14ac:dyDescent="0.25">
      <c r="A2363" s="16" t="s">
        <v>7445</v>
      </c>
      <c r="B2363" s="17" t="s">
        <v>7446</v>
      </c>
      <c r="C2363" s="17" t="s">
        <v>11</v>
      </c>
      <c r="D2363" s="17" t="s">
        <v>12</v>
      </c>
      <c r="E2363" s="17" t="s">
        <v>13</v>
      </c>
      <c r="F2363" s="16" t="s">
        <v>7447</v>
      </c>
    </row>
    <row r="2364" spans="1:6" x14ac:dyDescent="0.25">
      <c r="A2364" s="16" t="s">
        <v>7448</v>
      </c>
      <c r="B2364" s="17" t="s">
        <v>7449</v>
      </c>
      <c r="C2364" s="17" t="s">
        <v>11</v>
      </c>
      <c r="D2364" s="17" t="s">
        <v>12</v>
      </c>
      <c r="E2364" s="17" t="s">
        <v>13</v>
      </c>
      <c r="F2364" s="16" t="s">
        <v>7450</v>
      </c>
    </row>
    <row r="2365" spans="1:6" x14ac:dyDescent="0.25">
      <c r="A2365" s="16" t="s">
        <v>7451</v>
      </c>
      <c r="B2365" s="17" t="s">
        <v>7452</v>
      </c>
      <c r="C2365" s="17" t="s">
        <v>11</v>
      </c>
      <c r="D2365" s="17" t="s">
        <v>12</v>
      </c>
      <c r="E2365" s="17" t="s">
        <v>13</v>
      </c>
      <c r="F2365" s="16" t="s">
        <v>7453</v>
      </c>
    </row>
    <row r="2366" spans="1:6" x14ac:dyDescent="0.25">
      <c r="A2366" s="16" t="s">
        <v>7454</v>
      </c>
      <c r="B2366" s="17" t="s">
        <v>7455</v>
      </c>
      <c r="C2366" s="17" t="s">
        <v>11</v>
      </c>
      <c r="D2366" s="17" t="s">
        <v>12</v>
      </c>
      <c r="E2366" s="17" t="s">
        <v>13</v>
      </c>
      <c r="F2366" s="16" t="s">
        <v>7456</v>
      </c>
    </row>
    <row r="2367" spans="1:6" x14ac:dyDescent="0.25">
      <c r="A2367" s="16" t="s">
        <v>7457</v>
      </c>
      <c r="B2367" s="17" t="s">
        <v>7458</v>
      </c>
      <c r="C2367" s="17" t="s">
        <v>11</v>
      </c>
      <c r="D2367" s="17" t="s">
        <v>186</v>
      </c>
      <c r="E2367" s="17" t="s">
        <v>20</v>
      </c>
      <c r="F2367" s="16" t="s">
        <v>7459</v>
      </c>
    </row>
    <row r="2368" spans="1:6" x14ac:dyDescent="0.25">
      <c r="A2368" s="16" t="s">
        <v>7460</v>
      </c>
      <c r="B2368" s="17" t="s">
        <v>7461</v>
      </c>
      <c r="C2368" s="17" t="s">
        <v>11</v>
      </c>
      <c r="D2368" s="17" t="s">
        <v>12</v>
      </c>
      <c r="E2368" s="17" t="s">
        <v>13</v>
      </c>
      <c r="F2368" s="16" t="s">
        <v>7462</v>
      </c>
    </row>
    <row r="2369" spans="1:6" x14ac:dyDescent="0.25">
      <c r="A2369" s="16" t="s">
        <v>7463</v>
      </c>
      <c r="B2369" s="17" t="s">
        <v>7464</v>
      </c>
      <c r="C2369" s="17" t="s">
        <v>11</v>
      </c>
      <c r="D2369" s="17" t="s">
        <v>12</v>
      </c>
      <c r="E2369" s="17" t="s">
        <v>13</v>
      </c>
      <c r="F2369" s="16" t="s">
        <v>7465</v>
      </c>
    </row>
    <row r="2370" spans="1:6" x14ac:dyDescent="0.25">
      <c r="A2370" s="16" t="s">
        <v>7466</v>
      </c>
      <c r="B2370" s="17" t="s">
        <v>7467</v>
      </c>
      <c r="C2370" s="17" t="s">
        <v>11</v>
      </c>
      <c r="D2370" s="17" t="s">
        <v>68</v>
      </c>
      <c r="E2370" s="17" t="s">
        <v>20</v>
      </c>
      <c r="F2370" s="16" t="s">
        <v>7468</v>
      </c>
    </row>
    <row r="2371" spans="1:6" x14ac:dyDescent="0.25">
      <c r="A2371" s="16" t="s">
        <v>7469</v>
      </c>
      <c r="B2371" s="17" t="s">
        <v>7470</v>
      </c>
      <c r="C2371" s="17" t="s">
        <v>11</v>
      </c>
      <c r="D2371" s="17" t="s">
        <v>12</v>
      </c>
      <c r="E2371" s="17" t="s">
        <v>13</v>
      </c>
      <c r="F2371" s="16" t="s">
        <v>7471</v>
      </c>
    </row>
    <row r="2372" spans="1:6" x14ac:dyDescent="0.25">
      <c r="A2372" s="16" t="s">
        <v>7472</v>
      </c>
      <c r="B2372" s="17" t="s">
        <v>7473</v>
      </c>
      <c r="C2372" s="17" t="s">
        <v>11</v>
      </c>
      <c r="D2372" s="17" t="s">
        <v>83</v>
      </c>
      <c r="E2372" s="17" t="s">
        <v>20</v>
      </c>
      <c r="F2372" s="16" t="s">
        <v>7474</v>
      </c>
    </row>
    <row r="2373" spans="1:6" x14ac:dyDescent="0.25">
      <c r="A2373" s="16" t="s">
        <v>7475</v>
      </c>
      <c r="B2373" s="17" t="s">
        <v>7476</v>
      </c>
      <c r="C2373" s="17" t="s">
        <v>11</v>
      </c>
      <c r="D2373" s="17" t="s">
        <v>182</v>
      </c>
      <c r="E2373" s="17" t="s">
        <v>20</v>
      </c>
      <c r="F2373" s="16" t="s">
        <v>7477</v>
      </c>
    </row>
    <row r="2374" spans="1:6" x14ac:dyDescent="0.25">
      <c r="A2374" s="16" t="s">
        <v>7478</v>
      </c>
      <c r="B2374" s="17" t="s">
        <v>7479</v>
      </c>
      <c r="C2374" s="17" t="s">
        <v>11</v>
      </c>
      <c r="D2374" s="17" t="s">
        <v>32</v>
      </c>
      <c r="E2374" s="17" t="s">
        <v>20</v>
      </c>
      <c r="F2374" s="16" t="s">
        <v>7480</v>
      </c>
    </row>
    <row r="2375" spans="1:6" x14ac:dyDescent="0.25">
      <c r="A2375" s="16" t="s">
        <v>7481</v>
      </c>
      <c r="B2375" s="17" t="s">
        <v>7482</v>
      </c>
      <c r="C2375" s="17" t="s">
        <v>11</v>
      </c>
      <c r="D2375" s="17" t="s">
        <v>32</v>
      </c>
      <c r="E2375" s="17" t="s">
        <v>20</v>
      </c>
      <c r="F2375" s="16" t="s">
        <v>7483</v>
      </c>
    </row>
    <row r="2376" spans="1:6" x14ac:dyDescent="0.25">
      <c r="A2376" s="16" t="s">
        <v>7484</v>
      </c>
      <c r="B2376" s="17" t="s">
        <v>7485</v>
      </c>
      <c r="C2376" s="17" t="s">
        <v>11</v>
      </c>
      <c r="D2376" s="17" t="s">
        <v>291</v>
      </c>
      <c r="E2376" s="17" t="s">
        <v>20</v>
      </c>
      <c r="F2376" s="16" t="s">
        <v>7486</v>
      </c>
    </row>
    <row r="2377" spans="1:6" x14ac:dyDescent="0.25">
      <c r="A2377" s="16" t="s">
        <v>7487</v>
      </c>
      <c r="B2377" s="17" t="s">
        <v>7488</v>
      </c>
      <c r="C2377" s="17" t="s">
        <v>11</v>
      </c>
      <c r="D2377" s="17" t="s">
        <v>32</v>
      </c>
      <c r="E2377" s="17" t="s">
        <v>20</v>
      </c>
      <c r="F2377" s="16" t="s">
        <v>7489</v>
      </c>
    </row>
    <row r="2378" spans="1:6" x14ac:dyDescent="0.25">
      <c r="A2378" s="16" t="s">
        <v>7490</v>
      </c>
      <c r="B2378" s="17" t="s">
        <v>7491</v>
      </c>
      <c r="C2378" s="17" t="s">
        <v>11</v>
      </c>
      <c r="D2378" s="17" t="s">
        <v>32</v>
      </c>
      <c r="E2378" s="17" t="s">
        <v>20</v>
      </c>
      <c r="F2378" s="16" t="s">
        <v>7492</v>
      </c>
    </row>
    <row r="2379" spans="1:6" x14ac:dyDescent="0.25">
      <c r="A2379" s="16" t="s">
        <v>7493</v>
      </c>
      <c r="B2379" s="17" t="s">
        <v>7494</v>
      </c>
      <c r="C2379" s="17" t="s">
        <v>11</v>
      </c>
      <c r="D2379" s="17" t="s">
        <v>12</v>
      </c>
      <c r="E2379" s="17" t="s">
        <v>13</v>
      </c>
      <c r="F2379" s="16" t="s">
        <v>7495</v>
      </c>
    </row>
    <row r="2380" spans="1:6" x14ac:dyDescent="0.25">
      <c r="A2380" s="16" t="s">
        <v>7496</v>
      </c>
      <c r="B2380" s="17" t="s">
        <v>7497</v>
      </c>
      <c r="C2380" s="17" t="s">
        <v>11</v>
      </c>
      <c r="D2380" s="17" t="s">
        <v>12</v>
      </c>
      <c r="E2380" s="17" t="s">
        <v>13</v>
      </c>
      <c r="F2380" s="16" t="s">
        <v>7498</v>
      </c>
    </row>
    <row r="2381" spans="1:6" x14ac:dyDescent="0.25">
      <c r="A2381" s="16" t="s">
        <v>7499</v>
      </c>
      <c r="B2381" s="17" t="s">
        <v>7500</v>
      </c>
      <c r="C2381" s="17" t="s">
        <v>11</v>
      </c>
      <c r="D2381" s="17" t="s">
        <v>12</v>
      </c>
      <c r="E2381" s="17" t="s">
        <v>13</v>
      </c>
      <c r="F2381" s="16" t="s">
        <v>7501</v>
      </c>
    </row>
    <row r="2382" spans="1:6" x14ac:dyDescent="0.25">
      <c r="A2382" s="16" t="s">
        <v>7502</v>
      </c>
      <c r="B2382" s="17" t="s">
        <v>7503</v>
      </c>
      <c r="C2382" s="17" t="s">
        <v>11</v>
      </c>
      <c r="D2382" s="17" t="s">
        <v>12</v>
      </c>
      <c r="E2382" s="17" t="s">
        <v>13</v>
      </c>
      <c r="F2382" s="16" t="s">
        <v>7504</v>
      </c>
    </row>
    <row r="2383" spans="1:6" x14ac:dyDescent="0.25">
      <c r="A2383" s="16" t="s">
        <v>7505</v>
      </c>
      <c r="B2383" s="17" t="s">
        <v>7506</v>
      </c>
      <c r="C2383" s="17" t="s">
        <v>11</v>
      </c>
      <c r="D2383" s="17" t="s">
        <v>12</v>
      </c>
      <c r="E2383" s="17" t="s">
        <v>13</v>
      </c>
      <c r="F2383" s="16" t="s">
        <v>7507</v>
      </c>
    </row>
    <row r="2384" spans="1:6" x14ac:dyDescent="0.25">
      <c r="A2384" s="16" t="s">
        <v>7508</v>
      </c>
      <c r="B2384" s="17" t="s">
        <v>7509</v>
      </c>
      <c r="C2384" s="17" t="s">
        <v>11</v>
      </c>
      <c r="D2384" s="17" t="s">
        <v>12</v>
      </c>
      <c r="E2384" s="17" t="s">
        <v>13</v>
      </c>
      <c r="F2384" s="16" t="s">
        <v>7510</v>
      </c>
    </row>
    <row r="2385" spans="1:6" x14ac:dyDescent="0.25">
      <c r="A2385" s="16" t="s">
        <v>7511</v>
      </c>
      <c r="B2385" s="17" t="s">
        <v>7512</v>
      </c>
      <c r="C2385" s="17" t="s">
        <v>11</v>
      </c>
      <c r="D2385" s="17" t="s">
        <v>12</v>
      </c>
      <c r="E2385" s="17" t="s">
        <v>13</v>
      </c>
      <c r="F2385" s="16" t="s">
        <v>7513</v>
      </c>
    </row>
    <row r="2386" spans="1:6" x14ac:dyDescent="0.25">
      <c r="A2386" s="16" t="s">
        <v>7514</v>
      </c>
      <c r="B2386" s="17" t="s">
        <v>7515</v>
      </c>
      <c r="C2386" s="17" t="s">
        <v>11</v>
      </c>
      <c r="D2386" s="17" t="s">
        <v>59</v>
      </c>
      <c r="E2386" s="17" t="s">
        <v>13</v>
      </c>
      <c r="F2386" s="16" t="s">
        <v>7516</v>
      </c>
    </row>
    <row r="2387" spans="1:6" x14ac:dyDescent="0.25">
      <c r="A2387" s="16" t="s">
        <v>7517</v>
      </c>
      <c r="B2387" s="17" t="s">
        <v>7518</v>
      </c>
      <c r="C2387" s="17" t="s">
        <v>11</v>
      </c>
      <c r="D2387" s="17" t="s">
        <v>171</v>
      </c>
      <c r="E2387" s="17" t="s">
        <v>13</v>
      </c>
      <c r="F2387" s="16" t="s">
        <v>7519</v>
      </c>
    </row>
    <row r="2388" spans="1:6" x14ac:dyDescent="0.25">
      <c r="A2388" s="16" t="s">
        <v>7520</v>
      </c>
      <c r="B2388" s="17" t="s">
        <v>7521</v>
      </c>
      <c r="C2388" s="17" t="s">
        <v>11</v>
      </c>
      <c r="D2388" s="17" t="s">
        <v>12</v>
      </c>
      <c r="E2388" s="17" t="s">
        <v>13</v>
      </c>
      <c r="F2388" s="16" t="s">
        <v>7522</v>
      </c>
    </row>
    <row r="2389" spans="1:6" x14ac:dyDescent="0.25">
      <c r="A2389" s="16" t="s">
        <v>7523</v>
      </c>
      <c r="B2389" s="17" t="s">
        <v>7524</v>
      </c>
      <c r="C2389" s="17" t="s">
        <v>11</v>
      </c>
      <c r="D2389" s="17" t="s">
        <v>12</v>
      </c>
      <c r="E2389" s="17" t="s">
        <v>13</v>
      </c>
      <c r="F2389" s="16" t="s">
        <v>7525</v>
      </c>
    </row>
    <row r="2390" spans="1:6" x14ac:dyDescent="0.25">
      <c r="A2390" s="16" t="s">
        <v>7526</v>
      </c>
      <c r="B2390" s="17" t="s">
        <v>7527</v>
      </c>
      <c r="C2390" s="17" t="s">
        <v>11</v>
      </c>
      <c r="D2390" s="17" t="s">
        <v>12</v>
      </c>
      <c r="E2390" s="17" t="s">
        <v>13</v>
      </c>
      <c r="F2390" s="16" t="s">
        <v>7528</v>
      </c>
    </row>
    <row r="2391" spans="1:6" x14ac:dyDescent="0.25">
      <c r="A2391" s="16" t="s">
        <v>7529</v>
      </c>
      <c r="B2391" s="17" t="s">
        <v>7530</v>
      </c>
      <c r="C2391" s="17" t="s">
        <v>11</v>
      </c>
      <c r="D2391" s="17" t="s">
        <v>12</v>
      </c>
      <c r="E2391" s="17" t="s">
        <v>13</v>
      </c>
      <c r="F2391" s="16" t="s">
        <v>7531</v>
      </c>
    </row>
    <row r="2392" spans="1:6" x14ac:dyDescent="0.25">
      <c r="A2392" s="16" t="s">
        <v>7532</v>
      </c>
      <c r="B2392" s="17" t="s">
        <v>7533</v>
      </c>
      <c r="C2392" s="17" t="s">
        <v>11</v>
      </c>
      <c r="D2392" s="17" t="s">
        <v>182</v>
      </c>
      <c r="E2392" s="17" t="s">
        <v>20</v>
      </c>
      <c r="F2392" s="16" t="s">
        <v>7534</v>
      </c>
    </row>
    <row r="2393" spans="1:6" x14ac:dyDescent="0.25">
      <c r="A2393" s="16" t="s">
        <v>7535</v>
      </c>
      <c r="B2393" s="17" t="s">
        <v>7536</v>
      </c>
      <c r="C2393" s="17" t="s">
        <v>11</v>
      </c>
      <c r="D2393" s="17" t="s">
        <v>32</v>
      </c>
      <c r="E2393" s="17" t="s">
        <v>20</v>
      </c>
      <c r="F2393" s="16" t="s">
        <v>7537</v>
      </c>
    </row>
    <row r="2394" spans="1:6" x14ac:dyDescent="0.25">
      <c r="A2394" s="16" t="s">
        <v>7538</v>
      </c>
      <c r="B2394" s="17" t="s">
        <v>7539</v>
      </c>
      <c r="C2394" s="17" t="s">
        <v>11</v>
      </c>
      <c r="D2394" s="17" t="s">
        <v>32</v>
      </c>
      <c r="E2394" s="17" t="s">
        <v>20</v>
      </c>
      <c r="F2394" s="16" t="s">
        <v>7540</v>
      </c>
    </row>
    <row r="2395" spans="1:6" x14ac:dyDescent="0.25">
      <c r="A2395" s="16" t="s">
        <v>7541</v>
      </c>
      <c r="B2395" s="17" t="s">
        <v>7542</v>
      </c>
      <c r="C2395" s="17" t="s">
        <v>11</v>
      </c>
      <c r="D2395" s="17" t="s">
        <v>83</v>
      </c>
      <c r="E2395" s="17" t="s">
        <v>20</v>
      </c>
      <c r="F2395" s="16" t="s">
        <v>7543</v>
      </c>
    </row>
    <row r="2396" spans="1:6" x14ac:dyDescent="0.25">
      <c r="A2396" s="16" t="s">
        <v>7544</v>
      </c>
      <c r="B2396" s="17" t="s">
        <v>7545</v>
      </c>
      <c r="C2396" s="17" t="s">
        <v>11</v>
      </c>
      <c r="D2396" s="17" t="s">
        <v>12</v>
      </c>
      <c r="E2396" s="17" t="s">
        <v>13</v>
      </c>
      <c r="F2396" s="16" t="s">
        <v>7546</v>
      </c>
    </row>
    <row r="2397" spans="1:6" x14ac:dyDescent="0.25">
      <c r="A2397" s="16" t="s">
        <v>7547</v>
      </c>
      <c r="B2397" s="17" t="s">
        <v>7548</v>
      </c>
      <c r="C2397" s="17" t="s">
        <v>11</v>
      </c>
      <c r="D2397" s="17" t="s">
        <v>83</v>
      </c>
      <c r="E2397" s="17" t="s">
        <v>20</v>
      </c>
      <c r="F2397" s="16" t="s">
        <v>7549</v>
      </c>
    </row>
    <row r="2398" spans="1:6" x14ac:dyDescent="0.25">
      <c r="A2398" s="16" t="s">
        <v>7550</v>
      </c>
      <c r="B2398" s="17" t="s">
        <v>7551</v>
      </c>
      <c r="C2398" s="17" t="s">
        <v>11</v>
      </c>
      <c r="D2398" s="17" t="s">
        <v>12</v>
      </c>
      <c r="E2398" s="17" t="s">
        <v>13</v>
      </c>
      <c r="F2398" s="16" t="s">
        <v>7552</v>
      </c>
    </row>
    <row r="2399" spans="1:6" x14ac:dyDescent="0.25">
      <c r="A2399" s="16" t="s">
        <v>7553</v>
      </c>
      <c r="B2399" s="17" t="s">
        <v>7554</v>
      </c>
      <c r="C2399" s="17" t="s">
        <v>11</v>
      </c>
      <c r="D2399" s="17" t="s">
        <v>12</v>
      </c>
      <c r="E2399" s="17" t="s">
        <v>13</v>
      </c>
      <c r="F2399" s="16" t="s">
        <v>7555</v>
      </c>
    </row>
    <row r="2400" spans="1:6" x14ac:dyDescent="0.25">
      <c r="A2400" s="16" t="s">
        <v>7556</v>
      </c>
      <c r="B2400" s="17" t="s">
        <v>7557</v>
      </c>
      <c r="C2400" s="17" t="s">
        <v>11</v>
      </c>
      <c r="D2400" s="17" t="s">
        <v>12</v>
      </c>
      <c r="E2400" s="17" t="s">
        <v>13</v>
      </c>
      <c r="F2400" s="16" t="s">
        <v>7558</v>
      </c>
    </row>
    <row r="2401" spans="1:6" x14ac:dyDescent="0.25">
      <c r="A2401" s="16" t="s">
        <v>7559</v>
      </c>
      <c r="B2401" s="17" t="s">
        <v>7560</v>
      </c>
      <c r="C2401" s="17" t="s">
        <v>11</v>
      </c>
      <c r="D2401" s="17" t="s">
        <v>26</v>
      </c>
      <c r="E2401" s="17" t="s">
        <v>20</v>
      </c>
      <c r="F2401" s="16" t="s">
        <v>7561</v>
      </c>
    </row>
    <row r="2402" spans="1:6" x14ac:dyDescent="0.25">
      <c r="A2402" s="16" t="s">
        <v>7562</v>
      </c>
      <c r="B2402" s="17" t="s">
        <v>7563</v>
      </c>
      <c r="C2402" s="17" t="s">
        <v>11</v>
      </c>
      <c r="D2402" s="17" t="s">
        <v>12</v>
      </c>
      <c r="E2402" s="17" t="s">
        <v>13</v>
      </c>
      <c r="F2402" s="16" t="s">
        <v>7564</v>
      </c>
    </row>
    <row r="2403" spans="1:6" x14ac:dyDescent="0.25">
      <c r="A2403" s="16" t="s">
        <v>7565</v>
      </c>
      <c r="B2403" s="17" t="s">
        <v>7566</v>
      </c>
      <c r="C2403" s="17" t="s">
        <v>11</v>
      </c>
      <c r="D2403" s="17" t="s">
        <v>12</v>
      </c>
      <c r="E2403" s="17" t="s">
        <v>13</v>
      </c>
      <c r="F2403" s="16" t="s">
        <v>7567</v>
      </c>
    </row>
    <row r="2404" spans="1:6" x14ac:dyDescent="0.25">
      <c r="A2404" s="16" t="s">
        <v>7568</v>
      </c>
      <c r="B2404" s="17" t="s">
        <v>7569</v>
      </c>
      <c r="C2404" s="17" t="s">
        <v>11</v>
      </c>
      <c r="D2404" s="17" t="s">
        <v>12</v>
      </c>
      <c r="E2404" s="17" t="s">
        <v>13</v>
      </c>
      <c r="F2404" s="16" t="s">
        <v>7570</v>
      </c>
    </row>
    <row r="2405" spans="1:6" x14ac:dyDescent="0.25">
      <c r="A2405" s="16" t="s">
        <v>7571</v>
      </c>
      <c r="B2405" s="17" t="s">
        <v>7572</v>
      </c>
      <c r="C2405" s="17" t="s">
        <v>11</v>
      </c>
      <c r="D2405" s="17" t="s">
        <v>12</v>
      </c>
      <c r="E2405" s="17" t="s">
        <v>13</v>
      </c>
      <c r="F2405" s="16" t="s">
        <v>7573</v>
      </c>
    </row>
    <row r="2406" spans="1:6" x14ac:dyDescent="0.25">
      <c r="A2406" s="16" t="s">
        <v>7574</v>
      </c>
      <c r="B2406" s="17" t="s">
        <v>7575</v>
      </c>
      <c r="C2406" s="17" t="s">
        <v>11</v>
      </c>
      <c r="D2406" s="17" t="s">
        <v>12</v>
      </c>
      <c r="E2406" s="17" t="s">
        <v>13</v>
      </c>
      <c r="F2406" s="16" t="s">
        <v>7576</v>
      </c>
    </row>
    <row r="2407" spans="1:6" x14ac:dyDescent="0.25">
      <c r="A2407" s="16" t="s">
        <v>7577</v>
      </c>
      <c r="B2407" s="17" t="s">
        <v>7578</v>
      </c>
      <c r="C2407" s="17" t="s">
        <v>11</v>
      </c>
      <c r="D2407" s="17" t="s">
        <v>12</v>
      </c>
      <c r="E2407" s="17" t="s">
        <v>13</v>
      </c>
      <c r="F2407" s="16" t="s">
        <v>7579</v>
      </c>
    </row>
    <row r="2408" spans="1:6" x14ac:dyDescent="0.25">
      <c r="A2408" s="16" t="s">
        <v>7580</v>
      </c>
      <c r="B2408" s="17" t="s">
        <v>7581</v>
      </c>
      <c r="C2408" s="17" t="s">
        <v>11</v>
      </c>
      <c r="D2408" s="17" t="s">
        <v>12</v>
      </c>
      <c r="E2408" s="17" t="s">
        <v>13</v>
      </c>
      <c r="F2408" s="16" t="s">
        <v>7582</v>
      </c>
    </row>
    <row r="2409" spans="1:6" x14ac:dyDescent="0.25">
      <c r="A2409" s="16" t="s">
        <v>7583</v>
      </c>
      <c r="B2409" s="17" t="s">
        <v>7584</v>
      </c>
      <c r="C2409" s="17" t="s">
        <v>11</v>
      </c>
      <c r="D2409" s="17" t="s">
        <v>12</v>
      </c>
      <c r="E2409" s="17" t="s">
        <v>13</v>
      </c>
      <c r="F2409" s="16" t="s">
        <v>7585</v>
      </c>
    </row>
    <row r="2410" spans="1:6" x14ac:dyDescent="0.25">
      <c r="A2410" s="16" t="s">
        <v>7586</v>
      </c>
      <c r="B2410" s="17" t="s">
        <v>7587</v>
      </c>
      <c r="C2410" s="17" t="s">
        <v>11</v>
      </c>
      <c r="D2410" s="17" t="s">
        <v>171</v>
      </c>
      <c r="E2410" s="17" t="s">
        <v>13</v>
      </c>
      <c r="F2410" s="16" t="s">
        <v>7588</v>
      </c>
    </row>
    <row r="2411" spans="1:6" x14ac:dyDescent="0.25">
      <c r="A2411" s="16" t="s">
        <v>7589</v>
      </c>
      <c r="B2411" s="17" t="s">
        <v>7590</v>
      </c>
      <c r="C2411" s="17" t="s">
        <v>11</v>
      </c>
      <c r="D2411" s="17" t="s">
        <v>12</v>
      </c>
      <c r="E2411" s="17" t="s">
        <v>13</v>
      </c>
      <c r="F2411" s="16" t="s">
        <v>7591</v>
      </c>
    </row>
    <row r="2412" spans="1:6" x14ac:dyDescent="0.25">
      <c r="A2412" s="16" t="s">
        <v>7592</v>
      </c>
      <c r="B2412" s="17" t="s">
        <v>7593</v>
      </c>
      <c r="C2412" s="17" t="s">
        <v>11</v>
      </c>
      <c r="D2412" s="17" t="s">
        <v>12</v>
      </c>
      <c r="E2412" s="17" t="s">
        <v>13</v>
      </c>
      <c r="F2412" s="16" t="s">
        <v>7594</v>
      </c>
    </row>
    <row r="2413" spans="1:6" x14ac:dyDescent="0.25">
      <c r="A2413" s="16" t="s">
        <v>7595</v>
      </c>
      <c r="B2413" s="17" t="s">
        <v>7596</v>
      </c>
      <c r="C2413" s="17" t="s">
        <v>11</v>
      </c>
      <c r="D2413" s="17" t="s">
        <v>32</v>
      </c>
      <c r="E2413" s="17" t="s">
        <v>20</v>
      </c>
      <c r="F2413" s="16" t="s">
        <v>7597</v>
      </c>
    </row>
    <row r="2414" spans="1:6" x14ac:dyDescent="0.25">
      <c r="A2414" s="16" t="s">
        <v>7598</v>
      </c>
      <c r="B2414" s="17" t="s">
        <v>7599</v>
      </c>
      <c r="C2414" s="17" t="s">
        <v>11</v>
      </c>
      <c r="D2414" s="17" t="s">
        <v>83</v>
      </c>
      <c r="E2414" s="17" t="s">
        <v>20</v>
      </c>
      <c r="F2414" s="16" t="s">
        <v>7600</v>
      </c>
    </row>
    <row r="2415" spans="1:6" x14ac:dyDescent="0.25">
      <c r="A2415" s="16" t="s">
        <v>7601</v>
      </c>
      <c r="B2415" s="17" t="s">
        <v>7602</v>
      </c>
      <c r="C2415" s="17" t="s">
        <v>11</v>
      </c>
      <c r="D2415" s="17" t="s">
        <v>32</v>
      </c>
      <c r="E2415" s="17" t="s">
        <v>20</v>
      </c>
      <c r="F2415" s="16" t="s">
        <v>7603</v>
      </c>
    </row>
    <row r="2416" spans="1:6" x14ac:dyDescent="0.25">
      <c r="A2416" s="16" t="s">
        <v>7604</v>
      </c>
      <c r="B2416" s="17" t="s">
        <v>7605</v>
      </c>
      <c r="C2416" s="17" t="s">
        <v>11</v>
      </c>
      <c r="D2416" s="17" t="s">
        <v>12</v>
      </c>
      <c r="E2416" s="17" t="s">
        <v>13</v>
      </c>
      <c r="F2416" s="16" t="s">
        <v>7606</v>
      </c>
    </row>
    <row r="2417" spans="1:6" x14ac:dyDescent="0.25">
      <c r="A2417" s="16" t="s">
        <v>7607</v>
      </c>
      <c r="B2417" s="17" t="s">
        <v>7608</v>
      </c>
      <c r="C2417" s="17" t="s">
        <v>11</v>
      </c>
      <c r="D2417" s="17" t="s">
        <v>32</v>
      </c>
      <c r="E2417" s="17" t="s">
        <v>20</v>
      </c>
      <c r="F2417" s="16" t="s">
        <v>7609</v>
      </c>
    </row>
    <row r="2418" spans="1:6" x14ac:dyDescent="0.25">
      <c r="A2418" s="16" t="s">
        <v>7610</v>
      </c>
      <c r="B2418" s="17" t="s">
        <v>7611</v>
      </c>
      <c r="C2418" s="17" t="s">
        <v>359</v>
      </c>
      <c r="D2418" s="17" t="s">
        <v>26</v>
      </c>
      <c r="E2418" s="17" t="s">
        <v>20</v>
      </c>
      <c r="F2418" s="16" t="s">
        <v>7612</v>
      </c>
    </row>
    <row r="2419" spans="1:6" x14ac:dyDescent="0.25">
      <c r="A2419" s="16" t="s">
        <v>7613</v>
      </c>
      <c r="B2419" s="17" t="s">
        <v>7614</v>
      </c>
      <c r="C2419" s="17" t="s">
        <v>11</v>
      </c>
      <c r="D2419" s="17" t="s">
        <v>12</v>
      </c>
      <c r="E2419" s="17" t="s">
        <v>13</v>
      </c>
      <c r="F2419" s="16" t="s">
        <v>7615</v>
      </c>
    </row>
    <row r="2420" spans="1:6" x14ac:dyDescent="0.25">
      <c r="A2420" s="16" t="s">
        <v>7616</v>
      </c>
      <c r="B2420" s="17" t="s">
        <v>7617</v>
      </c>
      <c r="C2420" s="17" t="s">
        <v>11</v>
      </c>
      <c r="D2420" s="17" t="s">
        <v>26</v>
      </c>
      <c r="E2420" s="17" t="s">
        <v>20</v>
      </c>
      <c r="F2420" s="16" t="s">
        <v>7618</v>
      </c>
    </row>
    <row r="2421" spans="1:6" x14ac:dyDescent="0.25">
      <c r="A2421" s="16" t="s">
        <v>7619</v>
      </c>
      <c r="B2421" s="17" t="s">
        <v>7620</v>
      </c>
      <c r="C2421" s="17" t="s">
        <v>11</v>
      </c>
      <c r="D2421" s="17" t="s">
        <v>32</v>
      </c>
      <c r="E2421" s="17" t="s">
        <v>20</v>
      </c>
      <c r="F2421" s="16" t="s">
        <v>7621</v>
      </c>
    </row>
    <row r="2422" spans="1:6" x14ac:dyDescent="0.25">
      <c r="A2422" s="16" t="s">
        <v>7622</v>
      </c>
      <c r="B2422" s="17" t="s">
        <v>7623</v>
      </c>
      <c r="C2422" s="17" t="s">
        <v>11</v>
      </c>
      <c r="D2422" s="17" t="s">
        <v>12</v>
      </c>
      <c r="E2422" s="17" t="s">
        <v>13</v>
      </c>
      <c r="F2422" s="16" t="s">
        <v>7624</v>
      </c>
    </row>
    <row r="2423" spans="1:6" x14ac:dyDescent="0.25">
      <c r="A2423" s="16" t="s">
        <v>7625</v>
      </c>
      <c r="B2423" s="17" t="s">
        <v>7626</v>
      </c>
      <c r="C2423" s="17" t="s">
        <v>11</v>
      </c>
      <c r="D2423" s="17" t="s">
        <v>182</v>
      </c>
      <c r="E2423" s="17" t="s">
        <v>20</v>
      </c>
      <c r="F2423" s="16" t="s">
        <v>7627</v>
      </c>
    </row>
    <row r="2424" spans="1:6" x14ac:dyDescent="0.25">
      <c r="A2424" s="16" t="s">
        <v>7628</v>
      </c>
      <c r="B2424" s="17" t="s">
        <v>7629</v>
      </c>
      <c r="C2424" s="17" t="s">
        <v>11</v>
      </c>
      <c r="D2424" s="17" t="s">
        <v>68</v>
      </c>
      <c r="E2424" s="17" t="s">
        <v>20</v>
      </c>
      <c r="F2424" s="16" t="s">
        <v>7630</v>
      </c>
    </row>
    <row r="2425" spans="1:6" x14ac:dyDescent="0.25">
      <c r="A2425" s="16" t="s">
        <v>7631</v>
      </c>
      <c r="B2425" s="17" t="s">
        <v>7632</v>
      </c>
      <c r="C2425" s="17" t="s">
        <v>11</v>
      </c>
      <c r="D2425" s="17" t="s">
        <v>32</v>
      </c>
      <c r="E2425" s="17" t="s">
        <v>20</v>
      </c>
      <c r="F2425" s="16" t="s">
        <v>7633</v>
      </c>
    </row>
    <row r="2426" spans="1:6" x14ac:dyDescent="0.25">
      <c r="A2426" s="16" t="s">
        <v>7634</v>
      </c>
      <c r="B2426" s="17" t="s">
        <v>7635</v>
      </c>
      <c r="C2426" s="17" t="s">
        <v>11</v>
      </c>
      <c r="D2426" s="17" t="s">
        <v>26</v>
      </c>
      <c r="E2426" s="17" t="s">
        <v>20</v>
      </c>
      <c r="F2426" s="16" t="s">
        <v>7636</v>
      </c>
    </row>
    <row r="2427" spans="1:6" x14ac:dyDescent="0.25">
      <c r="A2427" s="16" t="s">
        <v>7637</v>
      </c>
      <c r="B2427" s="17" t="s">
        <v>7638</v>
      </c>
      <c r="C2427" s="17" t="s">
        <v>11</v>
      </c>
      <c r="D2427" s="17" t="s">
        <v>544</v>
      </c>
      <c r="E2427" s="17" t="s">
        <v>20</v>
      </c>
      <c r="F2427" s="16" t="s">
        <v>7639</v>
      </c>
    </row>
    <row r="2428" spans="1:6" x14ac:dyDescent="0.25">
      <c r="A2428" s="16" t="s">
        <v>7640</v>
      </c>
      <c r="B2428" s="17" t="s">
        <v>7641</v>
      </c>
      <c r="C2428" s="17" t="s">
        <v>11</v>
      </c>
      <c r="D2428" s="17" t="s">
        <v>32</v>
      </c>
      <c r="E2428" s="17" t="s">
        <v>20</v>
      </c>
      <c r="F2428" s="16" t="s">
        <v>7642</v>
      </c>
    </row>
    <row r="2429" spans="1:6" x14ac:dyDescent="0.25">
      <c r="A2429" s="16" t="s">
        <v>7643</v>
      </c>
      <c r="B2429" s="17" t="s">
        <v>7644</v>
      </c>
      <c r="C2429" s="17" t="s">
        <v>11</v>
      </c>
      <c r="D2429" s="17" t="s">
        <v>89</v>
      </c>
      <c r="E2429" s="17" t="s">
        <v>20</v>
      </c>
      <c r="F2429" s="16" t="s">
        <v>7645</v>
      </c>
    </row>
    <row r="2430" spans="1:6" x14ac:dyDescent="0.25">
      <c r="A2430" s="16" t="s">
        <v>7646</v>
      </c>
      <c r="B2430" s="17" t="s">
        <v>7647</v>
      </c>
      <c r="C2430" s="17" t="s">
        <v>11</v>
      </c>
      <c r="D2430" s="17" t="s">
        <v>32</v>
      </c>
      <c r="E2430" s="17" t="s">
        <v>20</v>
      </c>
      <c r="F2430" s="16" t="s">
        <v>7648</v>
      </c>
    </row>
    <row r="2431" spans="1:6" x14ac:dyDescent="0.25">
      <c r="A2431" s="16" t="s">
        <v>7649</v>
      </c>
      <c r="B2431" s="17" t="s">
        <v>7650</v>
      </c>
      <c r="C2431" s="17" t="s">
        <v>11</v>
      </c>
      <c r="D2431" s="17" t="s">
        <v>182</v>
      </c>
      <c r="E2431" s="17" t="s">
        <v>20</v>
      </c>
      <c r="F2431" s="16" t="s">
        <v>7651</v>
      </c>
    </row>
    <row r="2432" spans="1:6" x14ac:dyDescent="0.25">
      <c r="A2432" s="16" t="s">
        <v>7652</v>
      </c>
      <c r="B2432" s="17" t="s">
        <v>7653</v>
      </c>
      <c r="C2432" s="17" t="s">
        <v>11</v>
      </c>
      <c r="D2432" s="17" t="s">
        <v>32</v>
      </c>
      <c r="E2432" s="17" t="s">
        <v>20</v>
      </c>
      <c r="F2432" s="16" t="s">
        <v>7654</v>
      </c>
    </row>
    <row r="2433" spans="1:6" x14ac:dyDescent="0.25">
      <c r="A2433" s="16" t="s">
        <v>7655</v>
      </c>
      <c r="B2433" s="17" t="s">
        <v>7656</v>
      </c>
      <c r="C2433" s="17" t="s">
        <v>11</v>
      </c>
      <c r="D2433" s="17" t="s">
        <v>148</v>
      </c>
      <c r="E2433" s="17" t="s">
        <v>20</v>
      </c>
      <c r="F2433" s="16" t="s">
        <v>7657</v>
      </c>
    </row>
    <row r="2434" spans="1:6" x14ac:dyDescent="0.25">
      <c r="A2434" s="16" t="s">
        <v>7658</v>
      </c>
      <c r="B2434" s="17" t="s">
        <v>7659</v>
      </c>
      <c r="C2434" s="17" t="s">
        <v>11</v>
      </c>
      <c r="D2434" s="17" t="s">
        <v>32</v>
      </c>
      <c r="E2434" s="17" t="s">
        <v>20</v>
      </c>
      <c r="F2434" s="16" t="s">
        <v>7660</v>
      </c>
    </row>
    <row r="2435" spans="1:6" x14ac:dyDescent="0.25">
      <c r="A2435" s="16" t="s">
        <v>7661</v>
      </c>
      <c r="B2435" s="17" t="s">
        <v>7662</v>
      </c>
      <c r="C2435" s="17" t="s">
        <v>11</v>
      </c>
      <c r="D2435" s="17" t="s">
        <v>186</v>
      </c>
      <c r="E2435" s="17" t="s">
        <v>20</v>
      </c>
      <c r="F2435" s="16" t="s">
        <v>7663</v>
      </c>
    </row>
    <row r="2436" spans="1:6" x14ac:dyDescent="0.25">
      <c r="A2436" s="16" t="s">
        <v>7664</v>
      </c>
      <c r="B2436" s="17" t="s">
        <v>7665</v>
      </c>
      <c r="C2436" s="17" t="s">
        <v>11</v>
      </c>
      <c r="D2436" s="17" t="s">
        <v>12</v>
      </c>
      <c r="E2436" s="17" t="s">
        <v>13</v>
      </c>
      <c r="F2436" s="16" t="s">
        <v>7666</v>
      </c>
    </row>
    <row r="2437" spans="1:6" x14ac:dyDescent="0.25">
      <c r="A2437" s="16" t="s">
        <v>7667</v>
      </c>
      <c r="B2437" s="17" t="s">
        <v>7668</v>
      </c>
      <c r="C2437" s="17" t="s">
        <v>11</v>
      </c>
      <c r="D2437" s="17" t="s">
        <v>80</v>
      </c>
      <c r="E2437" s="17" t="s">
        <v>20</v>
      </c>
      <c r="F2437" s="16" t="s">
        <v>7669</v>
      </c>
    </row>
    <row r="2438" spans="1:6" x14ac:dyDescent="0.25">
      <c r="A2438" s="16" t="s">
        <v>7670</v>
      </c>
      <c r="B2438" s="17" t="s">
        <v>7671</v>
      </c>
      <c r="C2438" s="17" t="s">
        <v>11</v>
      </c>
      <c r="D2438" s="17" t="s">
        <v>32</v>
      </c>
      <c r="E2438" s="17" t="s">
        <v>20</v>
      </c>
      <c r="F2438" s="16" t="s">
        <v>7672</v>
      </c>
    </row>
    <row r="2439" spans="1:6" x14ac:dyDescent="0.25">
      <c r="A2439" s="16" t="s">
        <v>7673</v>
      </c>
      <c r="B2439" s="17" t="s">
        <v>7674</v>
      </c>
      <c r="C2439" s="17" t="s">
        <v>11</v>
      </c>
      <c r="D2439" s="17" t="s">
        <v>12</v>
      </c>
      <c r="E2439" s="17" t="s">
        <v>13</v>
      </c>
      <c r="F2439" s="16" t="s">
        <v>7675</v>
      </c>
    </row>
    <row r="2440" spans="1:6" x14ac:dyDescent="0.25">
      <c r="A2440" s="16" t="s">
        <v>7676</v>
      </c>
      <c r="B2440" s="17" t="s">
        <v>7677</v>
      </c>
      <c r="C2440" s="17" t="s">
        <v>11</v>
      </c>
      <c r="D2440" s="17" t="s">
        <v>74</v>
      </c>
      <c r="E2440" s="17" t="s">
        <v>20</v>
      </c>
      <c r="F2440" s="16" t="s">
        <v>7678</v>
      </c>
    </row>
    <row r="2441" spans="1:6" x14ac:dyDescent="0.25">
      <c r="A2441" s="16" t="s">
        <v>7679</v>
      </c>
      <c r="B2441" s="17" t="s">
        <v>7680</v>
      </c>
      <c r="C2441" s="17" t="s">
        <v>11</v>
      </c>
      <c r="D2441" s="17" t="s">
        <v>32</v>
      </c>
      <c r="E2441" s="17" t="s">
        <v>20</v>
      </c>
      <c r="F2441" s="16" t="s">
        <v>7681</v>
      </c>
    </row>
    <row r="2442" spans="1:6" x14ac:dyDescent="0.25">
      <c r="A2442" s="16" t="s">
        <v>7682</v>
      </c>
      <c r="B2442" s="17" t="s">
        <v>7683</v>
      </c>
      <c r="C2442" s="17" t="s">
        <v>11</v>
      </c>
      <c r="D2442" s="17" t="s">
        <v>250</v>
      </c>
      <c r="E2442" s="17" t="s">
        <v>20</v>
      </c>
      <c r="F2442" s="16" t="s">
        <v>7684</v>
      </c>
    </row>
    <row r="2443" spans="1:6" x14ac:dyDescent="0.25">
      <c r="A2443" s="16" t="s">
        <v>7685</v>
      </c>
      <c r="B2443" s="17" t="s">
        <v>7686</v>
      </c>
      <c r="C2443" s="17" t="s">
        <v>11</v>
      </c>
      <c r="D2443" s="17" t="s">
        <v>74</v>
      </c>
      <c r="E2443" s="17" t="s">
        <v>20</v>
      </c>
      <c r="F2443" s="16" t="s">
        <v>7687</v>
      </c>
    </row>
    <row r="2444" spans="1:6" x14ac:dyDescent="0.25">
      <c r="A2444" s="16" t="s">
        <v>7688</v>
      </c>
      <c r="B2444" s="17" t="s">
        <v>7689</v>
      </c>
      <c r="C2444" s="17" t="s">
        <v>11</v>
      </c>
      <c r="D2444" s="17" t="s">
        <v>32</v>
      </c>
      <c r="E2444" s="17" t="s">
        <v>20</v>
      </c>
      <c r="F2444" s="16" t="s">
        <v>7690</v>
      </c>
    </row>
    <row r="2445" spans="1:6" x14ac:dyDescent="0.25">
      <c r="A2445" s="16" t="s">
        <v>7691</v>
      </c>
      <c r="B2445" s="17" t="s">
        <v>7692</v>
      </c>
      <c r="C2445" s="17" t="s">
        <v>11</v>
      </c>
      <c r="D2445" s="17" t="s">
        <v>26</v>
      </c>
      <c r="E2445" s="17" t="s">
        <v>20</v>
      </c>
      <c r="F2445" s="16" t="s">
        <v>7693</v>
      </c>
    </row>
    <row r="2446" spans="1:6" x14ac:dyDescent="0.25">
      <c r="A2446" s="16" t="s">
        <v>7694</v>
      </c>
      <c r="B2446" s="17" t="s">
        <v>7695</v>
      </c>
      <c r="C2446" s="17" t="s">
        <v>11</v>
      </c>
      <c r="D2446" s="17" t="s">
        <v>83</v>
      </c>
      <c r="E2446" s="17" t="s">
        <v>20</v>
      </c>
      <c r="F2446" s="16" t="s">
        <v>7696</v>
      </c>
    </row>
    <row r="2447" spans="1:6" x14ac:dyDescent="0.25">
      <c r="A2447" s="16" t="s">
        <v>7697</v>
      </c>
      <c r="B2447" s="17" t="s">
        <v>7698</v>
      </c>
      <c r="C2447" s="17" t="s">
        <v>11</v>
      </c>
      <c r="D2447" s="17" t="s">
        <v>12</v>
      </c>
      <c r="E2447" s="17" t="s">
        <v>13</v>
      </c>
      <c r="F2447" s="16" t="s">
        <v>7699</v>
      </c>
    </row>
    <row r="2448" spans="1:6" x14ac:dyDescent="0.25">
      <c r="A2448" s="16" t="s">
        <v>7700</v>
      </c>
      <c r="B2448" s="17" t="s">
        <v>7701</v>
      </c>
      <c r="C2448" s="17" t="s">
        <v>11</v>
      </c>
      <c r="D2448" s="17" t="s">
        <v>12</v>
      </c>
      <c r="E2448" s="17" t="s">
        <v>13</v>
      </c>
      <c r="F2448" s="16" t="s">
        <v>7702</v>
      </c>
    </row>
    <row r="2449" spans="1:6" x14ac:dyDescent="0.25">
      <c r="A2449" s="16" t="s">
        <v>7703</v>
      </c>
      <c r="B2449" s="17" t="s">
        <v>7704</v>
      </c>
      <c r="C2449" s="17" t="s">
        <v>11</v>
      </c>
      <c r="D2449" s="17" t="s">
        <v>12</v>
      </c>
      <c r="E2449" s="17" t="s">
        <v>13</v>
      </c>
      <c r="F2449" s="16" t="s">
        <v>7705</v>
      </c>
    </row>
    <row r="2450" spans="1:6" x14ac:dyDescent="0.25">
      <c r="A2450" s="16" t="s">
        <v>7706</v>
      </c>
      <c r="B2450" s="17" t="s">
        <v>7707</v>
      </c>
      <c r="C2450" s="17" t="s">
        <v>11</v>
      </c>
      <c r="D2450" s="17" t="s">
        <v>12</v>
      </c>
      <c r="E2450" s="17" t="s">
        <v>13</v>
      </c>
      <c r="F2450" s="16" t="s">
        <v>7708</v>
      </c>
    </row>
    <row r="2451" spans="1:6" x14ac:dyDescent="0.25">
      <c r="A2451" s="16" t="s">
        <v>7709</v>
      </c>
      <c r="B2451" s="17" t="s">
        <v>7710</v>
      </c>
      <c r="C2451" s="17" t="s">
        <v>11</v>
      </c>
      <c r="D2451" s="17" t="s">
        <v>32</v>
      </c>
      <c r="E2451" s="17" t="s">
        <v>20</v>
      </c>
      <c r="F2451" s="16" t="s">
        <v>7711</v>
      </c>
    </row>
    <row r="2452" spans="1:6" x14ac:dyDescent="0.25">
      <c r="A2452" s="16" t="s">
        <v>7712</v>
      </c>
      <c r="B2452" s="17" t="s">
        <v>7713</v>
      </c>
      <c r="C2452" s="17" t="s">
        <v>11</v>
      </c>
      <c r="D2452" s="17" t="s">
        <v>12</v>
      </c>
      <c r="E2452" s="17" t="s">
        <v>13</v>
      </c>
      <c r="F2452" s="16" t="s">
        <v>7714</v>
      </c>
    </row>
    <row r="2453" spans="1:6" x14ac:dyDescent="0.25">
      <c r="A2453" s="16" t="s">
        <v>7715</v>
      </c>
      <c r="B2453" s="17" t="s">
        <v>7716</v>
      </c>
      <c r="C2453" s="17" t="s">
        <v>11</v>
      </c>
      <c r="D2453" s="17" t="s">
        <v>12</v>
      </c>
      <c r="E2453" s="17" t="s">
        <v>13</v>
      </c>
      <c r="F2453" s="16" t="s">
        <v>7717</v>
      </c>
    </row>
    <row r="2454" spans="1:6" x14ac:dyDescent="0.25">
      <c r="A2454" s="16" t="s">
        <v>7718</v>
      </c>
      <c r="B2454" s="17" t="s">
        <v>7719</v>
      </c>
      <c r="C2454" s="17" t="s">
        <v>11</v>
      </c>
      <c r="D2454" s="17" t="s">
        <v>12</v>
      </c>
      <c r="E2454" s="17" t="s">
        <v>13</v>
      </c>
      <c r="F2454" s="16" t="s">
        <v>7720</v>
      </c>
    </row>
    <row r="2455" spans="1:6" x14ac:dyDescent="0.25">
      <c r="A2455" s="16" t="s">
        <v>7721</v>
      </c>
      <c r="B2455" s="17" t="s">
        <v>7722</v>
      </c>
      <c r="C2455" s="17" t="s">
        <v>11</v>
      </c>
      <c r="D2455" s="17" t="s">
        <v>12</v>
      </c>
      <c r="E2455" s="17" t="s">
        <v>13</v>
      </c>
      <c r="F2455" s="16" t="s">
        <v>7723</v>
      </c>
    </row>
    <row r="2456" spans="1:6" x14ac:dyDescent="0.25">
      <c r="A2456" s="16" t="s">
        <v>7724</v>
      </c>
      <c r="B2456" s="17" t="s">
        <v>7725</v>
      </c>
      <c r="C2456" s="17" t="s">
        <v>11</v>
      </c>
      <c r="D2456" s="17" t="s">
        <v>12</v>
      </c>
      <c r="E2456" s="17" t="s">
        <v>13</v>
      </c>
      <c r="F2456" s="16" t="s">
        <v>7726</v>
      </c>
    </row>
    <row r="2457" spans="1:6" x14ac:dyDescent="0.25">
      <c r="A2457" s="16" t="s">
        <v>7727</v>
      </c>
      <c r="B2457" s="17" t="s">
        <v>7728</v>
      </c>
      <c r="C2457" s="17" t="s">
        <v>11</v>
      </c>
      <c r="D2457" s="17" t="s">
        <v>12</v>
      </c>
      <c r="E2457" s="17" t="s">
        <v>13</v>
      </c>
      <c r="F2457" s="16" t="s">
        <v>7729</v>
      </c>
    </row>
    <row r="2458" spans="1:6" x14ac:dyDescent="0.25">
      <c r="A2458" s="16" t="s">
        <v>7730</v>
      </c>
      <c r="B2458" s="17" t="s">
        <v>7731</v>
      </c>
      <c r="C2458" s="17" t="s">
        <v>11</v>
      </c>
      <c r="D2458" s="17" t="s">
        <v>12</v>
      </c>
      <c r="E2458" s="17" t="s">
        <v>13</v>
      </c>
      <c r="F2458" s="16" t="s">
        <v>7732</v>
      </c>
    </row>
    <row r="2459" spans="1:6" x14ac:dyDescent="0.25">
      <c r="A2459" s="16" t="s">
        <v>7733</v>
      </c>
      <c r="B2459" s="17" t="s">
        <v>7734</v>
      </c>
      <c r="C2459" s="17" t="s">
        <v>11</v>
      </c>
      <c r="D2459" s="17" t="s">
        <v>12</v>
      </c>
      <c r="E2459" s="17" t="s">
        <v>13</v>
      </c>
      <c r="F2459" s="16" t="s">
        <v>7735</v>
      </c>
    </row>
    <row r="2460" spans="1:6" x14ac:dyDescent="0.25">
      <c r="A2460" s="16" t="s">
        <v>7736</v>
      </c>
      <c r="B2460" s="17" t="s">
        <v>7737</v>
      </c>
      <c r="C2460" s="17" t="s">
        <v>11</v>
      </c>
      <c r="D2460" s="17" t="s">
        <v>12</v>
      </c>
      <c r="E2460" s="17" t="s">
        <v>13</v>
      </c>
      <c r="F2460" s="16" t="s">
        <v>7738</v>
      </c>
    </row>
    <row r="2461" spans="1:6" x14ac:dyDescent="0.25">
      <c r="A2461" s="16" t="s">
        <v>7739</v>
      </c>
      <c r="B2461" s="17" t="s">
        <v>7740</v>
      </c>
      <c r="C2461" s="17" t="s">
        <v>11</v>
      </c>
      <c r="D2461" s="17" t="s">
        <v>12</v>
      </c>
      <c r="E2461" s="17" t="s">
        <v>13</v>
      </c>
      <c r="F2461" s="16" t="s">
        <v>7741</v>
      </c>
    </row>
    <row r="2462" spans="1:6" x14ac:dyDescent="0.25">
      <c r="A2462" s="16" t="s">
        <v>7742</v>
      </c>
      <c r="B2462" s="17" t="s">
        <v>7743</v>
      </c>
      <c r="C2462" s="17" t="s">
        <v>11</v>
      </c>
      <c r="D2462" s="17" t="s">
        <v>59</v>
      </c>
      <c r="E2462" s="17" t="s">
        <v>13</v>
      </c>
      <c r="F2462" s="16" t="s">
        <v>7744</v>
      </c>
    </row>
    <row r="2463" spans="1:6" x14ac:dyDescent="0.25">
      <c r="A2463" s="16" t="s">
        <v>7745</v>
      </c>
      <c r="B2463" s="17" t="s">
        <v>7746</v>
      </c>
      <c r="C2463" s="17" t="s">
        <v>11</v>
      </c>
      <c r="D2463" s="17" t="s">
        <v>12</v>
      </c>
      <c r="E2463" s="17" t="s">
        <v>13</v>
      </c>
      <c r="F2463" s="16" t="s">
        <v>7747</v>
      </c>
    </row>
    <row r="2464" spans="1:6" x14ac:dyDescent="0.25">
      <c r="A2464" s="16" t="s">
        <v>7748</v>
      </c>
      <c r="B2464" s="17" t="s">
        <v>7749</v>
      </c>
      <c r="C2464" s="17" t="s">
        <v>11</v>
      </c>
      <c r="D2464" s="17" t="s">
        <v>12</v>
      </c>
      <c r="E2464" s="17" t="s">
        <v>13</v>
      </c>
      <c r="F2464" s="16" t="s">
        <v>7750</v>
      </c>
    </row>
    <row r="2465" spans="1:6" x14ac:dyDescent="0.25">
      <c r="A2465" s="16" t="s">
        <v>7751</v>
      </c>
      <c r="B2465" s="17" t="s">
        <v>7752</v>
      </c>
      <c r="C2465" s="17" t="s">
        <v>11</v>
      </c>
      <c r="D2465" s="17" t="s">
        <v>12</v>
      </c>
      <c r="E2465" s="17" t="s">
        <v>13</v>
      </c>
      <c r="F2465" s="16" t="s">
        <v>7753</v>
      </c>
    </row>
    <row r="2466" spans="1:6" x14ac:dyDescent="0.25">
      <c r="A2466" s="16" t="s">
        <v>7754</v>
      </c>
      <c r="B2466" s="17" t="s">
        <v>7755</v>
      </c>
      <c r="C2466" s="17" t="s">
        <v>11</v>
      </c>
      <c r="D2466" s="17" t="s">
        <v>12</v>
      </c>
      <c r="E2466" s="17" t="s">
        <v>13</v>
      </c>
      <c r="F2466" s="16" t="s">
        <v>7756</v>
      </c>
    </row>
    <row r="2467" spans="1:6" x14ac:dyDescent="0.25">
      <c r="A2467" s="16" t="s">
        <v>7757</v>
      </c>
      <c r="B2467" s="17" t="s">
        <v>7758</v>
      </c>
      <c r="C2467" s="17" t="s">
        <v>11</v>
      </c>
      <c r="D2467" s="17" t="s">
        <v>12</v>
      </c>
      <c r="E2467" s="17" t="s">
        <v>13</v>
      </c>
      <c r="F2467" s="16" t="s">
        <v>7759</v>
      </c>
    </row>
    <row r="2468" spans="1:6" x14ac:dyDescent="0.25">
      <c r="A2468" s="16" t="s">
        <v>7760</v>
      </c>
      <c r="B2468" s="17" t="s">
        <v>7761</v>
      </c>
      <c r="C2468" s="17" t="s">
        <v>11</v>
      </c>
      <c r="D2468" s="17" t="s">
        <v>12</v>
      </c>
      <c r="E2468" s="17" t="s">
        <v>13</v>
      </c>
      <c r="F2468" s="16" t="s">
        <v>7762</v>
      </c>
    </row>
    <row r="2469" spans="1:6" x14ac:dyDescent="0.25">
      <c r="A2469" s="16" t="s">
        <v>7763</v>
      </c>
      <c r="B2469" s="17" t="s">
        <v>7764</v>
      </c>
      <c r="C2469" s="17" t="s">
        <v>11</v>
      </c>
      <c r="D2469" s="17" t="s">
        <v>12</v>
      </c>
      <c r="E2469" s="17" t="s">
        <v>13</v>
      </c>
      <c r="F2469" s="16" t="s">
        <v>7765</v>
      </c>
    </row>
    <row r="2470" spans="1:6" x14ac:dyDescent="0.25">
      <c r="A2470" s="16" t="s">
        <v>7766</v>
      </c>
      <c r="B2470" s="17" t="s">
        <v>7767</v>
      </c>
      <c r="C2470" s="17" t="s">
        <v>11</v>
      </c>
      <c r="D2470" s="17" t="s">
        <v>12</v>
      </c>
      <c r="E2470" s="17" t="s">
        <v>13</v>
      </c>
      <c r="F2470" s="16" t="s">
        <v>7768</v>
      </c>
    </row>
    <row r="2471" spans="1:6" x14ac:dyDescent="0.25">
      <c r="A2471" s="16" t="s">
        <v>7769</v>
      </c>
      <c r="B2471" s="17" t="s">
        <v>7770</v>
      </c>
      <c r="C2471" s="17" t="s">
        <v>11</v>
      </c>
      <c r="D2471" s="17" t="s">
        <v>12</v>
      </c>
      <c r="E2471" s="17" t="s">
        <v>13</v>
      </c>
      <c r="F2471" s="16" t="s">
        <v>7771</v>
      </c>
    </row>
    <row r="2472" spans="1:6" x14ac:dyDescent="0.25">
      <c r="A2472" s="16" t="s">
        <v>7772</v>
      </c>
      <c r="B2472" s="17" t="s">
        <v>7773</v>
      </c>
      <c r="C2472" s="17" t="s">
        <v>11</v>
      </c>
      <c r="D2472" s="17" t="s">
        <v>6056</v>
      </c>
      <c r="E2472" s="17" t="s">
        <v>13</v>
      </c>
      <c r="F2472" s="16" t="s">
        <v>7774</v>
      </c>
    </row>
    <row r="2473" spans="1:6" x14ac:dyDescent="0.25">
      <c r="A2473" s="16" t="s">
        <v>7775</v>
      </c>
      <c r="B2473" s="17" t="s">
        <v>7776</v>
      </c>
      <c r="C2473" s="17" t="s">
        <v>11</v>
      </c>
      <c r="D2473" s="17" t="s">
        <v>68</v>
      </c>
      <c r="E2473" s="17" t="s">
        <v>20</v>
      </c>
      <c r="F2473" s="16" t="s">
        <v>7777</v>
      </c>
    </row>
    <row r="2474" spans="1:6" x14ac:dyDescent="0.25">
      <c r="A2474" s="16" t="s">
        <v>7778</v>
      </c>
      <c r="B2474" s="17" t="s">
        <v>7779</v>
      </c>
      <c r="C2474" s="17" t="s">
        <v>11</v>
      </c>
      <c r="D2474" s="17" t="s">
        <v>12</v>
      </c>
      <c r="E2474" s="17" t="s">
        <v>13</v>
      </c>
      <c r="F2474" s="16" t="s">
        <v>7780</v>
      </c>
    </row>
    <row r="2475" spans="1:6" x14ac:dyDescent="0.25">
      <c r="A2475" s="16" t="s">
        <v>7781</v>
      </c>
      <c r="B2475" s="17" t="s">
        <v>7782</v>
      </c>
      <c r="C2475" s="17" t="s">
        <v>11</v>
      </c>
      <c r="D2475" s="17" t="s">
        <v>12</v>
      </c>
      <c r="E2475" s="17" t="s">
        <v>13</v>
      </c>
      <c r="F2475" s="16" t="s">
        <v>7783</v>
      </c>
    </row>
    <row r="2476" spans="1:6" x14ac:dyDescent="0.25">
      <c r="A2476" s="16" t="s">
        <v>7784</v>
      </c>
      <c r="B2476" s="17" t="s">
        <v>7785</v>
      </c>
      <c r="C2476" s="17" t="s">
        <v>11</v>
      </c>
      <c r="D2476" s="17" t="s">
        <v>12</v>
      </c>
      <c r="E2476" s="17" t="s">
        <v>13</v>
      </c>
      <c r="F2476" s="16" t="s">
        <v>7786</v>
      </c>
    </row>
    <row r="2477" spans="1:6" x14ac:dyDescent="0.25">
      <c r="A2477" s="16" t="s">
        <v>7787</v>
      </c>
      <c r="B2477" s="17" t="s">
        <v>7788</v>
      </c>
      <c r="C2477" s="17" t="s">
        <v>11</v>
      </c>
      <c r="D2477" s="17" t="s">
        <v>12</v>
      </c>
      <c r="E2477" s="17" t="s">
        <v>13</v>
      </c>
      <c r="F2477" s="16" t="s">
        <v>7789</v>
      </c>
    </row>
    <row r="2478" spans="1:6" x14ac:dyDescent="0.25">
      <c r="A2478" s="16" t="s">
        <v>7790</v>
      </c>
      <c r="B2478" s="17" t="s">
        <v>7791</v>
      </c>
      <c r="C2478" s="17" t="s">
        <v>11</v>
      </c>
      <c r="D2478" s="17" t="s">
        <v>12</v>
      </c>
      <c r="E2478" s="17" t="s">
        <v>13</v>
      </c>
      <c r="F2478" s="16" t="s">
        <v>7792</v>
      </c>
    </row>
    <row r="2479" spans="1:6" x14ac:dyDescent="0.25">
      <c r="A2479" s="16" t="s">
        <v>7793</v>
      </c>
      <c r="B2479" s="17" t="s">
        <v>7794</v>
      </c>
      <c r="C2479" s="17" t="s">
        <v>11</v>
      </c>
      <c r="D2479" s="17" t="s">
        <v>12</v>
      </c>
      <c r="E2479" s="17" t="s">
        <v>13</v>
      </c>
      <c r="F2479" s="16" t="s">
        <v>7795</v>
      </c>
    </row>
    <row r="2480" spans="1:6" x14ac:dyDescent="0.25">
      <c r="A2480" s="16" t="s">
        <v>7796</v>
      </c>
      <c r="B2480" s="17" t="s">
        <v>7797</v>
      </c>
      <c r="C2480" s="17" t="s">
        <v>11</v>
      </c>
      <c r="D2480" s="17" t="s">
        <v>12</v>
      </c>
      <c r="E2480" s="17" t="s">
        <v>13</v>
      </c>
      <c r="F2480" s="16" t="s">
        <v>7798</v>
      </c>
    </row>
    <row r="2481" spans="1:6" x14ac:dyDescent="0.25">
      <c r="A2481" s="16" t="s">
        <v>7799</v>
      </c>
      <c r="B2481" s="17" t="s">
        <v>7800</v>
      </c>
      <c r="C2481" s="17" t="s">
        <v>11</v>
      </c>
      <c r="D2481" s="17" t="s">
        <v>12</v>
      </c>
      <c r="E2481" s="17" t="s">
        <v>13</v>
      </c>
      <c r="F2481" s="16" t="s">
        <v>7801</v>
      </c>
    </row>
    <row r="2482" spans="1:6" x14ac:dyDescent="0.25">
      <c r="A2482" s="16" t="s">
        <v>7802</v>
      </c>
      <c r="B2482" s="17" t="s">
        <v>7803</v>
      </c>
      <c r="C2482" s="17" t="s">
        <v>11</v>
      </c>
      <c r="D2482" s="17" t="s">
        <v>12</v>
      </c>
      <c r="E2482" s="17" t="s">
        <v>13</v>
      </c>
      <c r="F2482" s="16" t="s">
        <v>7804</v>
      </c>
    </row>
    <row r="2483" spans="1:6" x14ac:dyDescent="0.25">
      <c r="A2483" s="16" t="s">
        <v>7805</v>
      </c>
      <c r="B2483" s="17" t="s">
        <v>7806</v>
      </c>
      <c r="C2483" s="17" t="s">
        <v>11</v>
      </c>
      <c r="D2483" s="17" t="s">
        <v>12</v>
      </c>
      <c r="E2483" s="17" t="s">
        <v>13</v>
      </c>
      <c r="F2483" s="16" t="s">
        <v>7807</v>
      </c>
    </row>
    <row r="2484" spans="1:6" x14ac:dyDescent="0.25">
      <c r="A2484" s="16" t="s">
        <v>7808</v>
      </c>
      <c r="B2484" s="17" t="s">
        <v>7809</v>
      </c>
      <c r="C2484" s="17" t="s">
        <v>11</v>
      </c>
      <c r="D2484" s="17" t="s">
        <v>12</v>
      </c>
      <c r="E2484" s="17" t="s">
        <v>13</v>
      </c>
      <c r="F2484" s="16" t="s">
        <v>7810</v>
      </c>
    </row>
    <row r="2485" spans="1:6" x14ac:dyDescent="0.25">
      <c r="A2485" s="16" t="s">
        <v>7811</v>
      </c>
      <c r="B2485" s="17" t="s">
        <v>7812</v>
      </c>
      <c r="C2485" s="17" t="s">
        <v>11</v>
      </c>
      <c r="D2485" s="17" t="s">
        <v>12</v>
      </c>
      <c r="E2485" s="17" t="s">
        <v>13</v>
      </c>
      <c r="F2485" s="16" t="s">
        <v>7813</v>
      </c>
    </row>
    <row r="2486" spans="1:6" x14ac:dyDescent="0.25">
      <c r="A2486" s="16" t="s">
        <v>7814</v>
      </c>
      <c r="B2486" s="17" t="s">
        <v>7815</v>
      </c>
      <c r="C2486" s="17" t="s">
        <v>11</v>
      </c>
      <c r="D2486" s="17" t="s">
        <v>1989</v>
      </c>
      <c r="E2486" s="17" t="s">
        <v>13</v>
      </c>
      <c r="F2486" s="16" t="s">
        <v>7816</v>
      </c>
    </row>
    <row r="2487" spans="1:6" x14ac:dyDescent="0.25">
      <c r="A2487" s="16" t="s">
        <v>7817</v>
      </c>
      <c r="B2487" s="17" t="s">
        <v>7818</v>
      </c>
      <c r="C2487" s="17" t="s">
        <v>11</v>
      </c>
      <c r="D2487" s="17" t="s">
        <v>12</v>
      </c>
      <c r="E2487" s="17" t="s">
        <v>13</v>
      </c>
      <c r="F2487" s="16" t="s">
        <v>7819</v>
      </c>
    </row>
    <row r="2488" spans="1:6" x14ac:dyDescent="0.25">
      <c r="A2488" s="16" t="s">
        <v>7820</v>
      </c>
      <c r="B2488" s="17" t="s">
        <v>7821</v>
      </c>
      <c r="C2488" s="17" t="s">
        <v>11</v>
      </c>
      <c r="D2488" s="17" t="s">
        <v>32</v>
      </c>
      <c r="E2488" s="17" t="s">
        <v>20</v>
      </c>
      <c r="F2488" s="16" t="s">
        <v>7822</v>
      </c>
    </row>
    <row r="2489" spans="1:6" x14ac:dyDescent="0.25">
      <c r="A2489" s="16" t="s">
        <v>7823</v>
      </c>
      <c r="B2489" s="17" t="s">
        <v>7824</v>
      </c>
      <c r="C2489" s="17" t="s">
        <v>11</v>
      </c>
      <c r="D2489" s="17" t="s">
        <v>12</v>
      </c>
      <c r="E2489" s="17" t="s">
        <v>13</v>
      </c>
      <c r="F2489" s="16" t="s">
        <v>7825</v>
      </c>
    </row>
    <row r="2490" spans="1:6" x14ac:dyDescent="0.25">
      <c r="A2490" s="16" t="s">
        <v>7826</v>
      </c>
      <c r="B2490" s="17" t="s">
        <v>7827</v>
      </c>
      <c r="C2490" s="17" t="s">
        <v>11</v>
      </c>
      <c r="D2490" s="17" t="s">
        <v>12</v>
      </c>
      <c r="E2490" s="17" t="s">
        <v>13</v>
      </c>
      <c r="F2490" s="16" t="s">
        <v>7828</v>
      </c>
    </row>
    <row r="2491" spans="1:6" x14ac:dyDescent="0.25">
      <c r="A2491" s="16" t="s">
        <v>7829</v>
      </c>
      <c r="B2491" s="17" t="s">
        <v>7830</v>
      </c>
      <c r="C2491" s="17" t="s">
        <v>11</v>
      </c>
      <c r="D2491" s="17" t="s">
        <v>12</v>
      </c>
      <c r="E2491" s="17" t="s">
        <v>13</v>
      </c>
      <c r="F2491" s="16" t="s">
        <v>7831</v>
      </c>
    </row>
    <row r="2492" spans="1:6" x14ac:dyDescent="0.25">
      <c r="A2492" s="16" t="s">
        <v>7832</v>
      </c>
      <c r="B2492" s="17" t="s">
        <v>7833</v>
      </c>
      <c r="C2492" s="17" t="s">
        <v>11</v>
      </c>
      <c r="D2492" s="17" t="s">
        <v>12</v>
      </c>
      <c r="E2492" s="17" t="s">
        <v>13</v>
      </c>
      <c r="F2492" s="16" t="s">
        <v>7834</v>
      </c>
    </row>
    <row r="2493" spans="1:6" x14ac:dyDescent="0.25">
      <c r="A2493" s="16" t="s">
        <v>7835</v>
      </c>
      <c r="B2493" s="17" t="s">
        <v>7836</v>
      </c>
      <c r="C2493" s="17" t="s">
        <v>11</v>
      </c>
      <c r="D2493" s="17" t="s">
        <v>12</v>
      </c>
      <c r="E2493" s="17" t="s">
        <v>13</v>
      </c>
      <c r="F2493" s="16" t="s">
        <v>7837</v>
      </c>
    </row>
    <row r="2494" spans="1:6" x14ac:dyDescent="0.25">
      <c r="A2494" s="16" t="s">
        <v>7838</v>
      </c>
      <c r="B2494" s="17" t="s">
        <v>7839</v>
      </c>
      <c r="C2494" s="17" t="s">
        <v>11</v>
      </c>
      <c r="D2494" s="17" t="s">
        <v>12</v>
      </c>
      <c r="E2494" s="17" t="s">
        <v>13</v>
      </c>
      <c r="F2494" s="16" t="s">
        <v>7840</v>
      </c>
    </row>
    <row r="2495" spans="1:6" x14ac:dyDescent="0.25">
      <c r="A2495" s="16" t="s">
        <v>7841</v>
      </c>
      <c r="B2495" s="17" t="s">
        <v>7842</v>
      </c>
      <c r="C2495" s="17" t="s">
        <v>11</v>
      </c>
      <c r="D2495" s="17" t="s">
        <v>12</v>
      </c>
      <c r="E2495" s="17" t="s">
        <v>13</v>
      </c>
      <c r="F2495" s="16" t="s">
        <v>7843</v>
      </c>
    </row>
    <row r="2496" spans="1:6" x14ac:dyDescent="0.25">
      <c r="A2496" s="16" t="s">
        <v>7844</v>
      </c>
      <c r="B2496" s="17" t="s">
        <v>7845</v>
      </c>
      <c r="C2496" s="17" t="s">
        <v>11</v>
      </c>
      <c r="D2496" s="17" t="s">
        <v>12</v>
      </c>
      <c r="E2496" s="17" t="s">
        <v>13</v>
      </c>
      <c r="F2496" s="16" t="s">
        <v>7846</v>
      </c>
    </row>
    <row r="2497" spans="1:6" x14ac:dyDescent="0.25">
      <c r="A2497" s="16" t="s">
        <v>7847</v>
      </c>
      <c r="B2497" s="17" t="s">
        <v>7848</v>
      </c>
      <c r="C2497" s="17" t="s">
        <v>11</v>
      </c>
      <c r="D2497" s="17" t="s">
        <v>83</v>
      </c>
      <c r="E2497" s="17" t="s">
        <v>20</v>
      </c>
      <c r="F2497" s="16" t="s">
        <v>7849</v>
      </c>
    </row>
    <row r="2498" spans="1:6" x14ac:dyDescent="0.25">
      <c r="A2498" s="16" t="s">
        <v>7850</v>
      </c>
      <c r="B2498" s="17" t="s">
        <v>7851</v>
      </c>
      <c r="C2498" s="17" t="s">
        <v>11</v>
      </c>
      <c r="D2498" s="17" t="s">
        <v>12</v>
      </c>
      <c r="E2498" s="17" t="s">
        <v>13</v>
      </c>
      <c r="F2498" s="16" t="s">
        <v>7852</v>
      </c>
    </row>
    <row r="2499" spans="1:6" x14ac:dyDescent="0.25">
      <c r="A2499" s="16" t="s">
        <v>7853</v>
      </c>
      <c r="B2499" s="17" t="s">
        <v>7854</v>
      </c>
      <c r="C2499" s="17" t="s">
        <v>11</v>
      </c>
      <c r="D2499" s="17" t="s">
        <v>12</v>
      </c>
      <c r="E2499" s="17" t="s">
        <v>13</v>
      </c>
      <c r="F2499" s="16" t="s">
        <v>7855</v>
      </c>
    </row>
    <row r="2500" spans="1:6" x14ac:dyDescent="0.25">
      <c r="A2500" s="16" t="s">
        <v>7856</v>
      </c>
      <c r="B2500" s="17" t="s">
        <v>7857</v>
      </c>
      <c r="C2500" s="17" t="s">
        <v>11</v>
      </c>
      <c r="D2500" s="17" t="s">
        <v>12</v>
      </c>
      <c r="E2500" s="17" t="s">
        <v>13</v>
      </c>
      <c r="F2500" s="16" t="s">
        <v>7858</v>
      </c>
    </row>
    <row r="2501" spans="1:6" x14ac:dyDescent="0.25">
      <c r="A2501" s="16" t="s">
        <v>7859</v>
      </c>
      <c r="B2501" s="17" t="s">
        <v>7860</v>
      </c>
      <c r="C2501" s="17" t="s">
        <v>11</v>
      </c>
      <c r="D2501" s="17" t="s">
        <v>12</v>
      </c>
      <c r="E2501" s="17" t="s">
        <v>13</v>
      </c>
      <c r="F2501" s="16" t="s">
        <v>7861</v>
      </c>
    </row>
    <row r="2502" spans="1:6" x14ac:dyDescent="0.25">
      <c r="A2502" s="16" t="s">
        <v>7862</v>
      </c>
      <c r="B2502" s="17" t="s">
        <v>7863</v>
      </c>
      <c r="C2502" s="17" t="s">
        <v>11</v>
      </c>
      <c r="D2502" s="17" t="s">
        <v>12</v>
      </c>
      <c r="E2502" s="17" t="s">
        <v>13</v>
      </c>
      <c r="F2502" s="16" t="s">
        <v>7864</v>
      </c>
    </row>
    <row r="2503" spans="1:6" x14ac:dyDescent="0.25">
      <c r="A2503" s="16" t="s">
        <v>7865</v>
      </c>
      <c r="B2503" s="17" t="s">
        <v>7866</v>
      </c>
      <c r="C2503" s="17" t="s">
        <v>11</v>
      </c>
      <c r="D2503" s="17" t="s">
        <v>250</v>
      </c>
      <c r="E2503" s="17" t="s">
        <v>20</v>
      </c>
      <c r="F2503" s="16" t="s">
        <v>7867</v>
      </c>
    </row>
    <row r="2504" spans="1:6" x14ac:dyDescent="0.25">
      <c r="A2504" s="16" t="s">
        <v>7868</v>
      </c>
      <c r="B2504" s="17" t="s">
        <v>7869</v>
      </c>
      <c r="C2504" s="17" t="s">
        <v>11</v>
      </c>
      <c r="D2504" s="17" t="s">
        <v>12</v>
      </c>
      <c r="E2504" s="17" t="s">
        <v>13</v>
      </c>
      <c r="F2504" s="16" t="s">
        <v>7870</v>
      </c>
    </row>
    <row r="2505" spans="1:6" x14ac:dyDescent="0.25">
      <c r="A2505" s="16" t="s">
        <v>7871</v>
      </c>
      <c r="B2505" s="17" t="s">
        <v>7872</v>
      </c>
      <c r="C2505" s="17" t="s">
        <v>11</v>
      </c>
      <c r="D2505" s="17" t="s">
        <v>12</v>
      </c>
      <c r="E2505" s="17" t="s">
        <v>13</v>
      </c>
      <c r="F2505" s="16" t="s">
        <v>7873</v>
      </c>
    </row>
    <row r="2506" spans="1:6" x14ac:dyDescent="0.25">
      <c r="A2506" s="16" t="s">
        <v>7874</v>
      </c>
      <c r="B2506" s="17" t="s">
        <v>7875</v>
      </c>
      <c r="C2506" s="17" t="s">
        <v>11</v>
      </c>
      <c r="D2506" s="17" t="s">
        <v>12</v>
      </c>
      <c r="E2506" s="17" t="s">
        <v>13</v>
      </c>
      <c r="F2506" s="16" t="s">
        <v>7876</v>
      </c>
    </row>
    <row r="2507" spans="1:6" x14ac:dyDescent="0.25">
      <c r="A2507" s="16" t="s">
        <v>7877</v>
      </c>
      <c r="B2507" s="17" t="s">
        <v>7878</v>
      </c>
      <c r="C2507" s="17" t="s">
        <v>11</v>
      </c>
      <c r="D2507" s="17" t="s">
        <v>12</v>
      </c>
      <c r="E2507" s="17" t="s">
        <v>13</v>
      </c>
      <c r="F2507" s="16" t="s">
        <v>7879</v>
      </c>
    </row>
    <row r="2508" spans="1:6" x14ac:dyDescent="0.25">
      <c r="A2508" s="16" t="s">
        <v>7880</v>
      </c>
      <c r="B2508" s="17" t="s">
        <v>7881</v>
      </c>
      <c r="C2508" s="17" t="s">
        <v>11</v>
      </c>
      <c r="D2508" s="17" t="s">
        <v>12</v>
      </c>
      <c r="E2508" s="17" t="s">
        <v>13</v>
      </c>
      <c r="F2508" s="16" t="s">
        <v>7882</v>
      </c>
    </row>
    <row r="2509" spans="1:6" x14ac:dyDescent="0.25">
      <c r="A2509" s="16" t="s">
        <v>7883</v>
      </c>
      <c r="B2509" s="17" t="s">
        <v>7884</v>
      </c>
      <c r="C2509" s="17" t="s">
        <v>11</v>
      </c>
      <c r="D2509" s="17" t="s">
        <v>12</v>
      </c>
      <c r="E2509" s="17" t="s">
        <v>13</v>
      </c>
      <c r="F2509" s="16" t="s">
        <v>7885</v>
      </c>
    </row>
    <row r="2510" spans="1:6" x14ac:dyDescent="0.25">
      <c r="A2510" s="16" t="s">
        <v>7886</v>
      </c>
      <c r="B2510" s="17" t="s">
        <v>7887</v>
      </c>
      <c r="C2510" s="17" t="s">
        <v>11</v>
      </c>
      <c r="D2510" s="17" t="s">
        <v>32</v>
      </c>
      <c r="E2510" s="17" t="s">
        <v>20</v>
      </c>
      <c r="F2510" s="16" t="s">
        <v>7888</v>
      </c>
    </row>
    <row r="2511" spans="1:6" x14ac:dyDescent="0.25">
      <c r="A2511" s="16" t="s">
        <v>7889</v>
      </c>
      <c r="B2511" s="17" t="s">
        <v>7890</v>
      </c>
      <c r="C2511" s="17" t="s">
        <v>11</v>
      </c>
      <c r="D2511" s="17" t="s">
        <v>12</v>
      </c>
      <c r="E2511" s="17" t="s">
        <v>13</v>
      </c>
      <c r="F2511" s="16" t="s">
        <v>7891</v>
      </c>
    </row>
    <row r="2512" spans="1:6" x14ac:dyDescent="0.25">
      <c r="A2512" s="16" t="s">
        <v>7892</v>
      </c>
      <c r="B2512" s="17" t="s">
        <v>7893</v>
      </c>
      <c r="C2512" s="17" t="s">
        <v>11</v>
      </c>
      <c r="D2512" s="17" t="s">
        <v>12</v>
      </c>
      <c r="E2512" s="17" t="s">
        <v>13</v>
      </c>
      <c r="F2512" s="16" t="s">
        <v>7894</v>
      </c>
    </row>
    <row r="2513" spans="1:6" x14ac:dyDescent="0.25">
      <c r="A2513" s="16" t="s">
        <v>7895</v>
      </c>
      <c r="B2513" s="17" t="s">
        <v>7896</v>
      </c>
      <c r="C2513" s="17" t="s">
        <v>11</v>
      </c>
      <c r="D2513" s="17" t="s">
        <v>12</v>
      </c>
      <c r="E2513" s="17" t="s">
        <v>13</v>
      </c>
      <c r="F2513" s="16" t="s">
        <v>7897</v>
      </c>
    </row>
    <row r="2514" spans="1:6" x14ac:dyDescent="0.25">
      <c r="A2514" s="16" t="s">
        <v>7898</v>
      </c>
      <c r="B2514" s="17" t="s">
        <v>7899</v>
      </c>
      <c r="C2514" s="17" t="s">
        <v>11</v>
      </c>
      <c r="D2514" s="17" t="s">
        <v>12</v>
      </c>
      <c r="E2514" s="17" t="s">
        <v>13</v>
      </c>
      <c r="F2514" s="16" t="s">
        <v>7900</v>
      </c>
    </row>
    <row r="2515" spans="1:6" x14ac:dyDescent="0.25">
      <c r="A2515" s="16" t="s">
        <v>7901</v>
      </c>
      <c r="B2515" s="17" t="s">
        <v>7902</v>
      </c>
      <c r="C2515" s="17" t="s">
        <v>11</v>
      </c>
      <c r="D2515" s="17" t="s">
        <v>12</v>
      </c>
      <c r="E2515" s="17" t="s">
        <v>13</v>
      </c>
      <c r="F2515" s="16" t="s">
        <v>7903</v>
      </c>
    </row>
    <row r="2516" spans="1:6" x14ac:dyDescent="0.25">
      <c r="A2516" s="16" t="s">
        <v>7904</v>
      </c>
      <c r="B2516" s="17" t="s">
        <v>7905</v>
      </c>
      <c r="C2516" s="17" t="s">
        <v>11</v>
      </c>
      <c r="D2516" s="17" t="s">
        <v>12</v>
      </c>
      <c r="E2516" s="17" t="s">
        <v>13</v>
      </c>
      <c r="F2516" s="16" t="s">
        <v>7906</v>
      </c>
    </row>
    <row r="2517" spans="1:6" x14ac:dyDescent="0.25">
      <c r="A2517" s="16" t="s">
        <v>7907</v>
      </c>
      <c r="B2517" s="17" t="s">
        <v>7908</v>
      </c>
      <c r="C2517" s="17" t="s">
        <v>11</v>
      </c>
      <c r="D2517" s="17" t="s">
        <v>12</v>
      </c>
      <c r="E2517" s="17" t="s">
        <v>13</v>
      </c>
      <c r="F2517" s="16" t="s">
        <v>7909</v>
      </c>
    </row>
    <row r="2518" spans="1:6" x14ac:dyDescent="0.25">
      <c r="A2518" s="16" t="s">
        <v>7910</v>
      </c>
      <c r="B2518" s="17" t="s">
        <v>7911</v>
      </c>
      <c r="C2518" s="17" t="s">
        <v>11</v>
      </c>
      <c r="D2518" s="17" t="s">
        <v>12</v>
      </c>
      <c r="E2518" s="17" t="s">
        <v>13</v>
      </c>
      <c r="F2518" s="16" t="s">
        <v>7912</v>
      </c>
    </row>
    <row r="2519" spans="1:6" x14ac:dyDescent="0.25">
      <c r="A2519" s="16" t="s">
        <v>7913</v>
      </c>
      <c r="B2519" s="17" t="s">
        <v>7914</v>
      </c>
      <c r="C2519" s="17" t="s">
        <v>11</v>
      </c>
      <c r="D2519" s="17" t="s">
        <v>12</v>
      </c>
      <c r="E2519" s="17" t="s">
        <v>13</v>
      </c>
      <c r="F2519" s="16" t="s">
        <v>7915</v>
      </c>
    </row>
    <row r="2520" spans="1:6" x14ac:dyDescent="0.25">
      <c r="A2520" s="16" t="s">
        <v>7916</v>
      </c>
      <c r="B2520" s="17" t="s">
        <v>7917</v>
      </c>
      <c r="C2520" s="17" t="s">
        <v>11</v>
      </c>
      <c r="D2520" s="17" t="s">
        <v>32</v>
      </c>
      <c r="E2520" s="17" t="s">
        <v>20</v>
      </c>
      <c r="F2520" s="16" t="s">
        <v>7918</v>
      </c>
    </row>
    <row r="2521" spans="1:6" x14ac:dyDescent="0.25">
      <c r="A2521" s="16" t="s">
        <v>7919</v>
      </c>
      <c r="B2521" s="17" t="s">
        <v>7920</v>
      </c>
      <c r="C2521" s="17" t="s">
        <v>11</v>
      </c>
      <c r="D2521" s="17" t="s">
        <v>291</v>
      </c>
      <c r="E2521" s="17" t="s">
        <v>20</v>
      </c>
      <c r="F2521" s="16" t="s">
        <v>7921</v>
      </c>
    </row>
    <row r="2522" spans="1:6" x14ac:dyDescent="0.25">
      <c r="A2522" s="16" t="s">
        <v>7922</v>
      </c>
      <c r="B2522" s="17" t="s">
        <v>7923</v>
      </c>
      <c r="C2522" s="17" t="s">
        <v>11</v>
      </c>
      <c r="D2522" s="17" t="s">
        <v>649</v>
      </c>
      <c r="E2522" s="17" t="s">
        <v>20</v>
      </c>
      <c r="F2522" s="16" t="s">
        <v>7924</v>
      </c>
    </row>
    <row r="2523" spans="1:6" x14ac:dyDescent="0.25">
      <c r="A2523" s="16" t="s">
        <v>7925</v>
      </c>
      <c r="B2523" s="17" t="s">
        <v>7926</v>
      </c>
      <c r="C2523" s="17" t="s">
        <v>11</v>
      </c>
      <c r="D2523" s="17" t="s">
        <v>12</v>
      </c>
      <c r="E2523" s="17" t="s">
        <v>13</v>
      </c>
      <c r="F2523" s="16" t="s">
        <v>7927</v>
      </c>
    </row>
    <row r="2524" spans="1:6" x14ac:dyDescent="0.25">
      <c r="A2524" s="16" t="s">
        <v>7928</v>
      </c>
      <c r="B2524" s="17" t="s">
        <v>7929</v>
      </c>
      <c r="C2524" s="17" t="s">
        <v>11</v>
      </c>
      <c r="D2524" s="17" t="s">
        <v>12</v>
      </c>
      <c r="E2524" s="17" t="s">
        <v>13</v>
      </c>
      <c r="F2524" s="16" t="s">
        <v>7930</v>
      </c>
    </row>
    <row r="2525" spans="1:6" x14ac:dyDescent="0.25">
      <c r="A2525" s="16" t="s">
        <v>7931</v>
      </c>
      <c r="B2525" s="17" t="s">
        <v>7932</v>
      </c>
      <c r="C2525" s="17" t="s">
        <v>11</v>
      </c>
      <c r="D2525" s="17" t="s">
        <v>32</v>
      </c>
      <c r="E2525" s="17" t="s">
        <v>20</v>
      </c>
      <c r="F2525" s="16" t="s">
        <v>7933</v>
      </c>
    </row>
    <row r="2526" spans="1:6" x14ac:dyDescent="0.25">
      <c r="A2526" s="16" t="s">
        <v>7934</v>
      </c>
      <c r="B2526" s="17" t="s">
        <v>7935</v>
      </c>
      <c r="C2526" s="17" t="s">
        <v>11</v>
      </c>
      <c r="D2526" s="17" t="s">
        <v>12</v>
      </c>
      <c r="E2526" s="17" t="s">
        <v>13</v>
      </c>
      <c r="F2526" s="16" t="s">
        <v>7936</v>
      </c>
    </row>
    <row r="2527" spans="1:6" x14ac:dyDescent="0.25">
      <c r="A2527" s="16" t="s">
        <v>7937</v>
      </c>
      <c r="B2527" s="17" t="s">
        <v>7938</v>
      </c>
      <c r="C2527" s="17" t="s">
        <v>11</v>
      </c>
      <c r="D2527" s="17" t="s">
        <v>12</v>
      </c>
      <c r="E2527" s="17" t="s">
        <v>13</v>
      </c>
      <c r="F2527" s="16" t="s">
        <v>7939</v>
      </c>
    </row>
    <row r="2528" spans="1:6" x14ac:dyDescent="0.25">
      <c r="A2528" s="16" t="s">
        <v>7940</v>
      </c>
      <c r="B2528" s="17" t="s">
        <v>7941</v>
      </c>
      <c r="C2528" s="17" t="s">
        <v>11</v>
      </c>
      <c r="D2528" s="17" t="s">
        <v>12</v>
      </c>
      <c r="E2528" s="17" t="s">
        <v>13</v>
      </c>
      <c r="F2528" s="16" t="s">
        <v>7942</v>
      </c>
    </row>
    <row r="2529" spans="1:6" x14ac:dyDescent="0.25">
      <c r="A2529" s="16" t="s">
        <v>7943</v>
      </c>
      <c r="B2529" s="17" t="s">
        <v>7944</v>
      </c>
      <c r="C2529" s="17" t="s">
        <v>11</v>
      </c>
      <c r="D2529" s="17" t="s">
        <v>12</v>
      </c>
      <c r="E2529" s="17" t="s">
        <v>13</v>
      </c>
      <c r="F2529" s="16" t="s">
        <v>7945</v>
      </c>
    </row>
    <row r="2530" spans="1:6" x14ac:dyDescent="0.25">
      <c r="A2530" s="16" t="s">
        <v>7946</v>
      </c>
      <c r="B2530" s="17" t="s">
        <v>7947</v>
      </c>
      <c r="C2530" s="17" t="s">
        <v>11</v>
      </c>
      <c r="D2530" s="17" t="s">
        <v>12</v>
      </c>
      <c r="E2530" s="17" t="s">
        <v>13</v>
      </c>
      <c r="F2530" s="16" t="s">
        <v>7948</v>
      </c>
    </row>
    <row r="2531" spans="1:6" x14ac:dyDescent="0.25">
      <c r="A2531" s="16" t="s">
        <v>7949</v>
      </c>
      <c r="B2531" s="17" t="s">
        <v>7950</v>
      </c>
      <c r="C2531" s="17" t="s">
        <v>11</v>
      </c>
      <c r="D2531" s="17" t="s">
        <v>12</v>
      </c>
      <c r="E2531" s="17" t="s">
        <v>13</v>
      </c>
      <c r="F2531" s="16" t="s">
        <v>7951</v>
      </c>
    </row>
    <row r="2532" spans="1:6" x14ac:dyDescent="0.25">
      <c r="A2532" s="16" t="s">
        <v>7952</v>
      </c>
      <c r="B2532" s="17" t="s">
        <v>7953</v>
      </c>
      <c r="C2532" s="17" t="s">
        <v>11</v>
      </c>
      <c r="D2532" s="17" t="s">
        <v>12</v>
      </c>
      <c r="E2532" s="17" t="s">
        <v>13</v>
      </c>
      <c r="F2532" s="16" t="s">
        <v>7954</v>
      </c>
    </row>
    <row r="2533" spans="1:6" x14ac:dyDescent="0.25">
      <c r="A2533" s="16" t="s">
        <v>7955</v>
      </c>
      <c r="B2533" s="17" t="s">
        <v>7956</v>
      </c>
      <c r="C2533" s="17" t="s">
        <v>11</v>
      </c>
      <c r="D2533" s="17" t="s">
        <v>12</v>
      </c>
      <c r="E2533" s="17" t="s">
        <v>13</v>
      </c>
      <c r="F2533" s="16" t="s">
        <v>7957</v>
      </c>
    </row>
    <row r="2534" spans="1:6" x14ac:dyDescent="0.25">
      <c r="A2534" s="16" t="s">
        <v>7958</v>
      </c>
      <c r="B2534" s="17" t="s">
        <v>7959</v>
      </c>
      <c r="C2534" s="17" t="s">
        <v>11</v>
      </c>
      <c r="D2534" s="17" t="s">
        <v>12</v>
      </c>
      <c r="E2534" s="17" t="s">
        <v>13</v>
      </c>
      <c r="F2534" s="16" t="s">
        <v>7960</v>
      </c>
    </row>
    <row r="2535" spans="1:6" x14ac:dyDescent="0.25">
      <c r="A2535" s="16" t="s">
        <v>7961</v>
      </c>
      <c r="B2535" s="17" t="s">
        <v>7962</v>
      </c>
      <c r="C2535" s="17" t="s">
        <v>11</v>
      </c>
      <c r="D2535" s="17" t="s">
        <v>12</v>
      </c>
      <c r="E2535" s="17" t="s">
        <v>13</v>
      </c>
      <c r="F2535" s="16" t="s">
        <v>7963</v>
      </c>
    </row>
    <row r="2536" spans="1:6" x14ac:dyDescent="0.25">
      <c r="A2536" s="16" t="s">
        <v>7964</v>
      </c>
      <c r="B2536" s="17" t="s">
        <v>7965</v>
      </c>
      <c r="C2536" s="17" t="s">
        <v>11</v>
      </c>
      <c r="D2536" s="17" t="s">
        <v>12</v>
      </c>
      <c r="E2536" s="17" t="s">
        <v>13</v>
      </c>
      <c r="F2536" s="16" t="s">
        <v>7966</v>
      </c>
    </row>
    <row r="2537" spans="1:6" x14ac:dyDescent="0.25">
      <c r="A2537" s="16" t="s">
        <v>7967</v>
      </c>
      <c r="B2537" s="17" t="s">
        <v>7968</v>
      </c>
      <c r="C2537" s="17" t="s">
        <v>11</v>
      </c>
      <c r="D2537" s="17" t="s">
        <v>12</v>
      </c>
      <c r="E2537" s="17" t="s">
        <v>13</v>
      </c>
      <c r="F2537" s="16" t="s">
        <v>7969</v>
      </c>
    </row>
    <row r="2538" spans="1:6" x14ac:dyDescent="0.25">
      <c r="A2538" s="16" t="s">
        <v>7970</v>
      </c>
      <c r="B2538" s="17" t="s">
        <v>7971</v>
      </c>
      <c r="C2538" s="17" t="s">
        <v>11</v>
      </c>
      <c r="D2538" s="17" t="s">
        <v>12</v>
      </c>
      <c r="E2538" s="17" t="s">
        <v>13</v>
      </c>
      <c r="F2538" s="16" t="s">
        <v>7972</v>
      </c>
    </row>
    <row r="2539" spans="1:6" x14ac:dyDescent="0.25">
      <c r="A2539" s="16" t="s">
        <v>7973</v>
      </c>
      <c r="B2539" s="17" t="s">
        <v>7974</v>
      </c>
      <c r="C2539" s="17" t="s">
        <v>11</v>
      </c>
      <c r="D2539" s="17" t="s">
        <v>182</v>
      </c>
      <c r="E2539" s="17" t="s">
        <v>20</v>
      </c>
      <c r="F2539" s="16" t="s">
        <v>7975</v>
      </c>
    </row>
    <row r="2540" spans="1:6" x14ac:dyDescent="0.25">
      <c r="A2540" s="16" t="s">
        <v>7976</v>
      </c>
      <c r="B2540" s="17" t="s">
        <v>7977</v>
      </c>
      <c r="C2540" s="17" t="s">
        <v>11</v>
      </c>
      <c r="D2540" s="17" t="s">
        <v>32</v>
      </c>
      <c r="E2540" s="17" t="s">
        <v>20</v>
      </c>
      <c r="F2540" s="16" t="s">
        <v>7978</v>
      </c>
    </row>
    <row r="2541" spans="1:6" x14ac:dyDescent="0.25">
      <c r="A2541" s="16" t="s">
        <v>7979</v>
      </c>
      <c r="B2541" s="17" t="s">
        <v>7980</v>
      </c>
      <c r="C2541" s="17" t="s">
        <v>11</v>
      </c>
      <c r="D2541" s="17" t="s">
        <v>83</v>
      </c>
      <c r="E2541" s="17" t="s">
        <v>20</v>
      </c>
      <c r="F2541" s="16" t="s">
        <v>7981</v>
      </c>
    </row>
    <row r="2542" spans="1:6" x14ac:dyDescent="0.25">
      <c r="A2542" s="16" t="s">
        <v>7982</v>
      </c>
      <c r="B2542" s="17" t="s">
        <v>7983</v>
      </c>
      <c r="C2542" s="17" t="s">
        <v>11</v>
      </c>
      <c r="D2542" s="17" t="s">
        <v>19</v>
      </c>
      <c r="E2542" s="17" t="s">
        <v>20</v>
      </c>
      <c r="F2542" s="16" t="s">
        <v>7984</v>
      </c>
    </row>
    <row r="2543" spans="1:6" x14ac:dyDescent="0.25">
      <c r="A2543" s="16" t="s">
        <v>7985</v>
      </c>
      <c r="B2543" s="17" t="s">
        <v>7986</v>
      </c>
      <c r="C2543" s="17" t="s">
        <v>11</v>
      </c>
      <c r="D2543" s="17" t="s">
        <v>12</v>
      </c>
      <c r="E2543" s="17" t="s">
        <v>13</v>
      </c>
      <c r="F2543" s="16" t="s">
        <v>7987</v>
      </c>
    </row>
    <row r="2544" spans="1:6" x14ac:dyDescent="0.25">
      <c r="A2544" s="16" t="s">
        <v>7988</v>
      </c>
      <c r="B2544" s="17" t="s">
        <v>7989</v>
      </c>
      <c r="C2544" s="17" t="s">
        <v>11</v>
      </c>
      <c r="D2544" s="17" t="s">
        <v>89</v>
      </c>
      <c r="E2544" s="17" t="s">
        <v>20</v>
      </c>
      <c r="F2544" s="16" t="s">
        <v>7990</v>
      </c>
    </row>
    <row r="2545" spans="1:6" x14ac:dyDescent="0.25">
      <c r="A2545" s="16" t="s">
        <v>7991</v>
      </c>
      <c r="B2545" s="17" t="s">
        <v>7992</v>
      </c>
      <c r="C2545" s="17" t="s">
        <v>11</v>
      </c>
      <c r="D2545" s="17" t="s">
        <v>12</v>
      </c>
      <c r="E2545" s="17" t="s">
        <v>13</v>
      </c>
      <c r="F2545" s="16" t="s">
        <v>7993</v>
      </c>
    </row>
    <row r="2546" spans="1:6" x14ac:dyDescent="0.25">
      <c r="A2546" s="16" t="s">
        <v>7994</v>
      </c>
      <c r="B2546" s="17" t="s">
        <v>7995</v>
      </c>
      <c r="C2546" s="17" t="s">
        <v>11</v>
      </c>
      <c r="D2546" s="17" t="s">
        <v>12</v>
      </c>
      <c r="E2546" s="17" t="s">
        <v>13</v>
      </c>
      <c r="F2546" s="16" t="s">
        <v>7996</v>
      </c>
    </row>
    <row r="2547" spans="1:6" x14ac:dyDescent="0.25">
      <c r="A2547" s="16" t="s">
        <v>7997</v>
      </c>
      <c r="B2547" s="17" t="s">
        <v>7998</v>
      </c>
      <c r="C2547" s="17" t="s">
        <v>11</v>
      </c>
      <c r="D2547" s="17" t="s">
        <v>12</v>
      </c>
      <c r="E2547" s="17" t="s">
        <v>13</v>
      </c>
      <c r="F2547" s="16" t="s">
        <v>7999</v>
      </c>
    </row>
    <row r="2548" spans="1:6" x14ac:dyDescent="0.25">
      <c r="A2548" s="16" t="s">
        <v>8000</v>
      </c>
      <c r="B2548" s="17" t="s">
        <v>8001</v>
      </c>
      <c r="C2548" s="17" t="s">
        <v>11</v>
      </c>
      <c r="D2548" s="17" t="s">
        <v>32</v>
      </c>
      <c r="E2548" s="17" t="s">
        <v>20</v>
      </c>
      <c r="F2548" s="16" t="s">
        <v>8002</v>
      </c>
    </row>
    <row r="2549" spans="1:6" x14ac:dyDescent="0.25">
      <c r="A2549" s="16" t="s">
        <v>8003</v>
      </c>
      <c r="B2549" s="17" t="s">
        <v>8004</v>
      </c>
      <c r="C2549" s="17" t="s">
        <v>11</v>
      </c>
      <c r="D2549" s="17" t="s">
        <v>12</v>
      </c>
      <c r="E2549" s="17" t="s">
        <v>13</v>
      </c>
      <c r="F2549" s="16" t="s">
        <v>8005</v>
      </c>
    </row>
    <row r="2550" spans="1:6" x14ac:dyDescent="0.25">
      <c r="A2550" s="16" t="s">
        <v>8006</v>
      </c>
      <c r="B2550" s="17" t="s">
        <v>8007</v>
      </c>
      <c r="C2550" s="17" t="s">
        <v>11</v>
      </c>
      <c r="D2550" s="17" t="s">
        <v>74</v>
      </c>
      <c r="E2550" s="17" t="s">
        <v>20</v>
      </c>
      <c r="F2550" s="16" t="s">
        <v>8008</v>
      </c>
    </row>
    <row r="2551" spans="1:6" x14ac:dyDescent="0.25">
      <c r="A2551" s="16" t="s">
        <v>8009</v>
      </c>
      <c r="B2551" s="17" t="s">
        <v>8010</v>
      </c>
      <c r="C2551" s="17" t="s">
        <v>11</v>
      </c>
      <c r="D2551" s="17" t="s">
        <v>74</v>
      </c>
      <c r="E2551" s="17" t="s">
        <v>20</v>
      </c>
      <c r="F2551" s="16" t="s">
        <v>8011</v>
      </c>
    </row>
    <row r="2552" spans="1:6" x14ac:dyDescent="0.25">
      <c r="A2552" s="16" t="s">
        <v>8012</v>
      </c>
      <c r="B2552" s="17" t="s">
        <v>8013</v>
      </c>
      <c r="C2552" s="17" t="s">
        <v>11</v>
      </c>
      <c r="D2552" s="17" t="s">
        <v>12</v>
      </c>
      <c r="E2552" s="17" t="s">
        <v>13</v>
      </c>
      <c r="F2552" s="16" t="s">
        <v>8014</v>
      </c>
    </row>
    <row r="2553" spans="1:6" x14ac:dyDescent="0.25">
      <c r="A2553" s="16" t="s">
        <v>8015</v>
      </c>
      <c r="B2553" s="17" t="s">
        <v>8016</v>
      </c>
      <c r="C2553" s="17" t="s">
        <v>11</v>
      </c>
      <c r="D2553" s="17" t="s">
        <v>12</v>
      </c>
      <c r="E2553" s="17" t="s">
        <v>13</v>
      </c>
      <c r="F2553" s="16" t="s">
        <v>8017</v>
      </c>
    </row>
    <row r="2554" spans="1:6" x14ac:dyDescent="0.25">
      <c r="A2554" s="16" t="s">
        <v>8018</v>
      </c>
      <c r="B2554" s="17" t="s">
        <v>8019</v>
      </c>
      <c r="C2554" s="17" t="s">
        <v>11</v>
      </c>
      <c r="D2554" s="17" t="s">
        <v>182</v>
      </c>
      <c r="E2554" s="17" t="s">
        <v>20</v>
      </c>
      <c r="F2554" s="16" t="s">
        <v>8020</v>
      </c>
    </row>
    <row r="2555" spans="1:6" x14ac:dyDescent="0.25">
      <c r="A2555" s="16" t="s">
        <v>8021</v>
      </c>
      <c r="B2555" s="17" t="s">
        <v>8022</v>
      </c>
      <c r="C2555" s="17" t="s">
        <v>11</v>
      </c>
      <c r="D2555" s="17" t="s">
        <v>182</v>
      </c>
      <c r="E2555" s="17" t="s">
        <v>20</v>
      </c>
      <c r="F2555" s="16" t="s">
        <v>8023</v>
      </c>
    </row>
    <row r="2556" spans="1:6" x14ac:dyDescent="0.25">
      <c r="A2556" s="16" t="s">
        <v>8024</v>
      </c>
      <c r="B2556" s="17" t="s">
        <v>8025</v>
      </c>
      <c r="C2556" s="17" t="s">
        <v>11</v>
      </c>
      <c r="D2556" s="17" t="s">
        <v>12</v>
      </c>
      <c r="E2556" s="17" t="s">
        <v>13</v>
      </c>
      <c r="F2556" s="16" t="s">
        <v>8026</v>
      </c>
    </row>
    <row r="2557" spans="1:6" x14ac:dyDescent="0.25">
      <c r="A2557" s="16" t="s">
        <v>8027</v>
      </c>
      <c r="B2557" s="17" t="s">
        <v>8028</v>
      </c>
      <c r="C2557" s="17" t="s">
        <v>11</v>
      </c>
      <c r="D2557" s="17" t="s">
        <v>12</v>
      </c>
      <c r="E2557" s="17" t="s">
        <v>13</v>
      </c>
      <c r="F2557" s="16" t="s">
        <v>8029</v>
      </c>
    </row>
    <row r="2558" spans="1:6" x14ac:dyDescent="0.25">
      <c r="A2558" s="16" t="s">
        <v>8030</v>
      </c>
      <c r="B2558" s="17" t="s">
        <v>8031</v>
      </c>
      <c r="C2558" s="17" t="s">
        <v>11</v>
      </c>
      <c r="D2558" s="17" t="s">
        <v>83</v>
      </c>
      <c r="E2558" s="17" t="s">
        <v>20</v>
      </c>
      <c r="F2558" s="16" t="s">
        <v>8032</v>
      </c>
    </row>
    <row r="2559" spans="1:6" x14ac:dyDescent="0.25">
      <c r="A2559" s="16" t="s">
        <v>8033</v>
      </c>
      <c r="B2559" s="17" t="s">
        <v>8034</v>
      </c>
      <c r="C2559" s="17" t="s">
        <v>11</v>
      </c>
      <c r="D2559" s="17" t="s">
        <v>74</v>
      </c>
      <c r="E2559" s="17" t="s">
        <v>20</v>
      </c>
      <c r="F2559" s="16" t="s">
        <v>8035</v>
      </c>
    </row>
    <row r="2560" spans="1:6" x14ac:dyDescent="0.25">
      <c r="A2560" s="16" t="s">
        <v>8036</v>
      </c>
      <c r="B2560" s="17" t="s">
        <v>8037</v>
      </c>
      <c r="C2560" s="17" t="s">
        <v>11</v>
      </c>
      <c r="D2560" s="17" t="s">
        <v>250</v>
      </c>
      <c r="E2560" s="17" t="s">
        <v>20</v>
      </c>
      <c r="F2560" s="16" t="s">
        <v>8038</v>
      </c>
    </row>
    <row r="2561" spans="1:6" x14ac:dyDescent="0.25">
      <c r="A2561" s="16" t="s">
        <v>8039</v>
      </c>
      <c r="B2561" s="17" t="s">
        <v>8040</v>
      </c>
      <c r="C2561" s="17" t="s">
        <v>11</v>
      </c>
      <c r="D2561" s="17" t="s">
        <v>32</v>
      </c>
      <c r="E2561" s="17" t="s">
        <v>20</v>
      </c>
      <c r="F2561" s="16" t="s">
        <v>8041</v>
      </c>
    </row>
    <row r="2562" spans="1:6" x14ac:dyDescent="0.25">
      <c r="A2562" s="16" t="s">
        <v>8042</v>
      </c>
      <c r="B2562" s="17" t="s">
        <v>8043</v>
      </c>
      <c r="C2562" s="17" t="s">
        <v>11</v>
      </c>
      <c r="D2562" s="17" t="s">
        <v>12</v>
      </c>
      <c r="E2562" s="17" t="s">
        <v>13</v>
      </c>
      <c r="F2562" s="16" t="s">
        <v>8044</v>
      </c>
    </row>
    <row r="2563" spans="1:6" x14ac:dyDescent="0.25">
      <c r="A2563" s="16" t="s">
        <v>8045</v>
      </c>
      <c r="B2563" s="17" t="s">
        <v>8046</v>
      </c>
      <c r="C2563" s="17" t="s">
        <v>11</v>
      </c>
      <c r="D2563" s="17" t="s">
        <v>32</v>
      </c>
      <c r="E2563" s="17" t="s">
        <v>20</v>
      </c>
      <c r="F2563" s="16" t="s">
        <v>8047</v>
      </c>
    </row>
    <row r="2564" spans="1:6" x14ac:dyDescent="0.25">
      <c r="A2564" s="16" t="s">
        <v>8048</v>
      </c>
      <c r="B2564" s="17" t="s">
        <v>8049</v>
      </c>
      <c r="C2564" s="17" t="s">
        <v>11</v>
      </c>
      <c r="D2564" s="17" t="s">
        <v>12</v>
      </c>
      <c r="E2564" s="17" t="s">
        <v>13</v>
      </c>
      <c r="F2564" s="16" t="s">
        <v>8050</v>
      </c>
    </row>
    <row r="2565" spans="1:6" x14ac:dyDescent="0.25">
      <c r="A2565" s="16" t="s">
        <v>8051</v>
      </c>
      <c r="B2565" s="17" t="s">
        <v>8052</v>
      </c>
      <c r="C2565" s="17" t="s">
        <v>11</v>
      </c>
      <c r="D2565" s="17" t="s">
        <v>32</v>
      </c>
      <c r="E2565" s="17" t="s">
        <v>20</v>
      </c>
      <c r="F2565" s="16" t="s">
        <v>8053</v>
      </c>
    </row>
    <row r="2566" spans="1:6" x14ac:dyDescent="0.25">
      <c r="A2566" s="16" t="s">
        <v>8054</v>
      </c>
      <c r="B2566" s="17" t="s">
        <v>8055</v>
      </c>
      <c r="C2566" s="17" t="s">
        <v>11</v>
      </c>
      <c r="D2566" s="17" t="s">
        <v>811</v>
      </c>
      <c r="E2566" s="17" t="s">
        <v>20</v>
      </c>
      <c r="F2566" s="16" t="s">
        <v>8056</v>
      </c>
    </row>
    <row r="2567" spans="1:6" x14ac:dyDescent="0.25">
      <c r="A2567" s="16" t="s">
        <v>8057</v>
      </c>
      <c r="B2567" s="17" t="s">
        <v>8058</v>
      </c>
      <c r="C2567" s="17" t="s">
        <v>214</v>
      </c>
      <c r="D2567" s="17" t="s">
        <v>32</v>
      </c>
      <c r="E2567" s="17" t="s">
        <v>20</v>
      </c>
      <c r="F2567" s="16" t="s">
        <v>8059</v>
      </c>
    </row>
    <row r="2568" spans="1:6" x14ac:dyDescent="0.25">
      <c r="A2568" s="16" t="s">
        <v>8060</v>
      </c>
      <c r="B2568" s="17" t="s">
        <v>8061</v>
      </c>
      <c r="C2568" s="17" t="s">
        <v>11</v>
      </c>
      <c r="D2568" s="17" t="s">
        <v>83</v>
      </c>
      <c r="E2568" s="17" t="s">
        <v>20</v>
      </c>
      <c r="F2568" s="16" t="s">
        <v>8062</v>
      </c>
    </row>
    <row r="2569" spans="1:6" x14ac:dyDescent="0.25">
      <c r="A2569" s="16" t="s">
        <v>8063</v>
      </c>
      <c r="B2569" s="17" t="s">
        <v>8064</v>
      </c>
      <c r="C2569" s="17" t="s">
        <v>11</v>
      </c>
      <c r="D2569" s="17" t="s">
        <v>182</v>
      </c>
      <c r="E2569" s="17" t="s">
        <v>20</v>
      </c>
      <c r="F2569" s="16" t="s">
        <v>8065</v>
      </c>
    </row>
    <row r="2570" spans="1:6" x14ac:dyDescent="0.25">
      <c r="A2570" s="16" t="s">
        <v>8066</v>
      </c>
      <c r="B2570" s="17" t="s">
        <v>8067</v>
      </c>
      <c r="C2570" s="17" t="s">
        <v>11</v>
      </c>
      <c r="D2570" s="17" t="s">
        <v>570</v>
      </c>
      <c r="E2570" s="17" t="s">
        <v>20</v>
      </c>
      <c r="F2570" s="16" t="s">
        <v>8068</v>
      </c>
    </row>
    <row r="2571" spans="1:6" x14ac:dyDescent="0.25">
      <c r="A2571" s="16" t="s">
        <v>8069</v>
      </c>
      <c r="B2571" s="17" t="s">
        <v>8070</v>
      </c>
      <c r="C2571" s="17" t="s">
        <v>11</v>
      </c>
      <c r="D2571" s="17" t="s">
        <v>74</v>
      </c>
      <c r="E2571" s="17" t="s">
        <v>20</v>
      </c>
      <c r="F2571" s="16" t="s">
        <v>8071</v>
      </c>
    </row>
    <row r="2572" spans="1:6" x14ac:dyDescent="0.25">
      <c r="A2572" s="16" t="s">
        <v>8072</v>
      </c>
      <c r="B2572" s="17" t="s">
        <v>8073</v>
      </c>
      <c r="C2572" s="17" t="s">
        <v>11</v>
      </c>
      <c r="D2572" s="17" t="s">
        <v>12</v>
      </c>
      <c r="E2572" s="17" t="s">
        <v>13</v>
      </c>
      <c r="F2572" s="16" t="s">
        <v>8074</v>
      </c>
    </row>
    <row r="2573" spans="1:6" x14ac:dyDescent="0.25">
      <c r="A2573" s="16" t="s">
        <v>8075</v>
      </c>
      <c r="B2573" s="17" t="s">
        <v>8076</v>
      </c>
      <c r="C2573" s="17" t="s">
        <v>11</v>
      </c>
      <c r="D2573" s="17" t="s">
        <v>32</v>
      </c>
      <c r="E2573" s="17" t="s">
        <v>20</v>
      </c>
      <c r="F2573" s="16" t="s">
        <v>8077</v>
      </c>
    </row>
    <row r="2574" spans="1:6" x14ac:dyDescent="0.25">
      <c r="A2574" s="16" t="s">
        <v>8078</v>
      </c>
      <c r="B2574" s="17" t="s">
        <v>8079</v>
      </c>
      <c r="C2574" s="17" t="s">
        <v>11</v>
      </c>
      <c r="D2574" s="17" t="s">
        <v>570</v>
      </c>
      <c r="E2574" s="17" t="s">
        <v>20</v>
      </c>
      <c r="F2574" s="16" t="s">
        <v>8080</v>
      </c>
    </row>
    <row r="2575" spans="1:6" x14ac:dyDescent="0.25">
      <c r="A2575" s="16" t="s">
        <v>8081</v>
      </c>
      <c r="B2575" s="17" t="s">
        <v>8082</v>
      </c>
      <c r="C2575" s="17" t="s">
        <v>11</v>
      </c>
      <c r="D2575" s="17" t="s">
        <v>32</v>
      </c>
      <c r="E2575" s="17" t="s">
        <v>20</v>
      </c>
      <c r="F2575" s="16" t="s">
        <v>8083</v>
      </c>
    </row>
    <row r="2576" spans="1:6" x14ac:dyDescent="0.25">
      <c r="A2576" s="16" t="s">
        <v>8084</v>
      </c>
      <c r="B2576" s="17" t="s">
        <v>8085</v>
      </c>
      <c r="C2576" s="17" t="s">
        <v>11</v>
      </c>
      <c r="D2576" s="17" t="s">
        <v>83</v>
      </c>
      <c r="E2576" s="17" t="s">
        <v>20</v>
      </c>
      <c r="F2576" s="16" t="s">
        <v>8086</v>
      </c>
    </row>
    <row r="2577" spans="1:6" x14ac:dyDescent="0.25">
      <c r="A2577" s="16" t="s">
        <v>8087</v>
      </c>
      <c r="B2577" s="17" t="s">
        <v>8088</v>
      </c>
      <c r="C2577" s="17" t="s">
        <v>11</v>
      </c>
      <c r="D2577" s="17" t="s">
        <v>186</v>
      </c>
      <c r="E2577" s="17" t="s">
        <v>20</v>
      </c>
      <c r="F2577" s="16" t="s">
        <v>8089</v>
      </c>
    </row>
    <row r="2578" spans="1:6" x14ac:dyDescent="0.25">
      <c r="A2578" s="16" t="s">
        <v>8090</v>
      </c>
      <c r="B2578" s="17" t="s">
        <v>8091</v>
      </c>
      <c r="C2578" s="17" t="s">
        <v>11</v>
      </c>
      <c r="D2578" s="17" t="s">
        <v>32</v>
      </c>
      <c r="E2578" s="17" t="s">
        <v>20</v>
      </c>
      <c r="F2578" s="16" t="s">
        <v>8092</v>
      </c>
    </row>
    <row r="2579" spans="1:6" x14ac:dyDescent="0.25">
      <c r="A2579" s="16" t="s">
        <v>8093</v>
      </c>
      <c r="B2579" s="17" t="s">
        <v>8094</v>
      </c>
      <c r="C2579" s="17" t="s">
        <v>11</v>
      </c>
      <c r="D2579" s="17" t="s">
        <v>74</v>
      </c>
      <c r="E2579" s="17" t="s">
        <v>20</v>
      </c>
      <c r="F2579" s="16" t="s">
        <v>8095</v>
      </c>
    </row>
    <row r="2580" spans="1:6" x14ac:dyDescent="0.25">
      <c r="A2580" s="16" t="s">
        <v>8096</v>
      </c>
      <c r="B2580" s="17" t="s">
        <v>8097</v>
      </c>
      <c r="C2580" s="17" t="s">
        <v>11</v>
      </c>
      <c r="D2580" s="17" t="s">
        <v>83</v>
      </c>
      <c r="E2580" s="17" t="s">
        <v>20</v>
      </c>
      <c r="F2580" s="16" t="s">
        <v>8098</v>
      </c>
    </row>
    <row r="2581" spans="1:6" x14ac:dyDescent="0.25">
      <c r="A2581" s="16" t="s">
        <v>8099</v>
      </c>
      <c r="B2581" s="17" t="s">
        <v>8100</v>
      </c>
      <c r="C2581" s="17" t="s">
        <v>359</v>
      </c>
      <c r="D2581" s="17" t="s">
        <v>32</v>
      </c>
      <c r="E2581" s="17" t="s">
        <v>20</v>
      </c>
      <c r="F2581" s="16" t="s">
        <v>8101</v>
      </c>
    </row>
    <row r="2582" spans="1:6" x14ac:dyDescent="0.25">
      <c r="A2582" s="16" t="s">
        <v>8102</v>
      </c>
      <c r="B2582" s="17" t="s">
        <v>8103</v>
      </c>
      <c r="C2582" s="17" t="s">
        <v>11</v>
      </c>
      <c r="D2582" s="17" t="s">
        <v>291</v>
      </c>
      <c r="E2582" s="17" t="s">
        <v>20</v>
      </c>
      <c r="F2582" s="16" t="s">
        <v>8104</v>
      </c>
    </row>
    <row r="2583" spans="1:6" x14ac:dyDescent="0.25">
      <c r="A2583" s="16" t="s">
        <v>8105</v>
      </c>
      <c r="B2583" s="17" t="s">
        <v>8106</v>
      </c>
      <c r="C2583" s="17" t="s">
        <v>11</v>
      </c>
      <c r="D2583" s="17" t="s">
        <v>291</v>
      </c>
      <c r="E2583" s="17" t="s">
        <v>20</v>
      </c>
      <c r="F2583" s="16" t="s">
        <v>8107</v>
      </c>
    </row>
    <row r="2584" spans="1:6" x14ac:dyDescent="0.25">
      <c r="A2584" s="16" t="s">
        <v>8108</v>
      </c>
      <c r="B2584" s="17" t="s">
        <v>8109</v>
      </c>
      <c r="C2584" s="17" t="s">
        <v>11</v>
      </c>
      <c r="D2584" s="17" t="s">
        <v>12</v>
      </c>
      <c r="E2584" s="17" t="s">
        <v>13</v>
      </c>
      <c r="F2584" s="16" t="s">
        <v>8110</v>
      </c>
    </row>
    <row r="2585" spans="1:6" x14ac:dyDescent="0.25">
      <c r="A2585" s="16" t="s">
        <v>8111</v>
      </c>
      <c r="B2585" s="17" t="s">
        <v>8112</v>
      </c>
      <c r="C2585" s="17" t="s">
        <v>11</v>
      </c>
      <c r="D2585" s="17" t="s">
        <v>148</v>
      </c>
      <c r="E2585" s="17" t="s">
        <v>20</v>
      </c>
      <c r="F2585" s="16" t="s">
        <v>8113</v>
      </c>
    </row>
    <row r="2586" spans="1:6" x14ac:dyDescent="0.25">
      <c r="A2586" s="16" t="s">
        <v>8114</v>
      </c>
      <c r="B2586" s="17" t="s">
        <v>8115</v>
      </c>
      <c r="C2586" s="17" t="s">
        <v>11</v>
      </c>
      <c r="D2586" s="17" t="s">
        <v>186</v>
      </c>
      <c r="E2586" s="17" t="s">
        <v>20</v>
      </c>
      <c r="F2586" s="16" t="s">
        <v>8116</v>
      </c>
    </row>
    <row r="2587" spans="1:6" x14ac:dyDescent="0.25">
      <c r="A2587" s="16" t="s">
        <v>8117</v>
      </c>
      <c r="B2587" s="17" t="s">
        <v>8118</v>
      </c>
      <c r="C2587" s="17" t="s">
        <v>11</v>
      </c>
      <c r="D2587" s="17" t="s">
        <v>83</v>
      </c>
      <c r="E2587" s="17" t="s">
        <v>20</v>
      </c>
      <c r="F2587" s="16" t="s">
        <v>8119</v>
      </c>
    </row>
    <row r="2588" spans="1:6" x14ac:dyDescent="0.25">
      <c r="A2588" s="16" t="s">
        <v>8120</v>
      </c>
      <c r="B2588" s="17" t="s">
        <v>8121</v>
      </c>
      <c r="C2588" s="17" t="s">
        <v>11</v>
      </c>
      <c r="D2588" s="17" t="s">
        <v>32</v>
      </c>
      <c r="E2588" s="17" t="s">
        <v>20</v>
      </c>
      <c r="F2588" s="16" t="s">
        <v>8122</v>
      </c>
    </row>
    <row r="2589" spans="1:6" x14ac:dyDescent="0.25">
      <c r="A2589" s="16" t="s">
        <v>8123</v>
      </c>
      <c r="B2589" s="17" t="s">
        <v>8124</v>
      </c>
      <c r="C2589" s="17" t="s">
        <v>11</v>
      </c>
      <c r="D2589" s="17" t="s">
        <v>291</v>
      </c>
      <c r="E2589" s="17" t="s">
        <v>20</v>
      </c>
      <c r="F2589" s="16" t="s">
        <v>8125</v>
      </c>
    </row>
    <row r="2590" spans="1:6" x14ac:dyDescent="0.25">
      <c r="A2590" s="16" t="s">
        <v>8126</v>
      </c>
      <c r="B2590" s="17" t="s">
        <v>8127</v>
      </c>
      <c r="C2590" s="17" t="s">
        <v>11</v>
      </c>
      <c r="D2590" s="17" t="s">
        <v>32</v>
      </c>
      <c r="E2590" s="17" t="s">
        <v>20</v>
      </c>
      <c r="F2590" s="16" t="s">
        <v>8128</v>
      </c>
    </row>
    <row r="2591" spans="1:6" x14ac:dyDescent="0.25">
      <c r="A2591" s="16" t="s">
        <v>8129</v>
      </c>
      <c r="B2591" s="17" t="s">
        <v>8130</v>
      </c>
      <c r="C2591" s="17" t="s">
        <v>11</v>
      </c>
      <c r="D2591" s="17" t="s">
        <v>26</v>
      </c>
      <c r="E2591" s="17" t="s">
        <v>20</v>
      </c>
      <c r="F2591" s="16" t="s">
        <v>8131</v>
      </c>
    </row>
    <row r="2592" spans="1:6" x14ac:dyDescent="0.25">
      <c r="A2592" s="16" t="s">
        <v>8132</v>
      </c>
      <c r="B2592" s="17" t="s">
        <v>8133</v>
      </c>
      <c r="C2592" s="17" t="s">
        <v>11</v>
      </c>
      <c r="D2592" s="17" t="s">
        <v>12</v>
      </c>
      <c r="E2592" s="17" t="s">
        <v>13</v>
      </c>
      <c r="F2592" s="16" t="s">
        <v>8134</v>
      </c>
    </row>
    <row r="2593" spans="1:6" x14ac:dyDescent="0.25">
      <c r="A2593" s="16" t="s">
        <v>8135</v>
      </c>
      <c r="B2593" s="17" t="s">
        <v>8136</v>
      </c>
      <c r="C2593" s="17" t="s">
        <v>11</v>
      </c>
      <c r="D2593" s="17" t="s">
        <v>12</v>
      </c>
      <c r="E2593" s="17" t="s">
        <v>13</v>
      </c>
      <c r="F2593" s="16" t="s">
        <v>8137</v>
      </c>
    </row>
    <row r="2594" spans="1:6" x14ac:dyDescent="0.25">
      <c r="A2594" s="16" t="s">
        <v>8138</v>
      </c>
      <c r="B2594" s="17" t="s">
        <v>8139</v>
      </c>
      <c r="C2594" s="17" t="s">
        <v>11</v>
      </c>
      <c r="D2594" s="17" t="s">
        <v>186</v>
      </c>
      <c r="E2594" s="17" t="s">
        <v>20</v>
      </c>
      <c r="F2594" s="16" t="s">
        <v>8140</v>
      </c>
    </row>
    <row r="2595" spans="1:6" x14ac:dyDescent="0.25">
      <c r="A2595" s="16" t="s">
        <v>8141</v>
      </c>
      <c r="B2595" s="17" t="s">
        <v>8142</v>
      </c>
      <c r="C2595" s="17" t="s">
        <v>11</v>
      </c>
      <c r="D2595" s="17" t="s">
        <v>250</v>
      </c>
      <c r="E2595" s="17" t="s">
        <v>20</v>
      </c>
      <c r="F2595" s="16" t="s">
        <v>8143</v>
      </c>
    </row>
    <row r="2596" spans="1:6" x14ac:dyDescent="0.25">
      <c r="A2596" s="16" t="s">
        <v>8144</v>
      </c>
      <c r="B2596" s="17" t="s">
        <v>8145</v>
      </c>
      <c r="C2596" s="17" t="s">
        <v>11</v>
      </c>
      <c r="D2596" s="17" t="s">
        <v>32</v>
      </c>
      <c r="E2596" s="17" t="s">
        <v>20</v>
      </c>
      <c r="F2596" s="16" t="s">
        <v>8146</v>
      </c>
    </row>
    <row r="2597" spans="1:6" x14ac:dyDescent="0.25">
      <c r="A2597" s="16" t="s">
        <v>8147</v>
      </c>
      <c r="B2597" s="17" t="s">
        <v>8148</v>
      </c>
      <c r="C2597" s="17" t="s">
        <v>11</v>
      </c>
      <c r="D2597" s="17" t="s">
        <v>89</v>
      </c>
      <c r="E2597" s="17" t="s">
        <v>20</v>
      </c>
      <c r="F2597" s="16" t="s">
        <v>8149</v>
      </c>
    </row>
    <row r="2598" spans="1:6" x14ac:dyDescent="0.25">
      <c r="A2598" s="16" t="s">
        <v>8150</v>
      </c>
      <c r="B2598" s="17" t="s">
        <v>8151</v>
      </c>
      <c r="C2598" s="17" t="s">
        <v>11</v>
      </c>
      <c r="D2598" s="17" t="s">
        <v>26</v>
      </c>
      <c r="E2598" s="17" t="s">
        <v>20</v>
      </c>
      <c r="F2598" s="16" t="s">
        <v>8152</v>
      </c>
    </row>
    <row r="2599" spans="1:6" x14ac:dyDescent="0.25">
      <c r="A2599" s="16" t="s">
        <v>8153</v>
      </c>
      <c r="B2599" s="17" t="s">
        <v>8154</v>
      </c>
      <c r="C2599" s="17" t="s">
        <v>11</v>
      </c>
      <c r="D2599" s="17" t="s">
        <v>12</v>
      </c>
      <c r="E2599" s="17" t="s">
        <v>13</v>
      </c>
      <c r="F2599" s="16" t="s">
        <v>8155</v>
      </c>
    </row>
    <row r="2600" spans="1:6" x14ac:dyDescent="0.25">
      <c r="A2600" s="16" t="s">
        <v>8156</v>
      </c>
      <c r="B2600" s="17" t="s">
        <v>8157</v>
      </c>
      <c r="C2600" s="17" t="s">
        <v>11</v>
      </c>
      <c r="D2600" s="17" t="s">
        <v>26</v>
      </c>
      <c r="E2600" s="17" t="s">
        <v>20</v>
      </c>
      <c r="F2600" s="16" t="s">
        <v>8158</v>
      </c>
    </row>
    <row r="2601" spans="1:6" x14ac:dyDescent="0.25">
      <c r="A2601" s="16" t="s">
        <v>8159</v>
      </c>
      <c r="B2601" s="17" t="s">
        <v>8160</v>
      </c>
      <c r="C2601" s="17" t="s">
        <v>11</v>
      </c>
      <c r="D2601" s="17" t="s">
        <v>26</v>
      </c>
      <c r="E2601" s="17" t="s">
        <v>20</v>
      </c>
      <c r="F2601" s="16" t="s">
        <v>8161</v>
      </c>
    </row>
    <row r="2602" spans="1:6" x14ac:dyDescent="0.25">
      <c r="A2602" s="16" t="s">
        <v>8162</v>
      </c>
      <c r="B2602" s="17" t="s">
        <v>8163</v>
      </c>
      <c r="C2602" s="17" t="s">
        <v>11</v>
      </c>
      <c r="D2602" s="17" t="s">
        <v>32</v>
      </c>
      <c r="E2602" s="17" t="s">
        <v>20</v>
      </c>
      <c r="F2602" s="16" t="s">
        <v>8164</v>
      </c>
    </row>
    <row r="2603" spans="1:6" x14ac:dyDescent="0.25">
      <c r="A2603" s="16" t="s">
        <v>8165</v>
      </c>
      <c r="B2603" s="17" t="s">
        <v>8166</v>
      </c>
      <c r="C2603" s="17" t="s">
        <v>11</v>
      </c>
      <c r="D2603" s="17" t="s">
        <v>74</v>
      </c>
      <c r="E2603" s="17" t="s">
        <v>20</v>
      </c>
      <c r="F2603" s="16" t="s">
        <v>8167</v>
      </c>
    </row>
    <row r="2604" spans="1:6" x14ac:dyDescent="0.25">
      <c r="A2604" s="16" t="s">
        <v>8168</v>
      </c>
      <c r="B2604" s="17" t="s">
        <v>8169</v>
      </c>
      <c r="C2604" s="17" t="s">
        <v>11</v>
      </c>
      <c r="D2604" s="17" t="s">
        <v>32</v>
      </c>
      <c r="E2604" s="17" t="s">
        <v>20</v>
      </c>
      <c r="F2604" s="16" t="s">
        <v>8170</v>
      </c>
    </row>
    <row r="2605" spans="1:6" x14ac:dyDescent="0.25">
      <c r="A2605" s="16" t="s">
        <v>8171</v>
      </c>
      <c r="B2605" s="17" t="s">
        <v>8172</v>
      </c>
      <c r="C2605" s="17" t="s">
        <v>11</v>
      </c>
      <c r="D2605" s="17" t="s">
        <v>83</v>
      </c>
      <c r="E2605" s="17" t="s">
        <v>20</v>
      </c>
      <c r="F2605" s="16" t="s">
        <v>8173</v>
      </c>
    </row>
    <row r="2606" spans="1:6" x14ac:dyDescent="0.25">
      <c r="A2606" s="16" t="s">
        <v>8174</v>
      </c>
      <c r="B2606" s="17" t="s">
        <v>8175</v>
      </c>
      <c r="C2606" s="17" t="s">
        <v>11</v>
      </c>
      <c r="D2606" s="17" t="s">
        <v>83</v>
      </c>
      <c r="E2606" s="17" t="s">
        <v>20</v>
      </c>
      <c r="F2606" s="16" t="s">
        <v>8176</v>
      </c>
    </row>
    <row r="2607" spans="1:6" x14ac:dyDescent="0.25">
      <c r="A2607" s="16" t="s">
        <v>8177</v>
      </c>
      <c r="B2607" s="17" t="s">
        <v>8178</v>
      </c>
      <c r="C2607" s="17" t="s">
        <v>11</v>
      </c>
      <c r="D2607" s="17" t="s">
        <v>74</v>
      </c>
      <c r="E2607" s="17" t="s">
        <v>20</v>
      </c>
      <c r="F2607" s="16" t="s">
        <v>8179</v>
      </c>
    </row>
    <row r="2608" spans="1:6" x14ac:dyDescent="0.25">
      <c r="A2608" s="16" t="s">
        <v>8180</v>
      </c>
      <c r="B2608" s="17" t="s">
        <v>8181</v>
      </c>
      <c r="C2608" s="17" t="s">
        <v>11</v>
      </c>
      <c r="D2608" s="17" t="s">
        <v>12</v>
      </c>
      <c r="E2608" s="17" t="s">
        <v>13</v>
      </c>
      <c r="F2608" s="16" t="s">
        <v>8182</v>
      </c>
    </row>
    <row r="2609" spans="1:6" x14ac:dyDescent="0.25">
      <c r="A2609" s="16" t="s">
        <v>8183</v>
      </c>
      <c r="B2609" s="17" t="s">
        <v>8184</v>
      </c>
      <c r="C2609" s="17" t="s">
        <v>11</v>
      </c>
      <c r="D2609" s="17" t="s">
        <v>12</v>
      </c>
      <c r="E2609" s="17" t="s">
        <v>13</v>
      </c>
      <c r="F2609" s="16" t="s">
        <v>8185</v>
      </c>
    </row>
    <row r="2610" spans="1:6" x14ac:dyDescent="0.25">
      <c r="A2610" s="16" t="s">
        <v>8186</v>
      </c>
      <c r="B2610" s="17" t="s">
        <v>8187</v>
      </c>
      <c r="C2610" s="17" t="s">
        <v>11</v>
      </c>
      <c r="D2610" s="17" t="s">
        <v>32</v>
      </c>
      <c r="E2610" s="17" t="s">
        <v>20</v>
      </c>
      <c r="F2610" s="16" t="s">
        <v>8188</v>
      </c>
    </row>
    <row r="2611" spans="1:6" x14ac:dyDescent="0.25">
      <c r="A2611" s="16" t="s">
        <v>8189</v>
      </c>
      <c r="B2611" s="17" t="s">
        <v>8190</v>
      </c>
      <c r="C2611" s="17" t="s">
        <v>11</v>
      </c>
      <c r="D2611" s="17" t="s">
        <v>26</v>
      </c>
      <c r="E2611" s="17" t="s">
        <v>20</v>
      </c>
      <c r="F2611" s="16" t="s">
        <v>8191</v>
      </c>
    </row>
    <row r="2612" spans="1:6" x14ac:dyDescent="0.25">
      <c r="A2612" s="16" t="s">
        <v>8192</v>
      </c>
      <c r="B2612" s="17" t="s">
        <v>8193</v>
      </c>
      <c r="C2612" s="17" t="s">
        <v>11</v>
      </c>
      <c r="D2612" s="17" t="s">
        <v>570</v>
      </c>
      <c r="E2612" s="17" t="s">
        <v>20</v>
      </c>
      <c r="F2612" s="16" t="s">
        <v>8194</v>
      </c>
    </row>
    <row r="2613" spans="1:6" x14ac:dyDescent="0.25">
      <c r="A2613" s="16" t="s">
        <v>8195</v>
      </c>
      <c r="B2613" s="17" t="s">
        <v>8196</v>
      </c>
      <c r="C2613" s="17" t="s">
        <v>11</v>
      </c>
      <c r="D2613" s="17" t="s">
        <v>83</v>
      </c>
      <c r="E2613" s="17" t="s">
        <v>20</v>
      </c>
      <c r="F2613" s="16" t="s">
        <v>8197</v>
      </c>
    </row>
    <row r="2614" spans="1:6" x14ac:dyDescent="0.25">
      <c r="A2614" s="16" t="s">
        <v>8198</v>
      </c>
      <c r="B2614" s="17" t="s">
        <v>8199</v>
      </c>
      <c r="C2614" s="17" t="s">
        <v>11</v>
      </c>
      <c r="D2614" s="17" t="s">
        <v>570</v>
      </c>
      <c r="E2614" s="17" t="s">
        <v>20</v>
      </c>
      <c r="F2614" s="16" t="s">
        <v>8200</v>
      </c>
    </row>
    <row r="2615" spans="1:6" x14ac:dyDescent="0.25">
      <c r="A2615" s="16" t="s">
        <v>8201</v>
      </c>
      <c r="B2615" s="17" t="s">
        <v>8202</v>
      </c>
      <c r="C2615" s="17" t="s">
        <v>11</v>
      </c>
      <c r="D2615" s="17" t="s">
        <v>32</v>
      </c>
      <c r="E2615" s="17" t="s">
        <v>20</v>
      </c>
      <c r="F2615" s="16" t="s">
        <v>8203</v>
      </c>
    </row>
    <row r="2616" spans="1:6" x14ac:dyDescent="0.25">
      <c r="A2616" s="16" t="s">
        <v>8204</v>
      </c>
      <c r="B2616" s="17" t="s">
        <v>8205</v>
      </c>
      <c r="C2616" s="17" t="s">
        <v>214</v>
      </c>
      <c r="D2616" s="17" t="s">
        <v>148</v>
      </c>
      <c r="E2616" s="17" t="s">
        <v>20</v>
      </c>
      <c r="F2616" s="16" t="s">
        <v>8206</v>
      </c>
    </row>
    <row r="2617" spans="1:6" x14ac:dyDescent="0.25">
      <c r="A2617" s="16" t="s">
        <v>8207</v>
      </c>
      <c r="B2617" s="17" t="s">
        <v>8208</v>
      </c>
      <c r="C2617" s="17" t="s">
        <v>11</v>
      </c>
      <c r="D2617" s="17" t="s">
        <v>32</v>
      </c>
      <c r="E2617" s="17" t="s">
        <v>20</v>
      </c>
      <c r="F2617" s="16" t="s">
        <v>8209</v>
      </c>
    </row>
    <row r="2618" spans="1:6" x14ac:dyDescent="0.25">
      <c r="A2618" s="16" t="s">
        <v>8210</v>
      </c>
      <c r="B2618" s="17" t="s">
        <v>8211</v>
      </c>
      <c r="C2618" s="17" t="s">
        <v>11</v>
      </c>
      <c r="D2618" s="17" t="s">
        <v>32</v>
      </c>
      <c r="E2618" s="17" t="s">
        <v>20</v>
      </c>
      <c r="F2618" s="16" t="s">
        <v>8212</v>
      </c>
    </row>
    <row r="2619" spans="1:6" x14ac:dyDescent="0.25">
      <c r="A2619" s="16" t="s">
        <v>8213</v>
      </c>
      <c r="B2619" s="17" t="s">
        <v>8214</v>
      </c>
      <c r="C2619" s="17" t="s">
        <v>11</v>
      </c>
      <c r="D2619" s="17" t="s">
        <v>83</v>
      </c>
      <c r="E2619" s="17" t="s">
        <v>20</v>
      </c>
      <c r="F2619" s="16" t="s">
        <v>8215</v>
      </c>
    </row>
    <row r="2620" spans="1:6" x14ac:dyDescent="0.25">
      <c r="A2620" s="16" t="s">
        <v>8216</v>
      </c>
      <c r="B2620" s="17" t="s">
        <v>8217</v>
      </c>
      <c r="C2620" s="17" t="s">
        <v>11</v>
      </c>
      <c r="D2620" s="17" t="s">
        <v>80</v>
      </c>
      <c r="E2620" s="17" t="s">
        <v>20</v>
      </c>
      <c r="F2620" s="16" t="s">
        <v>8218</v>
      </c>
    </row>
    <row r="2621" spans="1:6" x14ac:dyDescent="0.25">
      <c r="A2621" s="16" t="s">
        <v>8219</v>
      </c>
      <c r="B2621" s="17" t="s">
        <v>8220</v>
      </c>
      <c r="C2621" s="17" t="s">
        <v>11</v>
      </c>
      <c r="D2621" s="17" t="s">
        <v>186</v>
      </c>
      <c r="E2621" s="17" t="s">
        <v>20</v>
      </c>
      <c r="F2621" s="16" t="s">
        <v>8221</v>
      </c>
    </row>
    <row r="2622" spans="1:6" x14ac:dyDescent="0.25">
      <c r="A2622" s="16" t="s">
        <v>8222</v>
      </c>
      <c r="B2622" s="17" t="s">
        <v>8223</v>
      </c>
      <c r="C2622" s="17" t="s">
        <v>11</v>
      </c>
      <c r="D2622" s="17" t="s">
        <v>83</v>
      </c>
      <c r="E2622" s="17" t="s">
        <v>20</v>
      </c>
      <c r="F2622" s="16" t="s">
        <v>8224</v>
      </c>
    </row>
    <row r="2623" spans="1:6" x14ac:dyDescent="0.25">
      <c r="A2623" s="16" t="s">
        <v>8225</v>
      </c>
      <c r="B2623" s="17" t="s">
        <v>8226</v>
      </c>
      <c r="C2623" s="17" t="s">
        <v>11</v>
      </c>
      <c r="D2623" s="17" t="s">
        <v>74</v>
      </c>
      <c r="E2623" s="17" t="s">
        <v>20</v>
      </c>
      <c r="F2623" s="16" t="s">
        <v>8227</v>
      </c>
    </row>
    <row r="2624" spans="1:6" x14ac:dyDescent="0.25">
      <c r="A2624" s="16" t="s">
        <v>8228</v>
      </c>
      <c r="B2624" s="17" t="s">
        <v>8229</v>
      </c>
      <c r="C2624" s="17" t="s">
        <v>11</v>
      </c>
      <c r="D2624" s="17" t="s">
        <v>1318</v>
      </c>
      <c r="E2624" s="17" t="s">
        <v>20</v>
      </c>
      <c r="F2624" s="16" t="s">
        <v>8230</v>
      </c>
    </row>
    <row r="2625" spans="1:6" x14ac:dyDescent="0.25">
      <c r="A2625" s="16" t="s">
        <v>8231</v>
      </c>
      <c r="B2625" s="17" t="s">
        <v>8232</v>
      </c>
      <c r="C2625" s="17" t="s">
        <v>11</v>
      </c>
      <c r="D2625" s="17" t="s">
        <v>19</v>
      </c>
      <c r="E2625" s="17" t="s">
        <v>20</v>
      </c>
      <c r="F2625" s="16" t="s">
        <v>8233</v>
      </c>
    </row>
    <row r="2626" spans="1:6" x14ac:dyDescent="0.25">
      <c r="A2626" s="16" t="s">
        <v>8234</v>
      </c>
      <c r="B2626" s="17" t="s">
        <v>8235</v>
      </c>
      <c r="C2626" s="17" t="s">
        <v>11</v>
      </c>
      <c r="D2626" s="17" t="s">
        <v>32</v>
      </c>
      <c r="E2626" s="17" t="s">
        <v>20</v>
      </c>
      <c r="F2626" s="16" t="s">
        <v>8236</v>
      </c>
    </row>
    <row r="2627" spans="1:6" x14ac:dyDescent="0.25">
      <c r="A2627" s="16" t="s">
        <v>8237</v>
      </c>
      <c r="B2627" s="17" t="s">
        <v>8238</v>
      </c>
      <c r="C2627" s="17" t="s">
        <v>11</v>
      </c>
      <c r="D2627" s="17" t="s">
        <v>83</v>
      </c>
      <c r="E2627" s="17" t="s">
        <v>20</v>
      </c>
      <c r="F2627" s="16" t="s">
        <v>8239</v>
      </c>
    </row>
    <row r="2628" spans="1:6" x14ac:dyDescent="0.25">
      <c r="A2628" s="16" t="s">
        <v>8240</v>
      </c>
      <c r="B2628" s="17" t="s">
        <v>8241</v>
      </c>
      <c r="C2628" s="17" t="s">
        <v>11</v>
      </c>
      <c r="D2628" s="17" t="s">
        <v>80</v>
      </c>
      <c r="E2628" s="17" t="s">
        <v>20</v>
      </c>
      <c r="F2628" s="16" t="s">
        <v>8242</v>
      </c>
    </row>
    <row r="2629" spans="1:6" x14ac:dyDescent="0.25">
      <c r="A2629" s="16" t="s">
        <v>8243</v>
      </c>
      <c r="B2629" s="17" t="s">
        <v>8244</v>
      </c>
      <c r="C2629" s="17" t="s">
        <v>11</v>
      </c>
      <c r="D2629" s="17" t="s">
        <v>83</v>
      </c>
      <c r="E2629" s="17" t="s">
        <v>20</v>
      </c>
      <c r="F2629" s="16" t="s">
        <v>8245</v>
      </c>
    </row>
    <row r="2630" spans="1:6" x14ac:dyDescent="0.25">
      <c r="A2630" s="16" t="s">
        <v>8246</v>
      </c>
      <c r="B2630" s="17" t="s">
        <v>8247</v>
      </c>
      <c r="C2630" s="17" t="s">
        <v>11</v>
      </c>
      <c r="D2630" s="17" t="s">
        <v>182</v>
      </c>
      <c r="E2630" s="17" t="s">
        <v>20</v>
      </c>
      <c r="F2630" s="16" t="s">
        <v>8248</v>
      </c>
    </row>
    <row r="2631" spans="1:6" x14ac:dyDescent="0.25">
      <c r="A2631" s="16" t="s">
        <v>8249</v>
      </c>
      <c r="B2631" s="17" t="s">
        <v>8250</v>
      </c>
      <c r="C2631" s="17" t="s">
        <v>11</v>
      </c>
      <c r="D2631" s="17" t="s">
        <v>32</v>
      </c>
      <c r="E2631" s="17" t="s">
        <v>20</v>
      </c>
      <c r="F2631" s="16" t="s">
        <v>8251</v>
      </c>
    </row>
    <row r="2632" spans="1:6" x14ac:dyDescent="0.25">
      <c r="A2632" s="16" t="s">
        <v>8252</v>
      </c>
      <c r="B2632" s="17" t="s">
        <v>8253</v>
      </c>
      <c r="C2632" s="17" t="s">
        <v>11</v>
      </c>
      <c r="D2632" s="17" t="s">
        <v>83</v>
      </c>
      <c r="E2632" s="17" t="s">
        <v>20</v>
      </c>
      <c r="F2632" s="16" t="s">
        <v>8254</v>
      </c>
    </row>
    <row r="2633" spans="1:6" x14ac:dyDescent="0.25">
      <c r="A2633" s="16" t="s">
        <v>8255</v>
      </c>
      <c r="B2633" s="17" t="s">
        <v>8256</v>
      </c>
      <c r="C2633" s="17" t="s">
        <v>11</v>
      </c>
      <c r="D2633" s="17" t="s">
        <v>32</v>
      </c>
      <c r="E2633" s="17" t="s">
        <v>20</v>
      </c>
      <c r="F2633" s="16" t="s">
        <v>8257</v>
      </c>
    </row>
    <row r="2634" spans="1:6" x14ac:dyDescent="0.25">
      <c r="A2634" s="16" t="s">
        <v>8258</v>
      </c>
      <c r="B2634" s="17" t="s">
        <v>8259</v>
      </c>
      <c r="C2634" s="17" t="s">
        <v>11</v>
      </c>
      <c r="D2634" s="17" t="s">
        <v>233</v>
      </c>
      <c r="E2634" s="17" t="s">
        <v>20</v>
      </c>
      <c r="F2634" s="16" t="s">
        <v>8260</v>
      </c>
    </row>
    <row r="2635" spans="1:6" x14ac:dyDescent="0.25">
      <c r="A2635" s="16" t="s">
        <v>8261</v>
      </c>
      <c r="B2635" s="17" t="s">
        <v>8262</v>
      </c>
      <c r="C2635" s="17" t="s">
        <v>11</v>
      </c>
      <c r="D2635" s="17" t="s">
        <v>148</v>
      </c>
      <c r="E2635" s="17" t="s">
        <v>20</v>
      </c>
      <c r="F2635" s="16" t="s">
        <v>8263</v>
      </c>
    </row>
    <row r="2636" spans="1:6" x14ac:dyDescent="0.25">
      <c r="A2636" s="16" t="s">
        <v>8264</v>
      </c>
      <c r="B2636" s="17" t="s">
        <v>8265</v>
      </c>
      <c r="C2636" s="17" t="s">
        <v>11</v>
      </c>
      <c r="D2636" s="17" t="s">
        <v>83</v>
      </c>
      <c r="E2636" s="17" t="s">
        <v>20</v>
      </c>
      <c r="F2636" s="16" t="s">
        <v>8266</v>
      </c>
    </row>
    <row r="2637" spans="1:6" x14ac:dyDescent="0.25">
      <c r="A2637" s="16" t="s">
        <v>8267</v>
      </c>
      <c r="B2637" s="17" t="s">
        <v>8268</v>
      </c>
      <c r="C2637" s="17" t="s">
        <v>11</v>
      </c>
      <c r="D2637" s="17" t="s">
        <v>32</v>
      </c>
      <c r="E2637" s="17" t="s">
        <v>20</v>
      </c>
      <c r="F2637" s="16" t="s">
        <v>8269</v>
      </c>
    </row>
    <row r="2638" spans="1:6" x14ac:dyDescent="0.25">
      <c r="A2638" s="16" t="s">
        <v>8270</v>
      </c>
      <c r="B2638" s="17" t="s">
        <v>8271</v>
      </c>
      <c r="C2638" s="17" t="s">
        <v>11</v>
      </c>
      <c r="D2638" s="17" t="s">
        <v>233</v>
      </c>
      <c r="E2638" s="17" t="s">
        <v>20</v>
      </c>
      <c r="F2638" s="16" t="s">
        <v>8272</v>
      </c>
    </row>
    <row r="2639" spans="1:6" x14ac:dyDescent="0.25">
      <c r="A2639" s="16" t="s">
        <v>8273</v>
      </c>
      <c r="B2639" s="17" t="s">
        <v>8274</v>
      </c>
      <c r="C2639" s="17" t="s">
        <v>11</v>
      </c>
      <c r="D2639" s="17" t="s">
        <v>26</v>
      </c>
      <c r="E2639" s="17" t="s">
        <v>20</v>
      </c>
      <c r="F2639" s="16" t="s">
        <v>8275</v>
      </c>
    </row>
    <row r="2640" spans="1:6" x14ac:dyDescent="0.25">
      <c r="A2640" s="16" t="s">
        <v>8276</v>
      </c>
      <c r="B2640" s="17" t="s">
        <v>8277</v>
      </c>
      <c r="C2640" s="17" t="s">
        <v>11</v>
      </c>
      <c r="D2640" s="17" t="s">
        <v>3346</v>
      </c>
      <c r="E2640" s="17" t="s">
        <v>20</v>
      </c>
      <c r="F2640" s="16" t="s">
        <v>8278</v>
      </c>
    </row>
    <row r="2641" spans="1:6" x14ac:dyDescent="0.25">
      <c r="A2641" s="16" t="s">
        <v>8279</v>
      </c>
      <c r="B2641" s="17" t="s">
        <v>8280</v>
      </c>
      <c r="C2641" s="17" t="s">
        <v>11</v>
      </c>
      <c r="D2641" s="17" t="s">
        <v>32</v>
      </c>
      <c r="E2641" s="17" t="s">
        <v>20</v>
      </c>
      <c r="F2641" s="16" t="s">
        <v>8281</v>
      </c>
    </row>
    <row r="2642" spans="1:6" x14ac:dyDescent="0.25">
      <c r="A2642" s="16" t="s">
        <v>8282</v>
      </c>
      <c r="B2642" s="17" t="s">
        <v>8283</v>
      </c>
      <c r="C2642" s="17" t="s">
        <v>11</v>
      </c>
      <c r="D2642" s="17" t="s">
        <v>32</v>
      </c>
      <c r="E2642" s="17" t="s">
        <v>20</v>
      </c>
      <c r="F2642" s="16" t="s">
        <v>8284</v>
      </c>
    </row>
    <row r="2643" spans="1:6" x14ac:dyDescent="0.25">
      <c r="A2643" s="16" t="s">
        <v>8285</v>
      </c>
      <c r="B2643" s="17" t="s">
        <v>8286</v>
      </c>
      <c r="C2643" s="17" t="s">
        <v>11</v>
      </c>
      <c r="D2643" s="17" t="s">
        <v>32</v>
      </c>
      <c r="E2643" s="17" t="s">
        <v>20</v>
      </c>
      <c r="F2643" s="16" t="s">
        <v>8287</v>
      </c>
    </row>
    <row r="2644" spans="1:6" x14ac:dyDescent="0.25">
      <c r="A2644" s="16" t="s">
        <v>8288</v>
      </c>
      <c r="B2644" s="17" t="s">
        <v>8289</v>
      </c>
      <c r="C2644" s="17" t="s">
        <v>11</v>
      </c>
      <c r="D2644" s="17" t="s">
        <v>32</v>
      </c>
      <c r="E2644" s="17" t="s">
        <v>20</v>
      </c>
      <c r="F2644" s="16" t="s">
        <v>8290</v>
      </c>
    </row>
    <row r="2645" spans="1:6" x14ac:dyDescent="0.25">
      <c r="A2645" s="16" t="s">
        <v>8291</v>
      </c>
      <c r="B2645" s="17" t="s">
        <v>8292</v>
      </c>
      <c r="C2645" s="17" t="s">
        <v>11</v>
      </c>
      <c r="D2645" s="17" t="s">
        <v>80</v>
      </c>
      <c r="E2645" s="17" t="s">
        <v>20</v>
      </c>
      <c r="F2645" s="16" t="s">
        <v>8293</v>
      </c>
    </row>
    <row r="2646" spans="1:6" x14ac:dyDescent="0.25">
      <c r="A2646" s="16" t="s">
        <v>8294</v>
      </c>
      <c r="B2646" s="17" t="s">
        <v>8295</v>
      </c>
      <c r="C2646" s="17" t="s">
        <v>11</v>
      </c>
      <c r="D2646" s="17" t="s">
        <v>182</v>
      </c>
      <c r="E2646" s="17" t="s">
        <v>20</v>
      </c>
      <c r="F2646" s="16" t="s">
        <v>8296</v>
      </c>
    </row>
    <row r="2647" spans="1:6" x14ac:dyDescent="0.25">
      <c r="A2647" s="16" t="s">
        <v>8297</v>
      </c>
      <c r="B2647" s="17" t="s">
        <v>8298</v>
      </c>
      <c r="C2647" s="17" t="s">
        <v>11</v>
      </c>
      <c r="D2647" s="17" t="s">
        <v>182</v>
      </c>
      <c r="E2647" s="17" t="s">
        <v>20</v>
      </c>
      <c r="F2647" s="16" t="s">
        <v>8299</v>
      </c>
    </row>
    <row r="2648" spans="1:6" x14ac:dyDescent="0.25">
      <c r="A2648" s="16" t="s">
        <v>8300</v>
      </c>
      <c r="B2648" s="17" t="s">
        <v>8301</v>
      </c>
      <c r="C2648" s="17" t="s">
        <v>11</v>
      </c>
      <c r="D2648" s="17" t="s">
        <v>80</v>
      </c>
      <c r="E2648" s="17" t="s">
        <v>20</v>
      </c>
      <c r="F2648" s="16" t="s">
        <v>8302</v>
      </c>
    </row>
    <row r="2649" spans="1:6" x14ac:dyDescent="0.25">
      <c r="A2649" s="16" t="s">
        <v>8303</v>
      </c>
      <c r="B2649" s="17" t="s">
        <v>8304</v>
      </c>
      <c r="C2649" s="17" t="s">
        <v>11</v>
      </c>
      <c r="D2649" s="17" t="s">
        <v>32</v>
      </c>
      <c r="E2649" s="17" t="s">
        <v>20</v>
      </c>
      <c r="F2649" s="16" t="s">
        <v>8305</v>
      </c>
    </row>
    <row r="2650" spans="1:6" x14ac:dyDescent="0.25">
      <c r="A2650" s="16" t="s">
        <v>8306</v>
      </c>
      <c r="B2650" s="17" t="s">
        <v>8307</v>
      </c>
      <c r="C2650" s="17" t="s">
        <v>11</v>
      </c>
      <c r="D2650" s="17" t="s">
        <v>544</v>
      </c>
      <c r="E2650" s="17" t="s">
        <v>20</v>
      </c>
      <c r="F2650" s="16" t="s">
        <v>8308</v>
      </c>
    </row>
    <row r="2651" spans="1:6" x14ac:dyDescent="0.25">
      <c r="A2651" s="16" t="s">
        <v>8309</v>
      </c>
      <c r="B2651" s="17" t="s">
        <v>8310</v>
      </c>
      <c r="C2651" s="17" t="s">
        <v>11</v>
      </c>
      <c r="D2651" s="17" t="s">
        <v>186</v>
      </c>
      <c r="E2651" s="17" t="s">
        <v>20</v>
      </c>
      <c r="F2651" s="16" t="s">
        <v>8311</v>
      </c>
    </row>
    <row r="2652" spans="1:6" x14ac:dyDescent="0.25">
      <c r="A2652" s="16" t="s">
        <v>8312</v>
      </c>
      <c r="B2652" s="17" t="s">
        <v>8313</v>
      </c>
      <c r="C2652" s="17" t="s">
        <v>11</v>
      </c>
      <c r="D2652" s="17" t="s">
        <v>570</v>
      </c>
      <c r="E2652" s="17" t="s">
        <v>20</v>
      </c>
      <c r="F2652" s="16" t="s">
        <v>8314</v>
      </c>
    </row>
    <row r="2653" spans="1:6" x14ac:dyDescent="0.25">
      <c r="A2653" s="16" t="s">
        <v>8315</v>
      </c>
      <c r="B2653" s="17" t="s">
        <v>8316</v>
      </c>
      <c r="C2653" s="17" t="s">
        <v>11</v>
      </c>
      <c r="D2653" s="17" t="s">
        <v>186</v>
      </c>
      <c r="E2653" s="17" t="s">
        <v>20</v>
      </c>
      <c r="F2653" s="16" t="s">
        <v>8317</v>
      </c>
    </row>
    <row r="2654" spans="1:6" x14ac:dyDescent="0.25">
      <c r="A2654" s="16" t="s">
        <v>8318</v>
      </c>
      <c r="B2654" s="17" t="s">
        <v>8319</v>
      </c>
      <c r="C2654" s="17" t="s">
        <v>11</v>
      </c>
      <c r="D2654" s="17" t="s">
        <v>83</v>
      </c>
      <c r="E2654" s="17" t="s">
        <v>20</v>
      </c>
      <c r="F2654" s="16" t="s">
        <v>8320</v>
      </c>
    </row>
    <row r="2655" spans="1:6" x14ac:dyDescent="0.25">
      <c r="A2655" s="16" t="s">
        <v>8321</v>
      </c>
      <c r="B2655" s="17" t="s">
        <v>8322</v>
      </c>
      <c r="C2655" s="17" t="s">
        <v>11</v>
      </c>
      <c r="D2655" s="17" t="s">
        <v>32</v>
      </c>
      <c r="E2655" s="17" t="s">
        <v>20</v>
      </c>
      <c r="F2655" s="16" t="s">
        <v>8323</v>
      </c>
    </row>
    <row r="2656" spans="1:6" x14ac:dyDescent="0.25">
      <c r="A2656" s="16" t="s">
        <v>8324</v>
      </c>
      <c r="B2656" s="17" t="s">
        <v>8325</v>
      </c>
      <c r="C2656" s="17" t="s">
        <v>11</v>
      </c>
      <c r="D2656" s="17" t="s">
        <v>32</v>
      </c>
      <c r="E2656" s="17" t="s">
        <v>20</v>
      </c>
      <c r="F2656" s="16" t="s">
        <v>8326</v>
      </c>
    </row>
    <row r="2657" spans="1:6" x14ac:dyDescent="0.25">
      <c r="A2657" s="16" t="s">
        <v>8327</v>
      </c>
      <c r="B2657" s="17" t="s">
        <v>8328</v>
      </c>
      <c r="C2657" s="17" t="s">
        <v>11</v>
      </c>
      <c r="D2657" s="17" t="s">
        <v>26</v>
      </c>
      <c r="E2657" s="17" t="s">
        <v>20</v>
      </c>
      <c r="F2657" s="16" t="s">
        <v>8329</v>
      </c>
    </row>
    <row r="2658" spans="1:6" x14ac:dyDescent="0.25">
      <c r="A2658" s="16" t="s">
        <v>8330</v>
      </c>
      <c r="B2658" s="17" t="s">
        <v>8331</v>
      </c>
      <c r="C2658" s="17" t="s">
        <v>11</v>
      </c>
      <c r="D2658" s="17" t="s">
        <v>291</v>
      </c>
      <c r="E2658" s="17" t="s">
        <v>20</v>
      </c>
      <c r="F2658" s="16" t="s">
        <v>8332</v>
      </c>
    </row>
    <row r="2659" spans="1:6" x14ac:dyDescent="0.25">
      <c r="A2659" s="16" t="s">
        <v>8333</v>
      </c>
      <c r="B2659" s="17" t="s">
        <v>8334</v>
      </c>
      <c r="C2659" s="17" t="s">
        <v>11</v>
      </c>
      <c r="D2659" s="17" t="s">
        <v>74</v>
      </c>
      <c r="E2659" s="17" t="s">
        <v>20</v>
      </c>
      <c r="F2659" s="16" t="s">
        <v>8335</v>
      </c>
    </row>
    <row r="2660" spans="1:6" x14ac:dyDescent="0.25">
      <c r="A2660" s="16" t="s">
        <v>8336</v>
      </c>
      <c r="B2660" s="17" t="s">
        <v>8337</v>
      </c>
      <c r="C2660" s="17" t="s">
        <v>11</v>
      </c>
      <c r="D2660" s="17" t="s">
        <v>32</v>
      </c>
      <c r="E2660" s="17" t="s">
        <v>20</v>
      </c>
      <c r="F2660" s="16" t="s">
        <v>8338</v>
      </c>
    </row>
    <row r="2661" spans="1:6" x14ac:dyDescent="0.25">
      <c r="A2661" s="16" t="s">
        <v>8339</v>
      </c>
      <c r="B2661" s="17" t="s">
        <v>8340</v>
      </c>
      <c r="C2661" s="17" t="s">
        <v>11</v>
      </c>
      <c r="D2661" s="17" t="s">
        <v>32</v>
      </c>
      <c r="E2661" s="17" t="s">
        <v>20</v>
      </c>
      <c r="F2661" s="16" t="s">
        <v>8341</v>
      </c>
    </row>
    <row r="2662" spans="1:6" x14ac:dyDescent="0.25">
      <c r="A2662" s="16" t="s">
        <v>8342</v>
      </c>
      <c r="B2662" s="17" t="s">
        <v>8343</v>
      </c>
      <c r="C2662" s="17" t="s">
        <v>11</v>
      </c>
      <c r="D2662" s="17" t="s">
        <v>83</v>
      </c>
      <c r="E2662" s="17" t="s">
        <v>20</v>
      </c>
      <c r="F2662" s="16" t="s">
        <v>8344</v>
      </c>
    </row>
    <row r="2663" spans="1:6" x14ac:dyDescent="0.25">
      <c r="A2663" s="16" t="s">
        <v>8345</v>
      </c>
      <c r="B2663" s="17" t="s">
        <v>8346</v>
      </c>
      <c r="C2663" s="17" t="s">
        <v>11</v>
      </c>
      <c r="D2663" s="17" t="s">
        <v>83</v>
      </c>
      <c r="E2663" s="17" t="s">
        <v>20</v>
      </c>
      <c r="F2663" s="16" t="s">
        <v>8347</v>
      </c>
    </row>
    <row r="2664" spans="1:6" x14ac:dyDescent="0.25">
      <c r="A2664" s="16" t="s">
        <v>8348</v>
      </c>
      <c r="B2664" s="17" t="s">
        <v>8349</v>
      </c>
      <c r="C2664" s="17" t="s">
        <v>11</v>
      </c>
      <c r="D2664" s="17" t="s">
        <v>89</v>
      </c>
      <c r="E2664" s="17" t="s">
        <v>20</v>
      </c>
      <c r="F2664" s="16" t="s">
        <v>8350</v>
      </c>
    </row>
    <row r="2665" spans="1:6" x14ac:dyDescent="0.25">
      <c r="A2665" s="16" t="s">
        <v>8351</v>
      </c>
      <c r="B2665" s="17" t="s">
        <v>8352</v>
      </c>
      <c r="C2665" s="17" t="s">
        <v>11</v>
      </c>
      <c r="D2665" s="17" t="s">
        <v>80</v>
      </c>
      <c r="E2665" s="17" t="s">
        <v>20</v>
      </c>
      <c r="F2665" s="16" t="s">
        <v>8353</v>
      </c>
    </row>
    <row r="2666" spans="1:6" x14ac:dyDescent="0.25">
      <c r="A2666" s="16" t="s">
        <v>8354</v>
      </c>
      <c r="B2666" s="17" t="s">
        <v>8355</v>
      </c>
      <c r="C2666" s="17" t="s">
        <v>11</v>
      </c>
      <c r="D2666" s="17" t="s">
        <v>80</v>
      </c>
      <c r="E2666" s="17" t="s">
        <v>20</v>
      </c>
      <c r="F2666" s="16" t="s">
        <v>8356</v>
      </c>
    </row>
    <row r="2667" spans="1:6" x14ac:dyDescent="0.25">
      <c r="A2667" s="16" t="s">
        <v>8357</v>
      </c>
      <c r="B2667" s="17" t="s">
        <v>8358</v>
      </c>
      <c r="C2667" s="17" t="s">
        <v>11</v>
      </c>
      <c r="D2667" s="17" t="s">
        <v>32</v>
      </c>
      <c r="E2667" s="17" t="s">
        <v>20</v>
      </c>
      <c r="F2667" s="16" t="s">
        <v>8359</v>
      </c>
    </row>
    <row r="2668" spans="1:6" x14ac:dyDescent="0.25">
      <c r="A2668" s="16" t="s">
        <v>8360</v>
      </c>
      <c r="B2668" s="17" t="s">
        <v>8361</v>
      </c>
      <c r="C2668" s="17" t="s">
        <v>11</v>
      </c>
      <c r="D2668" s="17" t="s">
        <v>32</v>
      </c>
      <c r="E2668" s="17" t="s">
        <v>20</v>
      </c>
      <c r="F2668" s="16" t="s">
        <v>8362</v>
      </c>
    </row>
    <row r="2669" spans="1:6" x14ac:dyDescent="0.25">
      <c r="A2669" s="16" t="s">
        <v>8363</v>
      </c>
      <c r="B2669" s="17" t="s">
        <v>8364</v>
      </c>
      <c r="C2669" s="17" t="s">
        <v>11</v>
      </c>
      <c r="D2669" s="17" t="s">
        <v>12</v>
      </c>
      <c r="E2669" s="17" t="s">
        <v>13</v>
      </c>
      <c r="F2669" s="16" t="s">
        <v>8365</v>
      </c>
    </row>
    <row r="2670" spans="1:6" x14ac:dyDescent="0.25">
      <c r="A2670" s="16" t="s">
        <v>8366</v>
      </c>
      <c r="B2670" s="17" t="s">
        <v>8367</v>
      </c>
      <c r="C2670" s="17" t="s">
        <v>11</v>
      </c>
      <c r="D2670" s="17" t="s">
        <v>32</v>
      </c>
      <c r="E2670" s="17" t="s">
        <v>20</v>
      </c>
      <c r="F2670" s="16" t="s">
        <v>8368</v>
      </c>
    </row>
    <row r="2671" spans="1:6" x14ac:dyDescent="0.25">
      <c r="A2671" s="16" t="s">
        <v>8369</v>
      </c>
      <c r="B2671" s="17" t="s">
        <v>8370</v>
      </c>
      <c r="C2671" s="17" t="s">
        <v>11</v>
      </c>
      <c r="D2671" s="17" t="s">
        <v>32</v>
      </c>
      <c r="E2671" s="17" t="s">
        <v>20</v>
      </c>
      <c r="F2671" s="16" t="s">
        <v>8371</v>
      </c>
    </row>
    <row r="2672" spans="1:6" x14ac:dyDescent="0.25">
      <c r="A2672" s="16" t="s">
        <v>8372</v>
      </c>
      <c r="B2672" s="17" t="s">
        <v>8373</v>
      </c>
      <c r="C2672" s="17" t="s">
        <v>11</v>
      </c>
      <c r="D2672" s="17" t="s">
        <v>32</v>
      </c>
      <c r="E2672" s="17" t="s">
        <v>20</v>
      </c>
      <c r="F2672" s="16" t="s">
        <v>8374</v>
      </c>
    </row>
    <row r="2673" spans="1:6" x14ac:dyDescent="0.25">
      <c r="A2673" s="16" t="s">
        <v>8375</v>
      </c>
      <c r="B2673" s="17" t="s">
        <v>8376</v>
      </c>
      <c r="C2673" s="17" t="s">
        <v>11</v>
      </c>
      <c r="D2673" s="17" t="s">
        <v>32</v>
      </c>
      <c r="E2673" s="17" t="s">
        <v>20</v>
      </c>
      <c r="F2673" s="16" t="s">
        <v>8377</v>
      </c>
    </row>
    <row r="2674" spans="1:6" x14ac:dyDescent="0.25">
      <c r="A2674" s="16" t="s">
        <v>8378</v>
      </c>
      <c r="B2674" s="17" t="s">
        <v>8379</v>
      </c>
      <c r="C2674" s="17" t="s">
        <v>11</v>
      </c>
      <c r="D2674" s="17" t="s">
        <v>32</v>
      </c>
      <c r="E2674" s="17" t="s">
        <v>20</v>
      </c>
      <c r="F2674" s="16" t="s">
        <v>8380</v>
      </c>
    </row>
    <row r="2675" spans="1:6" x14ac:dyDescent="0.25">
      <c r="A2675" s="16" t="s">
        <v>8381</v>
      </c>
      <c r="B2675" s="17" t="s">
        <v>8382</v>
      </c>
      <c r="C2675" s="17" t="s">
        <v>11</v>
      </c>
      <c r="D2675" s="17" t="s">
        <v>80</v>
      </c>
      <c r="E2675" s="17" t="s">
        <v>20</v>
      </c>
      <c r="F2675" s="16" t="s">
        <v>8383</v>
      </c>
    </row>
    <row r="2676" spans="1:6" x14ac:dyDescent="0.25">
      <c r="A2676" s="16" t="s">
        <v>8384</v>
      </c>
      <c r="B2676" s="17" t="s">
        <v>8385</v>
      </c>
      <c r="C2676" s="17" t="s">
        <v>11</v>
      </c>
      <c r="D2676" s="17" t="s">
        <v>32</v>
      </c>
      <c r="E2676" s="17" t="s">
        <v>20</v>
      </c>
      <c r="F2676" s="16" t="s">
        <v>8386</v>
      </c>
    </row>
    <row r="2677" spans="1:6" x14ac:dyDescent="0.25">
      <c r="A2677" s="16" t="s">
        <v>8387</v>
      </c>
      <c r="B2677" s="17" t="s">
        <v>8388</v>
      </c>
      <c r="C2677" s="17" t="s">
        <v>11</v>
      </c>
      <c r="D2677" s="17" t="s">
        <v>74</v>
      </c>
      <c r="E2677" s="17" t="s">
        <v>20</v>
      </c>
      <c r="F2677" s="16" t="s">
        <v>8389</v>
      </c>
    </row>
    <row r="2678" spans="1:6" x14ac:dyDescent="0.25">
      <c r="A2678" s="16" t="s">
        <v>8390</v>
      </c>
      <c r="B2678" s="17" t="s">
        <v>8391</v>
      </c>
      <c r="C2678" s="17" t="s">
        <v>11</v>
      </c>
      <c r="D2678" s="17" t="s">
        <v>32</v>
      </c>
      <c r="E2678" s="17" t="s">
        <v>20</v>
      </c>
      <c r="F2678" s="16" t="s">
        <v>8392</v>
      </c>
    </row>
    <row r="2679" spans="1:6" x14ac:dyDescent="0.25">
      <c r="A2679" s="16" t="s">
        <v>8393</v>
      </c>
      <c r="B2679" s="17" t="s">
        <v>8394</v>
      </c>
      <c r="C2679" s="17" t="s">
        <v>11</v>
      </c>
      <c r="D2679" s="17" t="s">
        <v>544</v>
      </c>
      <c r="E2679" s="17" t="s">
        <v>20</v>
      </c>
      <c r="F2679" s="16" t="s">
        <v>8395</v>
      </c>
    </row>
    <row r="2680" spans="1:6" x14ac:dyDescent="0.25">
      <c r="A2680" s="16" t="s">
        <v>8396</v>
      </c>
      <c r="B2680" s="17" t="s">
        <v>8397</v>
      </c>
      <c r="C2680" s="17" t="s">
        <v>11</v>
      </c>
      <c r="D2680" s="17" t="s">
        <v>32</v>
      </c>
      <c r="E2680" s="17" t="s">
        <v>20</v>
      </c>
      <c r="F2680" s="16" t="s">
        <v>8398</v>
      </c>
    </row>
    <row r="2681" spans="1:6" x14ac:dyDescent="0.25">
      <c r="A2681" s="16" t="s">
        <v>8399</v>
      </c>
      <c r="B2681" s="17" t="s">
        <v>8400</v>
      </c>
      <c r="C2681" s="17" t="s">
        <v>11</v>
      </c>
      <c r="D2681" s="17" t="s">
        <v>32</v>
      </c>
      <c r="E2681" s="17" t="s">
        <v>20</v>
      </c>
      <c r="F2681" s="16" t="s">
        <v>8401</v>
      </c>
    </row>
    <row r="2682" spans="1:6" x14ac:dyDescent="0.25">
      <c r="A2682" s="16" t="s">
        <v>8402</v>
      </c>
      <c r="B2682" s="17" t="s">
        <v>8403</v>
      </c>
      <c r="C2682" s="17" t="s">
        <v>11</v>
      </c>
      <c r="D2682" s="17" t="s">
        <v>32</v>
      </c>
      <c r="E2682" s="17" t="s">
        <v>20</v>
      </c>
      <c r="F2682" s="16" t="s">
        <v>8404</v>
      </c>
    </row>
    <row r="2683" spans="1:6" x14ac:dyDescent="0.25">
      <c r="A2683" s="16" t="s">
        <v>8405</v>
      </c>
      <c r="B2683" s="17" t="s">
        <v>8406</v>
      </c>
      <c r="C2683" s="17" t="s">
        <v>11</v>
      </c>
      <c r="D2683" s="17" t="s">
        <v>32</v>
      </c>
      <c r="E2683" s="17" t="s">
        <v>20</v>
      </c>
      <c r="F2683" s="16" t="s">
        <v>8407</v>
      </c>
    </row>
    <row r="2684" spans="1:6" x14ac:dyDescent="0.25">
      <c r="A2684" s="16" t="s">
        <v>8408</v>
      </c>
      <c r="B2684" s="17" t="s">
        <v>8409</v>
      </c>
      <c r="C2684" s="17" t="s">
        <v>359</v>
      </c>
      <c r="D2684" s="17" t="s">
        <v>83</v>
      </c>
      <c r="E2684" s="17" t="s">
        <v>20</v>
      </c>
      <c r="F2684" s="16" t="s">
        <v>8410</v>
      </c>
    </row>
    <row r="2685" spans="1:6" x14ac:dyDescent="0.25">
      <c r="A2685" s="16" t="s">
        <v>8411</v>
      </c>
      <c r="B2685" s="17" t="s">
        <v>8412</v>
      </c>
      <c r="C2685" s="17" t="s">
        <v>11</v>
      </c>
      <c r="D2685" s="17" t="s">
        <v>74</v>
      </c>
      <c r="E2685" s="17" t="s">
        <v>20</v>
      </c>
      <c r="F2685" s="16" t="s">
        <v>8413</v>
      </c>
    </row>
    <row r="2686" spans="1:6" x14ac:dyDescent="0.25">
      <c r="A2686" s="16" t="s">
        <v>8414</v>
      </c>
      <c r="B2686" s="17" t="s">
        <v>8415</v>
      </c>
      <c r="C2686" s="17" t="s">
        <v>11</v>
      </c>
      <c r="D2686" s="17" t="s">
        <v>182</v>
      </c>
      <c r="E2686" s="17" t="s">
        <v>20</v>
      </c>
      <c r="F2686" s="16" t="s">
        <v>8416</v>
      </c>
    </row>
    <row r="2687" spans="1:6" x14ac:dyDescent="0.25">
      <c r="A2687" s="16" t="s">
        <v>8417</v>
      </c>
      <c r="B2687" s="17" t="s">
        <v>8418</v>
      </c>
      <c r="C2687" s="17" t="s">
        <v>11</v>
      </c>
      <c r="D2687" s="17" t="s">
        <v>19</v>
      </c>
      <c r="E2687" s="17" t="s">
        <v>20</v>
      </c>
      <c r="F2687" s="16" t="s">
        <v>8419</v>
      </c>
    </row>
    <row r="2688" spans="1:6" x14ac:dyDescent="0.25">
      <c r="A2688" s="16" t="s">
        <v>8420</v>
      </c>
      <c r="B2688" s="17" t="s">
        <v>8421</v>
      </c>
      <c r="C2688" s="17" t="s">
        <v>11</v>
      </c>
      <c r="D2688" s="17" t="s">
        <v>83</v>
      </c>
      <c r="E2688" s="17" t="s">
        <v>20</v>
      </c>
      <c r="F2688" s="16" t="s">
        <v>8422</v>
      </c>
    </row>
    <row r="2689" spans="1:6" x14ac:dyDescent="0.25">
      <c r="A2689" s="16" t="s">
        <v>8423</v>
      </c>
      <c r="B2689" s="17" t="s">
        <v>8424</v>
      </c>
      <c r="C2689" s="17" t="s">
        <v>11</v>
      </c>
      <c r="D2689" s="17" t="s">
        <v>148</v>
      </c>
      <c r="E2689" s="17" t="s">
        <v>20</v>
      </c>
      <c r="F2689" s="16" t="s">
        <v>8425</v>
      </c>
    </row>
    <row r="2690" spans="1:6" x14ac:dyDescent="0.25">
      <c r="A2690" s="16" t="s">
        <v>8426</v>
      </c>
      <c r="B2690" s="17" t="s">
        <v>8427</v>
      </c>
      <c r="C2690" s="17" t="s">
        <v>11</v>
      </c>
      <c r="D2690" s="17" t="s">
        <v>32</v>
      </c>
      <c r="E2690" s="17" t="s">
        <v>20</v>
      </c>
      <c r="F2690" s="16" t="s">
        <v>8428</v>
      </c>
    </row>
    <row r="2691" spans="1:6" x14ac:dyDescent="0.25">
      <c r="A2691" s="16" t="s">
        <v>8429</v>
      </c>
      <c r="B2691" s="17" t="s">
        <v>8430</v>
      </c>
      <c r="C2691" s="17" t="s">
        <v>11</v>
      </c>
      <c r="D2691" s="17" t="s">
        <v>32</v>
      </c>
      <c r="E2691" s="17" t="s">
        <v>20</v>
      </c>
      <c r="F2691" s="16" t="s">
        <v>8431</v>
      </c>
    </row>
    <row r="2692" spans="1:6" x14ac:dyDescent="0.25">
      <c r="A2692" s="16" t="s">
        <v>8432</v>
      </c>
      <c r="B2692" s="17" t="s">
        <v>8433</v>
      </c>
      <c r="C2692" s="17" t="s">
        <v>11</v>
      </c>
      <c r="D2692" s="17" t="s">
        <v>83</v>
      </c>
      <c r="E2692" s="17" t="s">
        <v>20</v>
      </c>
      <c r="F2692" s="16" t="s">
        <v>8434</v>
      </c>
    </row>
    <row r="2693" spans="1:6" x14ac:dyDescent="0.25">
      <c r="A2693" s="16" t="s">
        <v>8435</v>
      </c>
      <c r="B2693" s="17" t="s">
        <v>8436</v>
      </c>
      <c r="C2693" s="17" t="s">
        <v>11</v>
      </c>
      <c r="D2693" s="17" t="s">
        <v>291</v>
      </c>
      <c r="E2693" s="17" t="s">
        <v>20</v>
      </c>
      <c r="F2693" s="16" t="s">
        <v>8437</v>
      </c>
    </row>
    <row r="2694" spans="1:6" x14ac:dyDescent="0.25">
      <c r="A2694" s="16" t="s">
        <v>8438</v>
      </c>
      <c r="B2694" s="17" t="s">
        <v>8439</v>
      </c>
      <c r="C2694" s="17" t="s">
        <v>11</v>
      </c>
      <c r="D2694" s="17" t="s">
        <v>182</v>
      </c>
      <c r="E2694" s="17" t="s">
        <v>20</v>
      </c>
      <c r="F2694" s="16" t="s">
        <v>8440</v>
      </c>
    </row>
    <row r="2695" spans="1:6" x14ac:dyDescent="0.25">
      <c r="A2695" s="16" t="s">
        <v>8441</v>
      </c>
      <c r="B2695" s="17" t="s">
        <v>8442</v>
      </c>
      <c r="C2695" s="17" t="s">
        <v>11</v>
      </c>
      <c r="D2695" s="17" t="s">
        <v>74</v>
      </c>
      <c r="E2695" s="17" t="s">
        <v>20</v>
      </c>
      <c r="F2695" s="16" t="s">
        <v>8443</v>
      </c>
    </row>
    <row r="2696" spans="1:6" x14ac:dyDescent="0.25">
      <c r="A2696" s="16" t="s">
        <v>8444</v>
      </c>
      <c r="B2696" s="17" t="s">
        <v>8445</v>
      </c>
      <c r="C2696" s="17" t="s">
        <v>11</v>
      </c>
      <c r="D2696" s="17" t="s">
        <v>83</v>
      </c>
      <c r="E2696" s="17" t="s">
        <v>20</v>
      </c>
      <c r="F2696" s="16" t="s">
        <v>8446</v>
      </c>
    </row>
    <row r="2697" spans="1:6" x14ac:dyDescent="0.25">
      <c r="A2697" s="16" t="s">
        <v>8447</v>
      </c>
      <c r="B2697" s="17" t="s">
        <v>8448</v>
      </c>
      <c r="C2697" s="17" t="s">
        <v>11</v>
      </c>
      <c r="D2697" s="17" t="s">
        <v>32</v>
      </c>
      <c r="E2697" s="17" t="s">
        <v>20</v>
      </c>
      <c r="F2697" s="16" t="s">
        <v>8449</v>
      </c>
    </row>
    <row r="2698" spans="1:6" x14ac:dyDescent="0.25">
      <c r="A2698" s="16" t="s">
        <v>8450</v>
      </c>
      <c r="B2698" s="17" t="s">
        <v>8451</v>
      </c>
      <c r="C2698" s="17" t="s">
        <v>11</v>
      </c>
      <c r="D2698" s="17" t="s">
        <v>32</v>
      </c>
      <c r="E2698" s="17" t="s">
        <v>20</v>
      </c>
      <c r="F2698" s="16" t="s">
        <v>8452</v>
      </c>
    </row>
    <row r="2699" spans="1:6" x14ac:dyDescent="0.25">
      <c r="A2699" s="16" t="s">
        <v>8453</v>
      </c>
      <c r="B2699" s="17" t="s">
        <v>8454</v>
      </c>
      <c r="C2699" s="17" t="s">
        <v>11</v>
      </c>
      <c r="D2699" s="17" t="s">
        <v>32</v>
      </c>
      <c r="E2699" s="17" t="s">
        <v>20</v>
      </c>
      <c r="F2699" s="16" t="s">
        <v>8455</v>
      </c>
    </row>
    <row r="2700" spans="1:6" x14ac:dyDescent="0.25">
      <c r="A2700" s="16" t="s">
        <v>8456</v>
      </c>
      <c r="B2700" s="17" t="s">
        <v>8457</v>
      </c>
      <c r="C2700" s="17" t="s">
        <v>11</v>
      </c>
      <c r="D2700" s="17" t="s">
        <v>74</v>
      </c>
      <c r="E2700" s="17" t="s">
        <v>20</v>
      </c>
      <c r="F2700" s="16" t="s">
        <v>8458</v>
      </c>
    </row>
    <row r="2701" spans="1:6" x14ac:dyDescent="0.25">
      <c r="A2701" s="16" t="s">
        <v>8459</v>
      </c>
      <c r="B2701" s="17" t="s">
        <v>8460</v>
      </c>
      <c r="C2701" s="17" t="s">
        <v>11</v>
      </c>
      <c r="D2701" s="17" t="s">
        <v>12</v>
      </c>
      <c r="E2701" s="17" t="s">
        <v>13</v>
      </c>
      <c r="F2701" s="16" t="s">
        <v>8461</v>
      </c>
    </row>
    <row r="2702" spans="1:6" x14ac:dyDescent="0.25">
      <c r="A2702" s="16" t="s">
        <v>8462</v>
      </c>
      <c r="B2702" s="17" t="s">
        <v>8463</v>
      </c>
      <c r="C2702" s="17" t="s">
        <v>11</v>
      </c>
      <c r="D2702" s="17" t="s">
        <v>12</v>
      </c>
      <c r="E2702" s="17" t="s">
        <v>13</v>
      </c>
      <c r="F2702" s="16" t="s">
        <v>8464</v>
      </c>
    </row>
    <row r="2703" spans="1:6" x14ac:dyDescent="0.25">
      <c r="A2703" s="16" t="s">
        <v>8465</v>
      </c>
      <c r="B2703" s="17" t="s">
        <v>8466</v>
      </c>
      <c r="C2703" s="17" t="s">
        <v>11</v>
      </c>
      <c r="D2703" s="17" t="s">
        <v>12</v>
      </c>
      <c r="E2703" s="17" t="s">
        <v>13</v>
      </c>
      <c r="F2703" s="16" t="s">
        <v>8467</v>
      </c>
    </row>
    <row r="2704" spans="1:6" x14ac:dyDescent="0.25">
      <c r="A2704" s="16" t="s">
        <v>8468</v>
      </c>
      <c r="B2704" s="17" t="s">
        <v>8469</v>
      </c>
      <c r="C2704" s="17" t="s">
        <v>11</v>
      </c>
      <c r="D2704" s="17" t="s">
        <v>12</v>
      </c>
      <c r="E2704" s="17" t="s">
        <v>13</v>
      </c>
      <c r="F2704" s="16" t="s">
        <v>8470</v>
      </c>
    </row>
    <row r="2705" spans="1:6" x14ac:dyDescent="0.25">
      <c r="A2705" s="16" t="s">
        <v>8471</v>
      </c>
      <c r="B2705" s="17" t="s">
        <v>8472</v>
      </c>
      <c r="C2705" s="17" t="s">
        <v>11</v>
      </c>
      <c r="D2705" s="17" t="s">
        <v>649</v>
      </c>
      <c r="E2705" s="17" t="s">
        <v>20</v>
      </c>
      <c r="F2705" s="16" t="s">
        <v>8473</v>
      </c>
    </row>
    <row r="2706" spans="1:6" x14ac:dyDescent="0.25">
      <c r="A2706" s="16" t="s">
        <v>8474</v>
      </c>
      <c r="B2706" s="17" t="s">
        <v>8475</v>
      </c>
      <c r="C2706" s="17" t="s">
        <v>11</v>
      </c>
      <c r="D2706" s="17" t="s">
        <v>59</v>
      </c>
      <c r="E2706" s="17" t="s">
        <v>13</v>
      </c>
      <c r="F2706" s="16" t="s">
        <v>8476</v>
      </c>
    </row>
    <row r="2707" spans="1:6" x14ac:dyDescent="0.25">
      <c r="A2707" s="16" t="s">
        <v>8477</v>
      </c>
      <c r="B2707" s="17" t="s">
        <v>8478</v>
      </c>
      <c r="C2707" s="17" t="s">
        <v>11</v>
      </c>
      <c r="D2707" s="17" t="s">
        <v>12</v>
      </c>
      <c r="E2707" s="17" t="s">
        <v>13</v>
      </c>
      <c r="F2707" s="16" t="s">
        <v>8479</v>
      </c>
    </row>
    <row r="2708" spans="1:6" x14ac:dyDescent="0.25">
      <c r="A2708" s="16" t="s">
        <v>8480</v>
      </c>
      <c r="B2708" s="17" t="s">
        <v>8481</v>
      </c>
      <c r="C2708" s="17" t="s">
        <v>11</v>
      </c>
      <c r="D2708" s="17" t="s">
        <v>80</v>
      </c>
      <c r="E2708" s="17" t="s">
        <v>20</v>
      </c>
      <c r="F2708" s="16" t="s">
        <v>8482</v>
      </c>
    </row>
    <row r="2709" spans="1:6" x14ac:dyDescent="0.25">
      <c r="A2709" s="16" t="s">
        <v>8483</v>
      </c>
      <c r="B2709" s="17" t="s">
        <v>8484</v>
      </c>
      <c r="C2709" s="17" t="s">
        <v>11</v>
      </c>
      <c r="D2709" s="17" t="s">
        <v>12</v>
      </c>
      <c r="E2709" s="17" t="s">
        <v>13</v>
      </c>
      <c r="F2709" s="16" t="s">
        <v>8485</v>
      </c>
    </row>
    <row r="2710" spans="1:6" x14ac:dyDescent="0.25">
      <c r="A2710" s="16" t="s">
        <v>8486</v>
      </c>
      <c r="B2710" s="17" t="s">
        <v>8487</v>
      </c>
      <c r="C2710" s="17" t="s">
        <v>11</v>
      </c>
      <c r="D2710" s="17" t="s">
        <v>12</v>
      </c>
      <c r="E2710" s="17" t="s">
        <v>13</v>
      </c>
      <c r="F2710" s="16" t="s">
        <v>8488</v>
      </c>
    </row>
    <row r="2711" spans="1:6" x14ac:dyDescent="0.25">
      <c r="A2711" s="16" t="s">
        <v>8489</v>
      </c>
      <c r="B2711" s="17" t="s">
        <v>8490</v>
      </c>
      <c r="C2711" s="17" t="s">
        <v>11</v>
      </c>
      <c r="D2711" s="17" t="s">
        <v>83</v>
      </c>
      <c r="E2711" s="17" t="s">
        <v>20</v>
      </c>
      <c r="F2711" s="16" t="s">
        <v>8491</v>
      </c>
    </row>
    <row r="2712" spans="1:6" x14ac:dyDescent="0.25">
      <c r="A2712" s="16" t="s">
        <v>8492</v>
      </c>
      <c r="B2712" s="17" t="s">
        <v>8493</v>
      </c>
      <c r="C2712" s="17" t="s">
        <v>11</v>
      </c>
      <c r="D2712" s="17" t="s">
        <v>80</v>
      </c>
      <c r="E2712" s="17" t="s">
        <v>20</v>
      </c>
      <c r="F2712" s="16" t="s">
        <v>8494</v>
      </c>
    </row>
    <row r="2713" spans="1:6" x14ac:dyDescent="0.25">
      <c r="A2713" s="16" t="s">
        <v>8495</v>
      </c>
      <c r="B2713" s="17" t="s">
        <v>8496</v>
      </c>
      <c r="C2713" s="17" t="s">
        <v>11</v>
      </c>
      <c r="D2713" s="17" t="s">
        <v>12</v>
      </c>
      <c r="E2713" s="17" t="s">
        <v>13</v>
      </c>
      <c r="F2713" s="16" t="s">
        <v>8497</v>
      </c>
    </row>
    <row r="2714" spans="1:6" x14ac:dyDescent="0.25">
      <c r="A2714" s="16" t="s">
        <v>8498</v>
      </c>
      <c r="B2714" s="17" t="s">
        <v>8499</v>
      </c>
      <c r="C2714" s="17" t="s">
        <v>11</v>
      </c>
      <c r="D2714" s="17" t="s">
        <v>74</v>
      </c>
      <c r="E2714" s="17" t="s">
        <v>20</v>
      </c>
      <c r="F2714" s="16" t="s">
        <v>8500</v>
      </c>
    </row>
    <row r="2715" spans="1:6" x14ac:dyDescent="0.25">
      <c r="A2715" s="16" t="s">
        <v>8501</v>
      </c>
      <c r="B2715" s="17" t="s">
        <v>8502</v>
      </c>
      <c r="C2715" s="17" t="s">
        <v>11</v>
      </c>
      <c r="D2715" s="17" t="s">
        <v>12</v>
      </c>
      <c r="E2715" s="17" t="s">
        <v>13</v>
      </c>
      <c r="F2715" s="16" t="s">
        <v>8503</v>
      </c>
    </row>
    <row r="2716" spans="1:6" x14ac:dyDescent="0.25">
      <c r="A2716" s="16" t="s">
        <v>8504</v>
      </c>
      <c r="B2716" s="17" t="s">
        <v>8505</v>
      </c>
      <c r="C2716" s="17" t="s">
        <v>11</v>
      </c>
      <c r="D2716" s="17" t="s">
        <v>12</v>
      </c>
      <c r="E2716" s="17" t="s">
        <v>13</v>
      </c>
      <c r="F2716" s="16" t="s">
        <v>8506</v>
      </c>
    </row>
    <row r="2717" spans="1:6" x14ac:dyDescent="0.25">
      <c r="A2717" s="16" t="s">
        <v>8507</v>
      </c>
      <c r="B2717" s="17" t="s">
        <v>8508</v>
      </c>
      <c r="C2717" s="17" t="s">
        <v>11</v>
      </c>
      <c r="D2717" s="17" t="s">
        <v>12</v>
      </c>
      <c r="E2717" s="17" t="s">
        <v>13</v>
      </c>
      <c r="F2717" s="16" t="s">
        <v>8509</v>
      </c>
    </row>
    <row r="2718" spans="1:6" x14ac:dyDescent="0.25">
      <c r="A2718" s="16" t="s">
        <v>8510</v>
      </c>
      <c r="B2718" s="17" t="s">
        <v>8511</v>
      </c>
      <c r="C2718" s="17" t="s">
        <v>11</v>
      </c>
      <c r="D2718" s="17" t="s">
        <v>12</v>
      </c>
      <c r="E2718" s="17" t="s">
        <v>13</v>
      </c>
      <c r="F2718" s="16" t="s">
        <v>8512</v>
      </c>
    </row>
    <row r="2719" spans="1:6" x14ac:dyDescent="0.25">
      <c r="A2719" s="16" t="s">
        <v>8513</v>
      </c>
      <c r="B2719" s="17" t="s">
        <v>8514</v>
      </c>
      <c r="C2719" s="17" t="s">
        <v>11</v>
      </c>
      <c r="D2719" s="17" t="s">
        <v>32</v>
      </c>
      <c r="E2719" s="17" t="s">
        <v>20</v>
      </c>
      <c r="F2719" s="16" t="s">
        <v>8515</v>
      </c>
    </row>
    <row r="2720" spans="1:6" x14ac:dyDescent="0.25">
      <c r="A2720" s="16" t="s">
        <v>8516</v>
      </c>
      <c r="B2720" s="17" t="s">
        <v>8517</v>
      </c>
      <c r="C2720" s="17" t="s">
        <v>11</v>
      </c>
      <c r="D2720" s="17" t="s">
        <v>32</v>
      </c>
      <c r="E2720" s="17" t="s">
        <v>20</v>
      </c>
      <c r="F2720" s="16" t="s">
        <v>8518</v>
      </c>
    </row>
    <row r="2721" spans="1:6" x14ac:dyDescent="0.25">
      <c r="A2721" s="16" t="s">
        <v>8519</v>
      </c>
      <c r="B2721" s="17" t="s">
        <v>8520</v>
      </c>
      <c r="C2721" s="17" t="s">
        <v>11</v>
      </c>
      <c r="D2721" s="17" t="s">
        <v>649</v>
      </c>
      <c r="E2721" s="17" t="s">
        <v>20</v>
      </c>
      <c r="F2721" s="16" t="s">
        <v>8521</v>
      </c>
    </row>
    <row r="2722" spans="1:6" x14ac:dyDescent="0.25">
      <c r="A2722" s="16" t="s">
        <v>8522</v>
      </c>
      <c r="B2722" s="17" t="s">
        <v>8523</v>
      </c>
      <c r="C2722" s="17" t="s">
        <v>11</v>
      </c>
      <c r="D2722" s="17" t="s">
        <v>12</v>
      </c>
      <c r="E2722" s="17" t="s">
        <v>13</v>
      </c>
      <c r="F2722" s="16" t="s">
        <v>8524</v>
      </c>
    </row>
    <row r="2723" spans="1:6" x14ac:dyDescent="0.25">
      <c r="A2723" s="16" t="s">
        <v>8525</v>
      </c>
      <c r="B2723" s="17" t="s">
        <v>8526</v>
      </c>
      <c r="C2723" s="17" t="s">
        <v>11</v>
      </c>
      <c r="D2723" s="17" t="s">
        <v>83</v>
      </c>
      <c r="E2723" s="17" t="s">
        <v>20</v>
      </c>
      <c r="F2723" s="16" t="s">
        <v>8527</v>
      </c>
    </row>
    <row r="2724" spans="1:6" x14ac:dyDescent="0.25">
      <c r="A2724" s="16" t="s">
        <v>8528</v>
      </c>
      <c r="B2724" s="17" t="s">
        <v>8529</v>
      </c>
      <c r="C2724" s="17" t="s">
        <v>11</v>
      </c>
      <c r="D2724" s="17" t="s">
        <v>12</v>
      </c>
      <c r="E2724" s="17" t="s">
        <v>13</v>
      </c>
      <c r="F2724" s="16" t="s">
        <v>8530</v>
      </c>
    </row>
    <row r="2725" spans="1:6" x14ac:dyDescent="0.25">
      <c r="A2725" s="16" t="s">
        <v>8531</v>
      </c>
      <c r="B2725" s="17" t="s">
        <v>8532</v>
      </c>
      <c r="C2725" s="17" t="s">
        <v>11</v>
      </c>
      <c r="D2725" s="17" t="s">
        <v>12</v>
      </c>
      <c r="E2725" s="17" t="s">
        <v>13</v>
      </c>
      <c r="F2725" s="16" t="s">
        <v>8533</v>
      </c>
    </row>
    <row r="2726" spans="1:6" x14ac:dyDescent="0.25">
      <c r="A2726" s="16" t="s">
        <v>8534</v>
      </c>
      <c r="B2726" s="17" t="s">
        <v>8535</v>
      </c>
      <c r="C2726" s="17" t="s">
        <v>11</v>
      </c>
      <c r="D2726" s="17" t="s">
        <v>250</v>
      </c>
      <c r="E2726" s="17" t="s">
        <v>20</v>
      </c>
      <c r="F2726" s="16" t="s">
        <v>8536</v>
      </c>
    </row>
    <row r="2727" spans="1:6" x14ac:dyDescent="0.25">
      <c r="A2727" s="16" t="s">
        <v>8537</v>
      </c>
      <c r="B2727" s="17" t="s">
        <v>8538</v>
      </c>
      <c r="C2727" s="17" t="s">
        <v>11</v>
      </c>
      <c r="D2727" s="17" t="s">
        <v>74</v>
      </c>
      <c r="E2727" s="17" t="s">
        <v>20</v>
      </c>
      <c r="F2727" s="16" t="s">
        <v>8539</v>
      </c>
    </row>
    <row r="2728" spans="1:6" x14ac:dyDescent="0.25">
      <c r="A2728" s="16" t="s">
        <v>8540</v>
      </c>
      <c r="B2728" s="17" t="s">
        <v>8541</v>
      </c>
      <c r="C2728" s="17" t="s">
        <v>11</v>
      </c>
      <c r="D2728" s="17" t="s">
        <v>148</v>
      </c>
      <c r="E2728" s="17" t="s">
        <v>20</v>
      </c>
      <c r="F2728" s="16" t="s">
        <v>8542</v>
      </c>
    </row>
    <row r="2729" spans="1:6" x14ac:dyDescent="0.25">
      <c r="A2729" s="16" t="s">
        <v>8543</v>
      </c>
      <c r="B2729" s="17" t="s">
        <v>8544</v>
      </c>
      <c r="C2729" s="17" t="s">
        <v>11</v>
      </c>
      <c r="D2729" s="17" t="s">
        <v>171</v>
      </c>
      <c r="E2729" s="17" t="s">
        <v>13</v>
      </c>
      <c r="F2729" s="16" t="s">
        <v>8545</v>
      </c>
    </row>
    <row r="2730" spans="1:6" x14ac:dyDescent="0.25">
      <c r="A2730" s="16" t="s">
        <v>8546</v>
      </c>
      <c r="B2730" s="17" t="s">
        <v>8547</v>
      </c>
      <c r="C2730" s="17" t="s">
        <v>11</v>
      </c>
      <c r="D2730" s="17" t="s">
        <v>12</v>
      </c>
      <c r="E2730" s="17" t="s">
        <v>13</v>
      </c>
      <c r="F2730" s="16" t="s">
        <v>8548</v>
      </c>
    </row>
    <row r="2731" spans="1:6" x14ac:dyDescent="0.25">
      <c r="A2731" s="16" t="s">
        <v>8549</v>
      </c>
      <c r="B2731" s="17" t="s">
        <v>8550</v>
      </c>
      <c r="C2731" s="17" t="s">
        <v>11</v>
      </c>
      <c r="D2731" s="17" t="s">
        <v>83</v>
      </c>
      <c r="E2731" s="17" t="s">
        <v>20</v>
      </c>
      <c r="F2731" s="16" t="s">
        <v>8551</v>
      </c>
    </row>
    <row r="2732" spans="1:6" x14ac:dyDescent="0.25">
      <c r="A2732" s="16" t="s">
        <v>8552</v>
      </c>
      <c r="B2732" s="17" t="s">
        <v>8553</v>
      </c>
      <c r="C2732" s="17" t="s">
        <v>11</v>
      </c>
      <c r="D2732" s="17" t="s">
        <v>12</v>
      </c>
      <c r="E2732" s="17" t="s">
        <v>13</v>
      </c>
      <c r="F2732" s="16" t="s">
        <v>8554</v>
      </c>
    </row>
    <row r="2733" spans="1:6" x14ac:dyDescent="0.25">
      <c r="A2733" s="16" t="s">
        <v>8555</v>
      </c>
      <c r="B2733" s="17" t="s">
        <v>8556</v>
      </c>
      <c r="C2733" s="17" t="s">
        <v>11</v>
      </c>
      <c r="D2733" s="17" t="s">
        <v>12</v>
      </c>
      <c r="E2733" s="17" t="s">
        <v>13</v>
      </c>
      <c r="F2733" s="16" t="s">
        <v>8557</v>
      </c>
    </row>
    <row r="2734" spans="1:6" x14ac:dyDescent="0.25">
      <c r="A2734" s="16" t="s">
        <v>8558</v>
      </c>
      <c r="B2734" s="17" t="s">
        <v>8559</v>
      </c>
      <c r="C2734" s="17" t="s">
        <v>11</v>
      </c>
      <c r="D2734" s="17" t="s">
        <v>12</v>
      </c>
      <c r="E2734" s="17" t="s">
        <v>13</v>
      </c>
      <c r="F2734" s="16" t="s">
        <v>8560</v>
      </c>
    </row>
    <row r="2735" spans="1:6" x14ac:dyDescent="0.25">
      <c r="A2735" s="16" t="s">
        <v>8561</v>
      </c>
      <c r="B2735" s="17" t="s">
        <v>8562</v>
      </c>
      <c r="C2735" s="17" t="s">
        <v>11</v>
      </c>
      <c r="D2735" s="17" t="s">
        <v>74</v>
      </c>
      <c r="E2735" s="17" t="s">
        <v>20</v>
      </c>
      <c r="F2735" s="16" t="s">
        <v>8563</v>
      </c>
    </row>
    <row r="2736" spans="1:6" x14ac:dyDescent="0.25">
      <c r="A2736" s="16" t="s">
        <v>8564</v>
      </c>
      <c r="B2736" s="17" t="s">
        <v>8565</v>
      </c>
      <c r="C2736" s="17" t="s">
        <v>11</v>
      </c>
      <c r="D2736" s="17" t="s">
        <v>12</v>
      </c>
      <c r="E2736" s="17" t="s">
        <v>13</v>
      </c>
      <c r="F2736" s="16" t="s">
        <v>8566</v>
      </c>
    </row>
    <row r="2737" spans="1:6" x14ac:dyDescent="0.25">
      <c r="A2737" s="16" t="s">
        <v>8567</v>
      </c>
      <c r="B2737" s="17" t="s">
        <v>8568</v>
      </c>
      <c r="C2737" s="17" t="s">
        <v>11</v>
      </c>
      <c r="D2737" s="17" t="s">
        <v>649</v>
      </c>
      <c r="E2737" s="17" t="s">
        <v>20</v>
      </c>
      <c r="F2737" s="16" t="s">
        <v>8569</v>
      </c>
    </row>
    <row r="2738" spans="1:6" x14ac:dyDescent="0.25">
      <c r="A2738" s="16" t="s">
        <v>8570</v>
      </c>
      <c r="B2738" s="17" t="s">
        <v>8571</v>
      </c>
      <c r="C2738" s="17" t="s">
        <v>11</v>
      </c>
      <c r="D2738" s="17" t="s">
        <v>12</v>
      </c>
      <c r="E2738" s="17" t="s">
        <v>13</v>
      </c>
      <c r="F2738" s="16" t="s">
        <v>8572</v>
      </c>
    </row>
    <row r="2739" spans="1:6" x14ac:dyDescent="0.25">
      <c r="A2739" s="16" t="s">
        <v>8573</v>
      </c>
      <c r="B2739" s="17" t="s">
        <v>8574</v>
      </c>
      <c r="C2739" s="17" t="s">
        <v>11</v>
      </c>
      <c r="D2739" s="17" t="s">
        <v>12</v>
      </c>
      <c r="E2739" s="17" t="s">
        <v>13</v>
      </c>
      <c r="F2739" s="16" t="s">
        <v>8575</v>
      </c>
    </row>
    <row r="2740" spans="1:6" x14ac:dyDescent="0.25">
      <c r="A2740" s="16" t="s">
        <v>8576</v>
      </c>
      <c r="B2740" s="17" t="s">
        <v>8577</v>
      </c>
      <c r="C2740" s="17" t="s">
        <v>11</v>
      </c>
      <c r="D2740" s="17" t="s">
        <v>250</v>
      </c>
      <c r="E2740" s="17" t="s">
        <v>20</v>
      </c>
      <c r="F2740" s="16" t="s">
        <v>8578</v>
      </c>
    </row>
    <row r="2741" spans="1:6" x14ac:dyDescent="0.25">
      <c r="A2741" s="16" t="s">
        <v>8579</v>
      </c>
      <c r="B2741" s="17" t="s">
        <v>8580</v>
      </c>
      <c r="C2741" s="17" t="s">
        <v>11</v>
      </c>
      <c r="D2741" s="17" t="s">
        <v>74</v>
      </c>
      <c r="E2741" s="17" t="s">
        <v>20</v>
      </c>
      <c r="F2741" s="16" t="s">
        <v>8581</v>
      </c>
    </row>
    <row r="2742" spans="1:6" x14ac:dyDescent="0.25">
      <c r="A2742" s="16" t="s">
        <v>8582</v>
      </c>
      <c r="B2742" s="17" t="s">
        <v>8583</v>
      </c>
      <c r="C2742" s="17" t="s">
        <v>11</v>
      </c>
      <c r="D2742" s="17" t="s">
        <v>233</v>
      </c>
      <c r="E2742" s="17" t="s">
        <v>20</v>
      </c>
      <c r="F2742" s="16" t="s">
        <v>8584</v>
      </c>
    </row>
    <row r="2743" spans="1:6" x14ac:dyDescent="0.25">
      <c r="A2743" s="16" t="s">
        <v>8585</v>
      </c>
      <c r="B2743" s="17" t="s">
        <v>8586</v>
      </c>
      <c r="C2743" s="17" t="s">
        <v>11</v>
      </c>
      <c r="D2743" s="17" t="s">
        <v>83</v>
      </c>
      <c r="E2743" s="17" t="s">
        <v>20</v>
      </c>
      <c r="F2743" s="16" t="s">
        <v>8587</v>
      </c>
    </row>
    <row r="2744" spans="1:6" x14ac:dyDescent="0.25">
      <c r="A2744" s="16" t="s">
        <v>8588</v>
      </c>
      <c r="B2744" s="17" t="s">
        <v>8589</v>
      </c>
      <c r="C2744" s="17" t="s">
        <v>11</v>
      </c>
      <c r="D2744" s="17" t="s">
        <v>12</v>
      </c>
      <c r="E2744" s="17" t="s">
        <v>13</v>
      </c>
      <c r="F2744" s="16" t="s">
        <v>8590</v>
      </c>
    </row>
    <row r="2745" spans="1:6" x14ac:dyDescent="0.25">
      <c r="A2745" s="16" t="s">
        <v>8591</v>
      </c>
      <c r="B2745" s="17" t="s">
        <v>8592</v>
      </c>
      <c r="C2745" s="17" t="s">
        <v>214</v>
      </c>
      <c r="D2745" s="17" t="s">
        <v>32</v>
      </c>
      <c r="E2745" s="17" t="s">
        <v>20</v>
      </c>
      <c r="F2745" s="16" t="s">
        <v>8593</v>
      </c>
    </row>
    <row r="2746" spans="1:6" x14ac:dyDescent="0.25">
      <c r="A2746" s="16" t="s">
        <v>8594</v>
      </c>
      <c r="B2746" s="17" t="s">
        <v>8595</v>
      </c>
      <c r="C2746" s="17" t="s">
        <v>11</v>
      </c>
      <c r="D2746" s="17" t="s">
        <v>12</v>
      </c>
      <c r="E2746" s="17" t="s">
        <v>13</v>
      </c>
      <c r="F2746" s="16" t="s">
        <v>8596</v>
      </c>
    </row>
    <row r="2747" spans="1:6" x14ac:dyDescent="0.25">
      <c r="A2747" s="16" t="s">
        <v>8597</v>
      </c>
      <c r="B2747" s="17" t="s">
        <v>8598</v>
      </c>
      <c r="C2747" s="17" t="s">
        <v>11</v>
      </c>
      <c r="D2747" s="17" t="s">
        <v>505</v>
      </c>
      <c r="E2747" s="17" t="s">
        <v>13</v>
      </c>
      <c r="F2747" s="16" t="s">
        <v>8599</v>
      </c>
    </row>
    <row r="2748" spans="1:6" x14ac:dyDescent="0.25">
      <c r="A2748" s="16" t="s">
        <v>8600</v>
      </c>
      <c r="B2748" s="17" t="s">
        <v>8601</v>
      </c>
      <c r="C2748" s="17" t="s">
        <v>11</v>
      </c>
      <c r="D2748" s="17" t="s">
        <v>291</v>
      </c>
      <c r="E2748" s="17" t="s">
        <v>20</v>
      </c>
      <c r="F2748" s="16" t="s">
        <v>8602</v>
      </c>
    </row>
    <row r="2749" spans="1:6" x14ac:dyDescent="0.25">
      <c r="A2749" s="16" t="s">
        <v>8603</v>
      </c>
      <c r="B2749" s="17" t="s">
        <v>8604</v>
      </c>
      <c r="C2749" s="17" t="s">
        <v>11</v>
      </c>
      <c r="D2749" s="17" t="s">
        <v>26</v>
      </c>
      <c r="E2749" s="17" t="s">
        <v>20</v>
      </c>
      <c r="F2749" s="16" t="s">
        <v>8605</v>
      </c>
    </row>
    <row r="2750" spans="1:6" x14ac:dyDescent="0.25">
      <c r="A2750" s="16" t="s">
        <v>8606</v>
      </c>
      <c r="B2750" s="17" t="s">
        <v>8607</v>
      </c>
      <c r="C2750" s="17" t="s">
        <v>11</v>
      </c>
      <c r="D2750" s="17" t="s">
        <v>59</v>
      </c>
      <c r="E2750" s="17" t="s">
        <v>13</v>
      </c>
      <c r="F2750" s="16" t="s">
        <v>8608</v>
      </c>
    </row>
    <row r="2751" spans="1:6" x14ac:dyDescent="0.25">
      <c r="A2751" s="16" t="s">
        <v>8609</v>
      </c>
      <c r="B2751" s="17" t="s">
        <v>8610</v>
      </c>
      <c r="C2751" s="17" t="s">
        <v>11</v>
      </c>
      <c r="D2751" s="17" t="s">
        <v>12</v>
      </c>
      <c r="E2751" s="17" t="s">
        <v>13</v>
      </c>
      <c r="F2751" s="16" t="s">
        <v>8611</v>
      </c>
    </row>
    <row r="2752" spans="1:6" x14ac:dyDescent="0.25">
      <c r="A2752" s="16" t="s">
        <v>8612</v>
      </c>
      <c r="B2752" s="17" t="s">
        <v>8613</v>
      </c>
      <c r="C2752" s="17" t="s">
        <v>11</v>
      </c>
      <c r="D2752" s="17" t="s">
        <v>12</v>
      </c>
      <c r="E2752" s="17" t="s">
        <v>13</v>
      </c>
      <c r="F2752" s="16" t="s">
        <v>8614</v>
      </c>
    </row>
    <row r="2753" spans="1:6" x14ac:dyDescent="0.25">
      <c r="A2753" s="16" t="s">
        <v>8615</v>
      </c>
      <c r="B2753" s="17" t="s">
        <v>8616</v>
      </c>
      <c r="C2753" s="17" t="s">
        <v>11</v>
      </c>
      <c r="D2753" s="17" t="s">
        <v>3346</v>
      </c>
      <c r="E2753" s="17" t="s">
        <v>20</v>
      </c>
      <c r="F2753" s="16" t="s">
        <v>8617</v>
      </c>
    </row>
    <row r="2754" spans="1:6" x14ac:dyDescent="0.25">
      <c r="A2754" s="16" t="s">
        <v>8618</v>
      </c>
      <c r="B2754" s="17" t="s">
        <v>8619</v>
      </c>
      <c r="C2754" s="17" t="s">
        <v>11</v>
      </c>
      <c r="D2754" s="17" t="s">
        <v>12</v>
      </c>
      <c r="E2754" s="17" t="s">
        <v>13</v>
      </c>
      <c r="F2754" s="16" t="s">
        <v>8620</v>
      </c>
    </row>
    <row r="2755" spans="1:6" x14ac:dyDescent="0.25">
      <c r="A2755" s="16" t="s">
        <v>8621</v>
      </c>
      <c r="B2755" s="17" t="s">
        <v>8622</v>
      </c>
      <c r="C2755" s="17" t="s">
        <v>11</v>
      </c>
      <c r="D2755" s="17" t="s">
        <v>12</v>
      </c>
      <c r="E2755" s="17" t="s">
        <v>13</v>
      </c>
      <c r="F2755" s="16" t="s">
        <v>8623</v>
      </c>
    </row>
    <row r="2756" spans="1:6" x14ac:dyDescent="0.25">
      <c r="A2756" s="16" t="s">
        <v>8624</v>
      </c>
      <c r="B2756" s="17" t="s">
        <v>8625</v>
      </c>
      <c r="C2756" s="17" t="s">
        <v>11</v>
      </c>
      <c r="D2756" s="17" t="s">
        <v>186</v>
      </c>
      <c r="E2756" s="17" t="s">
        <v>20</v>
      </c>
      <c r="F2756" s="16" t="s">
        <v>8626</v>
      </c>
    </row>
    <row r="2757" spans="1:6" x14ac:dyDescent="0.25">
      <c r="A2757" s="16" t="s">
        <v>8627</v>
      </c>
      <c r="B2757" s="17" t="s">
        <v>8628</v>
      </c>
      <c r="C2757" s="17" t="s">
        <v>11</v>
      </c>
      <c r="D2757" s="17" t="s">
        <v>74</v>
      </c>
      <c r="E2757" s="17" t="s">
        <v>20</v>
      </c>
      <c r="F2757" s="16" t="s">
        <v>8629</v>
      </c>
    </row>
    <row r="2758" spans="1:6" x14ac:dyDescent="0.25">
      <c r="A2758" s="16" t="s">
        <v>8630</v>
      </c>
      <c r="B2758" s="17" t="s">
        <v>8631</v>
      </c>
      <c r="C2758" s="17" t="s">
        <v>11</v>
      </c>
      <c r="D2758" s="17" t="s">
        <v>12</v>
      </c>
      <c r="E2758" s="17" t="s">
        <v>13</v>
      </c>
      <c r="F2758" s="16" t="s">
        <v>8632</v>
      </c>
    </row>
    <row r="2759" spans="1:6" x14ac:dyDescent="0.25">
      <c r="A2759" s="16" t="s">
        <v>8633</v>
      </c>
      <c r="B2759" s="17" t="s">
        <v>8634</v>
      </c>
      <c r="C2759" s="17" t="s">
        <v>11</v>
      </c>
      <c r="D2759" s="17" t="s">
        <v>12</v>
      </c>
      <c r="E2759" s="17" t="s">
        <v>13</v>
      </c>
      <c r="F2759" s="16" t="s">
        <v>8635</v>
      </c>
    </row>
    <row r="2760" spans="1:6" x14ac:dyDescent="0.25">
      <c r="A2760" s="16" t="s">
        <v>8636</v>
      </c>
      <c r="B2760" s="17" t="s">
        <v>8637</v>
      </c>
      <c r="C2760" s="17" t="s">
        <v>11</v>
      </c>
      <c r="D2760" s="17" t="s">
        <v>12</v>
      </c>
      <c r="E2760" s="17" t="s">
        <v>13</v>
      </c>
      <c r="F2760" s="16" t="s">
        <v>8638</v>
      </c>
    </row>
    <row r="2761" spans="1:6" x14ac:dyDescent="0.25">
      <c r="A2761" s="16" t="s">
        <v>8639</v>
      </c>
      <c r="B2761" s="17" t="s">
        <v>8640</v>
      </c>
      <c r="C2761" s="17" t="s">
        <v>11</v>
      </c>
      <c r="D2761" s="17" t="s">
        <v>12</v>
      </c>
      <c r="E2761" s="17" t="s">
        <v>13</v>
      </c>
      <c r="F2761" s="16" t="s">
        <v>8641</v>
      </c>
    </row>
    <row r="2762" spans="1:6" x14ac:dyDescent="0.25">
      <c r="A2762" s="16" t="s">
        <v>8642</v>
      </c>
      <c r="B2762" s="17" t="s">
        <v>8643</v>
      </c>
      <c r="C2762" s="17" t="s">
        <v>11</v>
      </c>
      <c r="D2762" s="17" t="s">
        <v>12</v>
      </c>
      <c r="E2762" s="17" t="s">
        <v>13</v>
      </c>
      <c r="F2762" s="16" t="s">
        <v>8644</v>
      </c>
    </row>
    <row r="2763" spans="1:6" x14ac:dyDescent="0.25">
      <c r="A2763" s="16" t="s">
        <v>8645</v>
      </c>
      <c r="B2763" s="17" t="s">
        <v>8646</v>
      </c>
      <c r="C2763" s="17" t="s">
        <v>11</v>
      </c>
      <c r="D2763" s="17" t="s">
        <v>59</v>
      </c>
      <c r="E2763" s="17" t="s">
        <v>13</v>
      </c>
      <c r="F2763" s="16" t="s">
        <v>8647</v>
      </c>
    </row>
    <row r="2764" spans="1:6" x14ac:dyDescent="0.25">
      <c r="A2764" s="16" t="s">
        <v>8648</v>
      </c>
      <c r="B2764" s="17" t="s">
        <v>8649</v>
      </c>
      <c r="C2764" s="17" t="s">
        <v>11</v>
      </c>
      <c r="D2764" s="17" t="s">
        <v>83</v>
      </c>
      <c r="E2764" s="17" t="s">
        <v>20</v>
      </c>
      <c r="F2764" s="16" t="s">
        <v>8650</v>
      </c>
    </row>
    <row r="2765" spans="1:6" x14ac:dyDescent="0.25">
      <c r="A2765" s="16" t="s">
        <v>8651</v>
      </c>
      <c r="B2765" s="17" t="s">
        <v>8652</v>
      </c>
      <c r="C2765" s="17" t="s">
        <v>11</v>
      </c>
      <c r="D2765" s="17" t="s">
        <v>80</v>
      </c>
      <c r="E2765" s="17" t="s">
        <v>20</v>
      </c>
      <c r="F2765" s="16" t="s">
        <v>8653</v>
      </c>
    </row>
    <row r="2766" spans="1:6" x14ac:dyDescent="0.25">
      <c r="A2766" s="16" t="s">
        <v>8654</v>
      </c>
      <c r="B2766" s="17" t="s">
        <v>8655</v>
      </c>
      <c r="C2766" s="17" t="s">
        <v>11</v>
      </c>
      <c r="D2766" s="17" t="s">
        <v>32</v>
      </c>
      <c r="E2766" s="17" t="s">
        <v>20</v>
      </c>
      <c r="F2766" s="16" t="s">
        <v>8656</v>
      </c>
    </row>
    <row r="2767" spans="1:6" x14ac:dyDescent="0.25">
      <c r="A2767" s="16" t="s">
        <v>8657</v>
      </c>
      <c r="B2767" s="17" t="s">
        <v>8658</v>
      </c>
      <c r="C2767" s="17" t="s">
        <v>11</v>
      </c>
      <c r="D2767" s="17" t="s">
        <v>12</v>
      </c>
      <c r="E2767" s="17" t="s">
        <v>13</v>
      </c>
      <c r="F2767" s="16" t="s">
        <v>8659</v>
      </c>
    </row>
    <row r="2768" spans="1:6" x14ac:dyDescent="0.25">
      <c r="A2768" s="16" t="s">
        <v>8660</v>
      </c>
      <c r="B2768" s="17" t="s">
        <v>8661</v>
      </c>
      <c r="C2768" s="17" t="s">
        <v>11</v>
      </c>
      <c r="D2768" s="17" t="s">
        <v>12</v>
      </c>
      <c r="E2768" s="17" t="s">
        <v>13</v>
      </c>
      <c r="F2768" s="16" t="s">
        <v>8662</v>
      </c>
    </row>
    <row r="2769" spans="1:6" x14ac:dyDescent="0.25">
      <c r="A2769" s="16" t="s">
        <v>8663</v>
      </c>
      <c r="B2769" s="17" t="s">
        <v>8664</v>
      </c>
      <c r="C2769" s="17" t="s">
        <v>11</v>
      </c>
      <c r="D2769" s="17" t="s">
        <v>12</v>
      </c>
      <c r="E2769" s="17" t="s">
        <v>13</v>
      </c>
      <c r="F2769" s="16" t="s">
        <v>8665</v>
      </c>
    </row>
    <row r="2770" spans="1:6" x14ac:dyDescent="0.25">
      <c r="A2770" s="16" t="s">
        <v>8666</v>
      </c>
      <c r="B2770" s="17" t="s">
        <v>8667</v>
      </c>
      <c r="C2770" s="17" t="s">
        <v>11</v>
      </c>
      <c r="D2770" s="17" t="s">
        <v>12</v>
      </c>
      <c r="E2770" s="17" t="s">
        <v>13</v>
      </c>
      <c r="F2770" s="16" t="s">
        <v>8668</v>
      </c>
    </row>
    <row r="2771" spans="1:6" x14ac:dyDescent="0.25">
      <c r="A2771" s="16" t="s">
        <v>8669</v>
      </c>
      <c r="B2771" s="17" t="s">
        <v>8670</v>
      </c>
      <c r="C2771" s="17" t="s">
        <v>11</v>
      </c>
      <c r="D2771" s="17" t="s">
        <v>12</v>
      </c>
      <c r="E2771" s="17" t="s">
        <v>13</v>
      </c>
      <c r="F2771" s="16" t="s">
        <v>8671</v>
      </c>
    </row>
    <row r="2772" spans="1:6" x14ac:dyDescent="0.25">
      <c r="A2772" s="16" t="s">
        <v>8672</v>
      </c>
      <c r="B2772" s="17" t="s">
        <v>8673</v>
      </c>
      <c r="C2772" s="17" t="s">
        <v>11</v>
      </c>
      <c r="D2772" s="17" t="s">
        <v>32</v>
      </c>
      <c r="E2772" s="17" t="s">
        <v>20</v>
      </c>
      <c r="F2772" s="16" t="s">
        <v>8674</v>
      </c>
    </row>
    <row r="2773" spans="1:6" x14ac:dyDescent="0.25">
      <c r="A2773" s="16" t="s">
        <v>8675</v>
      </c>
      <c r="B2773" s="17" t="s">
        <v>8676</v>
      </c>
      <c r="C2773" s="17" t="s">
        <v>11</v>
      </c>
      <c r="D2773" s="17" t="s">
        <v>12</v>
      </c>
      <c r="E2773" s="17" t="s">
        <v>13</v>
      </c>
      <c r="F2773" s="16" t="s">
        <v>8677</v>
      </c>
    </row>
    <row r="2774" spans="1:6" x14ac:dyDescent="0.25">
      <c r="A2774" s="16" t="s">
        <v>8678</v>
      </c>
      <c r="B2774" s="17" t="s">
        <v>8679</v>
      </c>
      <c r="C2774" s="17" t="s">
        <v>11</v>
      </c>
      <c r="D2774" s="17" t="s">
        <v>12</v>
      </c>
      <c r="E2774" s="17" t="s">
        <v>13</v>
      </c>
      <c r="F2774" s="16" t="s">
        <v>8680</v>
      </c>
    </row>
    <row r="2775" spans="1:6" x14ac:dyDescent="0.25">
      <c r="A2775" s="16" t="s">
        <v>8681</v>
      </c>
      <c r="B2775" s="17" t="s">
        <v>8682</v>
      </c>
      <c r="C2775" s="17" t="s">
        <v>11</v>
      </c>
      <c r="D2775" s="17" t="s">
        <v>83</v>
      </c>
      <c r="E2775" s="17" t="s">
        <v>20</v>
      </c>
      <c r="F2775" s="16" t="s">
        <v>8683</v>
      </c>
    </row>
    <row r="2776" spans="1:6" x14ac:dyDescent="0.25">
      <c r="A2776" s="16" t="s">
        <v>8684</v>
      </c>
      <c r="B2776" s="17" t="s">
        <v>8685</v>
      </c>
      <c r="C2776" s="17" t="s">
        <v>11</v>
      </c>
      <c r="D2776" s="17" t="s">
        <v>74</v>
      </c>
      <c r="E2776" s="17" t="s">
        <v>20</v>
      </c>
      <c r="F2776" s="16" t="s">
        <v>8686</v>
      </c>
    </row>
    <row r="2777" spans="1:6" x14ac:dyDescent="0.25">
      <c r="A2777" s="16" t="s">
        <v>8687</v>
      </c>
      <c r="B2777" s="17" t="s">
        <v>8688</v>
      </c>
      <c r="C2777" s="17" t="s">
        <v>11</v>
      </c>
      <c r="D2777" s="17" t="s">
        <v>12</v>
      </c>
      <c r="E2777" s="17" t="s">
        <v>13</v>
      </c>
      <c r="F2777" s="16" t="s">
        <v>8689</v>
      </c>
    </row>
    <row r="2778" spans="1:6" x14ac:dyDescent="0.25">
      <c r="A2778" s="16" t="s">
        <v>8690</v>
      </c>
      <c r="B2778" s="17" t="s">
        <v>8691</v>
      </c>
      <c r="C2778" s="17" t="s">
        <v>11</v>
      </c>
      <c r="D2778" s="17" t="s">
        <v>576</v>
      </c>
      <c r="E2778" s="17" t="s">
        <v>20</v>
      </c>
      <c r="F2778" s="16" t="s">
        <v>8692</v>
      </c>
    </row>
    <row r="2779" spans="1:6" x14ac:dyDescent="0.25">
      <c r="A2779" s="16" t="s">
        <v>8693</v>
      </c>
      <c r="B2779" s="17" t="s">
        <v>8694</v>
      </c>
      <c r="C2779" s="17" t="s">
        <v>11</v>
      </c>
      <c r="D2779" s="17" t="s">
        <v>12</v>
      </c>
      <c r="E2779" s="17" t="s">
        <v>13</v>
      </c>
      <c r="F2779" s="16" t="s">
        <v>8695</v>
      </c>
    </row>
    <row r="2780" spans="1:6" x14ac:dyDescent="0.25">
      <c r="A2780" s="16" t="s">
        <v>8696</v>
      </c>
      <c r="B2780" s="17" t="s">
        <v>8697</v>
      </c>
      <c r="C2780" s="17" t="s">
        <v>11</v>
      </c>
      <c r="D2780" s="17" t="s">
        <v>186</v>
      </c>
      <c r="E2780" s="17" t="s">
        <v>20</v>
      </c>
      <c r="F2780" s="16" t="s">
        <v>8698</v>
      </c>
    </row>
    <row r="2781" spans="1:6" x14ac:dyDescent="0.25">
      <c r="A2781" s="16" t="s">
        <v>8699</v>
      </c>
      <c r="B2781" s="17" t="s">
        <v>8700</v>
      </c>
      <c r="C2781" s="17" t="s">
        <v>11</v>
      </c>
      <c r="D2781" s="17" t="s">
        <v>12</v>
      </c>
      <c r="E2781" s="17" t="s">
        <v>13</v>
      </c>
      <c r="F2781" s="16" t="s">
        <v>8701</v>
      </c>
    </row>
    <row r="2782" spans="1:6" x14ac:dyDescent="0.25">
      <c r="A2782" s="16" t="s">
        <v>8702</v>
      </c>
      <c r="B2782" s="17" t="s">
        <v>8703</v>
      </c>
      <c r="C2782" s="17" t="s">
        <v>11</v>
      </c>
      <c r="D2782" s="17" t="s">
        <v>12</v>
      </c>
      <c r="E2782" s="17" t="s">
        <v>13</v>
      </c>
      <c r="F2782" s="16" t="s">
        <v>8704</v>
      </c>
    </row>
    <row r="2783" spans="1:6" x14ac:dyDescent="0.25">
      <c r="A2783" s="16" t="s">
        <v>8705</v>
      </c>
      <c r="B2783" s="17" t="s">
        <v>8706</v>
      </c>
      <c r="C2783" s="17" t="s">
        <v>11</v>
      </c>
      <c r="D2783" s="17" t="s">
        <v>12</v>
      </c>
      <c r="E2783" s="17" t="s">
        <v>13</v>
      </c>
      <c r="F2783" s="16" t="s">
        <v>8707</v>
      </c>
    </row>
    <row r="2784" spans="1:6" x14ac:dyDescent="0.25">
      <c r="A2784" s="16" t="s">
        <v>8708</v>
      </c>
      <c r="B2784" s="17" t="s">
        <v>8709</v>
      </c>
      <c r="C2784" s="17" t="s">
        <v>11</v>
      </c>
      <c r="D2784" s="17" t="s">
        <v>576</v>
      </c>
      <c r="E2784" s="17" t="s">
        <v>20</v>
      </c>
      <c r="F2784" s="16" t="s">
        <v>8710</v>
      </c>
    </row>
    <row r="2785" spans="1:6" x14ac:dyDescent="0.25">
      <c r="A2785" s="16" t="s">
        <v>8711</v>
      </c>
      <c r="B2785" s="17" t="s">
        <v>8712</v>
      </c>
      <c r="C2785" s="17" t="s">
        <v>11</v>
      </c>
      <c r="D2785" s="17" t="s">
        <v>12</v>
      </c>
      <c r="E2785" s="17" t="s">
        <v>13</v>
      </c>
      <c r="F2785" s="16" t="s">
        <v>8713</v>
      </c>
    </row>
    <row r="2786" spans="1:6" x14ac:dyDescent="0.25">
      <c r="A2786" s="16" t="s">
        <v>8714</v>
      </c>
      <c r="B2786" s="17" t="s">
        <v>8715</v>
      </c>
      <c r="C2786" s="17" t="s">
        <v>11</v>
      </c>
      <c r="D2786" s="17" t="s">
        <v>12</v>
      </c>
      <c r="E2786" s="17" t="s">
        <v>13</v>
      </c>
      <c r="F2786" s="16" t="s">
        <v>8716</v>
      </c>
    </row>
    <row r="2787" spans="1:6" x14ac:dyDescent="0.25">
      <c r="A2787" s="16" t="s">
        <v>8717</v>
      </c>
      <c r="B2787" s="17" t="s">
        <v>8718</v>
      </c>
      <c r="C2787" s="17" t="s">
        <v>11</v>
      </c>
      <c r="D2787" s="17" t="s">
        <v>12</v>
      </c>
      <c r="E2787" s="17" t="s">
        <v>13</v>
      </c>
      <c r="F2787" s="16" t="s">
        <v>8719</v>
      </c>
    </row>
    <row r="2788" spans="1:6" x14ac:dyDescent="0.25">
      <c r="A2788" s="16" t="s">
        <v>8720</v>
      </c>
      <c r="B2788" s="17" t="s">
        <v>8721</v>
      </c>
      <c r="C2788" s="17" t="s">
        <v>11</v>
      </c>
      <c r="D2788" s="17" t="s">
        <v>670</v>
      </c>
      <c r="E2788" s="17" t="s">
        <v>20</v>
      </c>
      <c r="F2788" s="16" t="s">
        <v>8722</v>
      </c>
    </row>
    <row r="2789" spans="1:6" x14ac:dyDescent="0.25">
      <c r="A2789" s="16" t="s">
        <v>8723</v>
      </c>
      <c r="B2789" s="17" t="s">
        <v>8724</v>
      </c>
      <c r="C2789" s="17" t="s">
        <v>11</v>
      </c>
      <c r="D2789" s="17" t="s">
        <v>83</v>
      </c>
      <c r="E2789" s="17" t="s">
        <v>20</v>
      </c>
      <c r="F2789" s="16" t="s">
        <v>8725</v>
      </c>
    </row>
    <row r="2790" spans="1:6" x14ac:dyDescent="0.25">
      <c r="A2790" s="16" t="s">
        <v>8726</v>
      </c>
      <c r="B2790" s="17" t="s">
        <v>8727</v>
      </c>
      <c r="C2790" s="17" t="s">
        <v>11</v>
      </c>
      <c r="D2790" s="17" t="s">
        <v>12</v>
      </c>
      <c r="E2790" s="17" t="s">
        <v>13</v>
      </c>
      <c r="F2790" s="16" t="s">
        <v>8728</v>
      </c>
    </row>
    <row r="2791" spans="1:6" x14ac:dyDescent="0.25">
      <c r="A2791" s="16" t="s">
        <v>8729</v>
      </c>
      <c r="B2791" s="17" t="s">
        <v>8730</v>
      </c>
      <c r="C2791" s="17" t="s">
        <v>11</v>
      </c>
      <c r="D2791" s="17" t="s">
        <v>12</v>
      </c>
      <c r="E2791" s="17" t="s">
        <v>13</v>
      </c>
      <c r="F2791" s="16" t="s">
        <v>8731</v>
      </c>
    </row>
    <row r="2792" spans="1:6" x14ac:dyDescent="0.25">
      <c r="A2792" s="16" t="s">
        <v>8732</v>
      </c>
      <c r="B2792" s="17" t="s">
        <v>8733</v>
      </c>
      <c r="C2792" s="17" t="s">
        <v>11</v>
      </c>
      <c r="D2792" s="17" t="s">
        <v>12</v>
      </c>
      <c r="E2792" s="17" t="s">
        <v>13</v>
      </c>
      <c r="F2792" s="16" t="s">
        <v>8734</v>
      </c>
    </row>
    <row r="2793" spans="1:6" x14ac:dyDescent="0.25">
      <c r="A2793" s="16" t="s">
        <v>8735</v>
      </c>
      <c r="B2793" s="17" t="s">
        <v>8736</v>
      </c>
      <c r="C2793" s="17" t="s">
        <v>11</v>
      </c>
      <c r="D2793" s="17" t="s">
        <v>182</v>
      </c>
      <c r="E2793" s="17" t="s">
        <v>20</v>
      </c>
      <c r="F2793" s="16" t="s">
        <v>8737</v>
      </c>
    </row>
    <row r="2794" spans="1:6" x14ac:dyDescent="0.25">
      <c r="A2794" s="16" t="s">
        <v>8738</v>
      </c>
      <c r="B2794" s="17" t="s">
        <v>8739</v>
      </c>
      <c r="C2794" s="17" t="s">
        <v>11</v>
      </c>
      <c r="D2794" s="17" t="s">
        <v>186</v>
      </c>
      <c r="E2794" s="17" t="s">
        <v>20</v>
      </c>
      <c r="F2794" s="16" t="s">
        <v>8740</v>
      </c>
    </row>
    <row r="2795" spans="1:6" x14ac:dyDescent="0.25">
      <c r="A2795" s="16" t="s">
        <v>8741</v>
      </c>
      <c r="B2795" s="17" t="s">
        <v>8742</v>
      </c>
      <c r="C2795" s="17" t="s">
        <v>11</v>
      </c>
      <c r="D2795" s="17" t="s">
        <v>291</v>
      </c>
      <c r="E2795" s="17" t="s">
        <v>20</v>
      </c>
      <c r="F2795" s="16" t="s">
        <v>8743</v>
      </c>
    </row>
    <row r="2796" spans="1:6" x14ac:dyDescent="0.25">
      <c r="A2796" s="16" t="s">
        <v>8744</v>
      </c>
      <c r="B2796" s="17" t="s">
        <v>8745</v>
      </c>
      <c r="C2796" s="17" t="s">
        <v>11</v>
      </c>
      <c r="D2796" s="17" t="s">
        <v>19</v>
      </c>
      <c r="E2796" s="17" t="s">
        <v>20</v>
      </c>
      <c r="F2796" s="16" t="s">
        <v>8746</v>
      </c>
    </row>
    <row r="2797" spans="1:6" x14ac:dyDescent="0.25">
      <c r="A2797" s="16" t="s">
        <v>8747</v>
      </c>
      <c r="B2797" s="17" t="s">
        <v>8748</v>
      </c>
      <c r="C2797" s="17" t="s">
        <v>11</v>
      </c>
      <c r="D2797" s="17" t="s">
        <v>12</v>
      </c>
      <c r="E2797" s="17" t="s">
        <v>13</v>
      </c>
      <c r="F2797" s="16" t="s">
        <v>8749</v>
      </c>
    </row>
    <row r="2798" spans="1:6" x14ac:dyDescent="0.25">
      <c r="A2798" s="16" t="s">
        <v>8750</v>
      </c>
      <c r="B2798" s="17" t="s">
        <v>8751</v>
      </c>
      <c r="C2798" s="17" t="s">
        <v>11</v>
      </c>
      <c r="D2798" s="17" t="s">
        <v>68</v>
      </c>
      <c r="E2798" s="17" t="s">
        <v>20</v>
      </c>
      <c r="F2798" s="16" t="s">
        <v>8752</v>
      </c>
    </row>
    <row r="2799" spans="1:6" x14ac:dyDescent="0.25">
      <c r="A2799" s="16" t="s">
        <v>8753</v>
      </c>
      <c r="B2799" s="17" t="s">
        <v>8754</v>
      </c>
      <c r="C2799" s="17" t="s">
        <v>11</v>
      </c>
      <c r="D2799" s="17" t="s">
        <v>32</v>
      </c>
      <c r="E2799" s="17" t="s">
        <v>20</v>
      </c>
      <c r="F2799" s="16" t="s">
        <v>8755</v>
      </c>
    </row>
    <row r="2800" spans="1:6" x14ac:dyDescent="0.25">
      <c r="A2800" s="16" t="s">
        <v>8756</v>
      </c>
      <c r="B2800" s="17" t="s">
        <v>8757</v>
      </c>
      <c r="C2800" s="17" t="s">
        <v>11</v>
      </c>
      <c r="D2800" s="17" t="s">
        <v>12</v>
      </c>
      <c r="E2800" s="17" t="s">
        <v>13</v>
      </c>
      <c r="F2800" s="16" t="s">
        <v>8758</v>
      </c>
    </row>
    <row r="2801" spans="1:6" x14ac:dyDescent="0.25">
      <c r="A2801" s="16" t="s">
        <v>8759</v>
      </c>
      <c r="B2801" s="17" t="s">
        <v>8760</v>
      </c>
      <c r="C2801" s="17" t="s">
        <v>11</v>
      </c>
      <c r="D2801" s="17" t="s">
        <v>32</v>
      </c>
      <c r="E2801" s="17" t="s">
        <v>20</v>
      </c>
      <c r="F2801" s="16" t="s">
        <v>8761</v>
      </c>
    </row>
    <row r="2802" spans="1:6" x14ac:dyDescent="0.25">
      <c r="A2802" s="16" t="s">
        <v>8762</v>
      </c>
      <c r="B2802" s="17" t="s">
        <v>8763</v>
      </c>
      <c r="C2802" s="17" t="s">
        <v>11</v>
      </c>
      <c r="D2802" s="17" t="s">
        <v>32</v>
      </c>
      <c r="E2802" s="17" t="s">
        <v>20</v>
      </c>
      <c r="F2802" s="16" t="s">
        <v>8764</v>
      </c>
    </row>
    <row r="2803" spans="1:6" x14ac:dyDescent="0.25">
      <c r="A2803" s="16" t="s">
        <v>8765</v>
      </c>
      <c r="B2803" s="17" t="s">
        <v>8766</v>
      </c>
      <c r="C2803" s="17" t="s">
        <v>11</v>
      </c>
      <c r="D2803" s="17" t="s">
        <v>12</v>
      </c>
      <c r="E2803" s="17" t="s">
        <v>13</v>
      </c>
      <c r="F2803" s="16" t="s">
        <v>8767</v>
      </c>
    </row>
    <row r="2804" spans="1:6" x14ac:dyDescent="0.25">
      <c r="A2804" s="16" t="s">
        <v>8768</v>
      </c>
      <c r="B2804" s="17" t="s">
        <v>8769</v>
      </c>
      <c r="C2804" s="17" t="s">
        <v>11</v>
      </c>
      <c r="D2804" s="17" t="s">
        <v>83</v>
      </c>
      <c r="E2804" s="17" t="s">
        <v>20</v>
      </c>
      <c r="F2804" s="16" t="s">
        <v>8770</v>
      </c>
    </row>
    <row r="2805" spans="1:6" x14ac:dyDescent="0.25">
      <c r="A2805" s="16" t="s">
        <v>8771</v>
      </c>
      <c r="B2805" s="17" t="s">
        <v>8772</v>
      </c>
      <c r="C2805" s="17" t="s">
        <v>11</v>
      </c>
      <c r="D2805" s="17" t="s">
        <v>80</v>
      </c>
      <c r="E2805" s="17" t="s">
        <v>20</v>
      </c>
      <c r="F2805" s="16" t="s">
        <v>8773</v>
      </c>
    </row>
    <row r="2806" spans="1:6" x14ac:dyDescent="0.25">
      <c r="A2806" s="16" t="s">
        <v>8774</v>
      </c>
      <c r="B2806" s="17" t="s">
        <v>8775</v>
      </c>
      <c r="C2806" s="17" t="s">
        <v>11</v>
      </c>
      <c r="D2806" s="17" t="s">
        <v>32</v>
      </c>
      <c r="E2806" s="17" t="s">
        <v>20</v>
      </c>
      <c r="F2806" s="16" t="s">
        <v>8776</v>
      </c>
    </row>
    <row r="2807" spans="1:6" x14ac:dyDescent="0.25">
      <c r="A2807" s="16" t="s">
        <v>8777</v>
      </c>
      <c r="B2807" s="17" t="s">
        <v>8778</v>
      </c>
      <c r="C2807" s="17" t="s">
        <v>11</v>
      </c>
      <c r="D2807" s="17" t="s">
        <v>12</v>
      </c>
      <c r="E2807" s="17" t="s">
        <v>13</v>
      </c>
      <c r="F2807" s="16" t="s">
        <v>8779</v>
      </c>
    </row>
    <row r="2808" spans="1:6" x14ac:dyDescent="0.25">
      <c r="A2808" s="16" t="s">
        <v>8780</v>
      </c>
      <c r="B2808" s="17" t="s">
        <v>8781</v>
      </c>
      <c r="C2808" s="17" t="s">
        <v>11</v>
      </c>
      <c r="D2808" s="17" t="s">
        <v>32</v>
      </c>
      <c r="E2808" s="17" t="s">
        <v>20</v>
      </c>
      <c r="F2808" s="16" t="s">
        <v>8782</v>
      </c>
    </row>
    <row r="2809" spans="1:6" x14ac:dyDescent="0.25">
      <c r="A2809" s="16" t="s">
        <v>8783</v>
      </c>
      <c r="B2809" s="17" t="s">
        <v>8784</v>
      </c>
      <c r="C2809" s="17" t="s">
        <v>11</v>
      </c>
      <c r="D2809" s="17" t="s">
        <v>12</v>
      </c>
      <c r="E2809" s="17" t="s">
        <v>13</v>
      </c>
      <c r="F2809" s="16" t="s">
        <v>8785</v>
      </c>
    </row>
    <row r="2810" spans="1:6" x14ac:dyDescent="0.25">
      <c r="A2810" s="16" t="s">
        <v>8786</v>
      </c>
      <c r="B2810" s="17" t="s">
        <v>8787</v>
      </c>
      <c r="C2810" s="17" t="s">
        <v>11</v>
      </c>
      <c r="D2810" s="17" t="s">
        <v>12</v>
      </c>
      <c r="E2810" s="17" t="s">
        <v>13</v>
      </c>
      <c r="F2810" s="16" t="s">
        <v>8788</v>
      </c>
    </row>
    <row r="2811" spans="1:6" x14ac:dyDescent="0.25">
      <c r="A2811" s="16" t="s">
        <v>8789</v>
      </c>
      <c r="B2811" s="17" t="s">
        <v>8790</v>
      </c>
      <c r="C2811" s="17" t="s">
        <v>11</v>
      </c>
      <c r="D2811" s="17" t="s">
        <v>12</v>
      </c>
      <c r="E2811" s="17" t="s">
        <v>13</v>
      </c>
      <c r="F2811" s="16" t="s">
        <v>8791</v>
      </c>
    </row>
    <row r="2812" spans="1:6" x14ac:dyDescent="0.25">
      <c r="A2812" s="16" t="s">
        <v>8792</v>
      </c>
      <c r="B2812" s="17" t="s">
        <v>8793</v>
      </c>
      <c r="C2812" s="17" t="s">
        <v>11</v>
      </c>
      <c r="D2812" s="17" t="s">
        <v>12</v>
      </c>
      <c r="E2812" s="17" t="s">
        <v>13</v>
      </c>
      <c r="F2812" s="16" t="s">
        <v>8794</v>
      </c>
    </row>
    <row r="2813" spans="1:6" x14ac:dyDescent="0.25">
      <c r="A2813" s="16" t="s">
        <v>8795</v>
      </c>
      <c r="B2813" s="17" t="s">
        <v>8796</v>
      </c>
      <c r="C2813" s="17" t="s">
        <v>11</v>
      </c>
      <c r="D2813" s="17" t="s">
        <v>12</v>
      </c>
      <c r="E2813" s="17" t="s">
        <v>13</v>
      </c>
      <c r="F2813" s="16" t="s">
        <v>8797</v>
      </c>
    </row>
    <row r="2814" spans="1:6" x14ac:dyDescent="0.25">
      <c r="A2814" s="16" t="s">
        <v>8798</v>
      </c>
      <c r="B2814" s="17" t="s">
        <v>8799</v>
      </c>
      <c r="C2814" s="17" t="s">
        <v>11</v>
      </c>
      <c r="D2814" s="17" t="s">
        <v>32</v>
      </c>
      <c r="E2814" s="17" t="s">
        <v>20</v>
      </c>
      <c r="F2814" s="16" t="s">
        <v>8800</v>
      </c>
    </row>
    <row r="2815" spans="1:6" x14ac:dyDescent="0.25">
      <c r="A2815" s="16" t="s">
        <v>8801</v>
      </c>
      <c r="B2815" s="17" t="s">
        <v>8802</v>
      </c>
      <c r="C2815" s="17" t="s">
        <v>11</v>
      </c>
      <c r="D2815" s="17" t="s">
        <v>171</v>
      </c>
      <c r="E2815" s="17" t="s">
        <v>13</v>
      </c>
      <c r="F2815" s="16" t="s">
        <v>8803</v>
      </c>
    </row>
    <row r="2816" spans="1:6" x14ac:dyDescent="0.25">
      <c r="A2816" s="16" t="s">
        <v>8804</v>
      </c>
      <c r="B2816" s="17" t="s">
        <v>8805</v>
      </c>
      <c r="C2816" s="17" t="s">
        <v>11</v>
      </c>
      <c r="D2816" s="17" t="s">
        <v>12</v>
      </c>
      <c r="E2816" s="17" t="s">
        <v>13</v>
      </c>
      <c r="F2816" s="16" t="s">
        <v>8806</v>
      </c>
    </row>
    <row r="2817" spans="1:6" x14ac:dyDescent="0.25">
      <c r="A2817" s="16" t="s">
        <v>8807</v>
      </c>
      <c r="B2817" s="17" t="s">
        <v>8808</v>
      </c>
      <c r="C2817" s="17" t="s">
        <v>11</v>
      </c>
      <c r="D2817" s="17" t="s">
        <v>186</v>
      </c>
      <c r="E2817" s="17" t="s">
        <v>20</v>
      </c>
      <c r="F2817" s="16" t="s">
        <v>8809</v>
      </c>
    </row>
    <row r="2818" spans="1:6" x14ac:dyDescent="0.25">
      <c r="A2818" s="16" t="s">
        <v>8810</v>
      </c>
      <c r="B2818" s="17" t="s">
        <v>8811</v>
      </c>
      <c r="C2818" s="17" t="s">
        <v>11</v>
      </c>
      <c r="D2818" s="17" t="s">
        <v>12</v>
      </c>
      <c r="E2818" s="17" t="s">
        <v>13</v>
      </c>
      <c r="F2818" s="16" t="s">
        <v>8812</v>
      </c>
    </row>
    <row r="2819" spans="1:6" x14ac:dyDescent="0.25">
      <c r="A2819" s="16" t="s">
        <v>8813</v>
      </c>
      <c r="B2819" s="17" t="s">
        <v>8814</v>
      </c>
      <c r="C2819" s="17" t="s">
        <v>11</v>
      </c>
      <c r="D2819" s="17" t="s">
        <v>12</v>
      </c>
      <c r="E2819" s="17" t="s">
        <v>13</v>
      </c>
      <c r="F2819" s="16" t="s">
        <v>8815</v>
      </c>
    </row>
    <row r="2820" spans="1:6" x14ac:dyDescent="0.25">
      <c r="A2820" s="16" t="s">
        <v>8816</v>
      </c>
      <c r="B2820" s="17" t="s">
        <v>8817</v>
      </c>
      <c r="C2820" s="17" t="s">
        <v>11</v>
      </c>
      <c r="D2820" s="17" t="s">
        <v>12</v>
      </c>
      <c r="E2820" s="17" t="s">
        <v>13</v>
      </c>
      <c r="F2820" s="16" t="s">
        <v>8818</v>
      </c>
    </row>
    <row r="2821" spans="1:6" x14ac:dyDescent="0.25">
      <c r="A2821" s="16" t="s">
        <v>8819</v>
      </c>
      <c r="B2821" s="17" t="s">
        <v>8820</v>
      </c>
      <c r="C2821" s="17" t="s">
        <v>11</v>
      </c>
      <c r="D2821" s="17" t="s">
        <v>12</v>
      </c>
      <c r="E2821" s="17" t="s">
        <v>13</v>
      </c>
      <c r="F2821" s="16" t="s">
        <v>8821</v>
      </c>
    </row>
    <row r="2822" spans="1:6" x14ac:dyDescent="0.25">
      <c r="A2822" s="16" t="s">
        <v>8822</v>
      </c>
      <c r="B2822" s="17" t="s">
        <v>8823</v>
      </c>
      <c r="C2822" s="17" t="s">
        <v>11</v>
      </c>
      <c r="D2822" s="17" t="s">
        <v>32</v>
      </c>
      <c r="E2822" s="17" t="s">
        <v>20</v>
      </c>
      <c r="F2822" s="16" t="s">
        <v>8824</v>
      </c>
    </row>
    <row r="2823" spans="1:6" x14ac:dyDescent="0.25">
      <c r="A2823" s="16" t="s">
        <v>8825</v>
      </c>
      <c r="B2823" s="17" t="s">
        <v>8826</v>
      </c>
      <c r="C2823" s="17" t="s">
        <v>11</v>
      </c>
      <c r="D2823" s="17" t="s">
        <v>12</v>
      </c>
      <c r="E2823" s="17" t="s">
        <v>13</v>
      </c>
      <c r="F2823" s="16" t="s">
        <v>8827</v>
      </c>
    </row>
    <row r="2824" spans="1:6" x14ac:dyDescent="0.25">
      <c r="A2824" s="16" t="s">
        <v>8828</v>
      </c>
      <c r="B2824" s="17" t="s">
        <v>8829</v>
      </c>
      <c r="C2824" s="17" t="s">
        <v>11</v>
      </c>
      <c r="D2824" s="17" t="s">
        <v>12</v>
      </c>
      <c r="E2824" s="17" t="s">
        <v>13</v>
      </c>
      <c r="F2824" s="16" t="s">
        <v>8830</v>
      </c>
    </row>
    <row r="2825" spans="1:6" x14ac:dyDescent="0.25">
      <c r="A2825" s="16" t="s">
        <v>8831</v>
      </c>
      <c r="B2825" s="17" t="s">
        <v>8832</v>
      </c>
      <c r="C2825" s="17" t="s">
        <v>11</v>
      </c>
      <c r="D2825" s="17" t="s">
        <v>32</v>
      </c>
      <c r="E2825" s="17" t="s">
        <v>20</v>
      </c>
      <c r="F2825" s="16" t="s">
        <v>8833</v>
      </c>
    </row>
    <row r="2826" spans="1:6" x14ac:dyDescent="0.25">
      <c r="A2826" s="16" t="s">
        <v>8834</v>
      </c>
      <c r="B2826" s="17" t="s">
        <v>8835</v>
      </c>
      <c r="C2826" s="17" t="s">
        <v>11</v>
      </c>
      <c r="D2826" s="17" t="s">
        <v>83</v>
      </c>
      <c r="E2826" s="17" t="s">
        <v>20</v>
      </c>
      <c r="F2826" s="16" t="s">
        <v>8836</v>
      </c>
    </row>
    <row r="2827" spans="1:6" x14ac:dyDescent="0.25">
      <c r="A2827" s="16" t="s">
        <v>8837</v>
      </c>
      <c r="B2827" s="17" t="s">
        <v>8838</v>
      </c>
      <c r="C2827" s="17" t="s">
        <v>11</v>
      </c>
      <c r="D2827" s="17" t="s">
        <v>12</v>
      </c>
      <c r="E2827" s="17" t="s">
        <v>13</v>
      </c>
      <c r="F2827" s="16" t="s">
        <v>8839</v>
      </c>
    </row>
    <row r="2828" spans="1:6" x14ac:dyDescent="0.25">
      <c r="A2828" s="16" t="s">
        <v>8840</v>
      </c>
      <c r="B2828" s="17" t="s">
        <v>8841</v>
      </c>
      <c r="C2828" s="17" t="s">
        <v>11</v>
      </c>
      <c r="D2828" s="17" t="s">
        <v>12</v>
      </c>
      <c r="E2828" s="17" t="s">
        <v>13</v>
      </c>
      <c r="F2828" s="16" t="s">
        <v>8842</v>
      </c>
    </row>
    <row r="2829" spans="1:6" x14ac:dyDescent="0.25">
      <c r="A2829" s="16" t="s">
        <v>8843</v>
      </c>
      <c r="B2829" s="17" t="s">
        <v>8844</v>
      </c>
      <c r="C2829" s="17" t="s">
        <v>11</v>
      </c>
      <c r="D2829" s="17" t="s">
        <v>59</v>
      </c>
      <c r="E2829" s="17" t="s">
        <v>13</v>
      </c>
      <c r="F2829" s="16" t="s">
        <v>8845</v>
      </c>
    </row>
    <row r="2830" spans="1:6" x14ac:dyDescent="0.25">
      <c r="A2830" s="16" t="s">
        <v>8846</v>
      </c>
      <c r="B2830" s="17" t="s">
        <v>8847</v>
      </c>
      <c r="C2830" s="17" t="s">
        <v>11</v>
      </c>
      <c r="D2830" s="17" t="s">
        <v>12</v>
      </c>
      <c r="E2830" s="17" t="s">
        <v>13</v>
      </c>
      <c r="F2830" s="16" t="s">
        <v>8848</v>
      </c>
    </row>
    <row r="2831" spans="1:6" x14ac:dyDescent="0.25">
      <c r="A2831" s="16" t="s">
        <v>8849</v>
      </c>
      <c r="B2831" s="17" t="s">
        <v>8850</v>
      </c>
      <c r="C2831" s="17" t="s">
        <v>11</v>
      </c>
      <c r="D2831" s="17" t="s">
        <v>12</v>
      </c>
      <c r="E2831" s="17" t="s">
        <v>13</v>
      </c>
      <c r="F2831" s="16" t="s">
        <v>8851</v>
      </c>
    </row>
    <row r="2832" spans="1:6" x14ac:dyDescent="0.25">
      <c r="A2832" s="16" t="s">
        <v>8852</v>
      </c>
      <c r="B2832" s="17" t="s">
        <v>8853</v>
      </c>
      <c r="C2832" s="17" t="s">
        <v>11</v>
      </c>
      <c r="D2832" s="17" t="s">
        <v>12</v>
      </c>
      <c r="E2832" s="17" t="s">
        <v>13</v>
      </c>
      <c r="F2832" s="16" t="s">
        <v>8854</v>
      </c>
    </row>
    <row r="2833" spans="1:6" x14ac:dyDescent="0.25">
      <c r="A2833" s="16" t="s">
        <v>8855</v>
      </c>
      <c r="B2833" s="17" t="s">
        <v>8856</v>
      </c>
      <c r="C2833" s="17" t="s">
        <v>11</v>
      </c>
      <c r="D2833" s="17" t="s">
        <v>12</v>
      </c>
      <c r="E2833" s="17" t="s">
        <v>13</v>
      </c>
      <c r="F2833" s="16" t="s">
        <v>8857</v>
      </c>
    </row>
    <row r="2834" spans="1:6" x14ac:dyDescent="0.25">
      <c r="A2834" s="16" t="s">
        <v>8858</v>
      </c>
      <c r="B2834" s="17" t="s">
        <v>8859</v>
      </c>
      <c r="C2834" s="17" t="s">
        <v>11</v>
      </c>
      <c r="D2834" s="17" t="s">
        <v>186</v>
      </c>
      <c r="E2834" s="17" t="s">
        <v>20</v>
      </c>
      <c r="F2834" s="16" t="s">
        <v>8860</v>
      </c>
    </row>
    <row r="2835" spans="1:6" x14ac:dyDescent="0.25">
      <c r="A2835" s="16" t="s">
        <v>8861</v>
      </c>
      <c r="B2835" s="17" t="s">
        <v>8862</v>
      </c>
      <c r="C2835" s="17" t="s">
        <v>11</v>
      </c>
      <c r="D2835" s="17" t="s">
        <v>32</v>
      </c>
      <c r="E2835" s="17" t="s">
        <v>20</v>
      </c>
      <c r="F2835" s="16" t="s">
        <v>8863</v>
      </c>
    </row>
    <row r="2836" spans="1:6" x14ac:dyDescent="0.25">
      <c r="A2836" s="16" t="s">
        <v>8864</v>
      </c>
      <c r="B2836" s="17" t="s">
        <v>8865</v>
      </c>
      <c r="C2836" s="17" t="s">
        <v>11</v>
      </c>
      <c r="D2836" s="17" t="s">
        <v>12</v>
      </c>
      <c r="E2836" s="17" t="s">
        <v>13</v>
      </c>
      <c r="F2836" s="16" t="s">
        <v>8866</v>
      </c>
    </row>
    <row r="2837" spans="1:6" x14ac:dyDescent="0.25">
      <c r="A2837" s="16" t="s">
        <v>8867</v>
      </c>
      <c r="B2837" s="17" t="s">
        <v>8868</v>
      </c>
      <c r="C2837" s="17" t="s">
        <v>11</v>
      </c>
      <c r="D2837" s="17" t="s">
        <v>32</v>
      </c>
      <c r="E2837" s="17" t="s">
        <v>20</v>
      </c>
      <c r="F2837" s="16" t="s">
        <v>8869</v>
      </c>
    </row>
    <row r="2838" spans="1:6" x14ac:dyDescent="0.25">
      <c r="A2838" s="16" t="s">
        <v>8870</v>
      </c>
      <c r="B2838" s="17" t="s">
        <v>8871</v>
      </c>
      <c r="C2838" s="17" t="s">
        <v>11</v>
      </c>
      <c r="D2838" s="17" t="s">
        <v>12</v>
      </c>
      <c r="E2838" s="17" t="s">
        <v>13</v>
      </c>
      <c r="F2838" s="16" t="s">
        <v>8872</v>
      </c>
    </row>
    <row r="2839" spans="1:6" x14ac:dyDescent="0.25">
      <c r="A2839" s="16" t="s">
        <v>8873</v>
      </c>
      <c r="B2839" s="17" t="s">
        <v>8874</v>
      </c>
      <c r="C2839" s="17" t="s">
        <v>11</v>
      </c>
      <c r="D2839" s="17" t="s">
        <v>12</v>
      </c>
      <c r="E2839" s="17" t="s">
        <v>13</v>
      </c>
      <c r="F2839" s="16" t="s">
        <v>8875</v>
      </c>
    </row>
    <row r="2840" spans="1:6" x14ac:dyDescent="0.25">
      <c r="A2840" s="16" t="s">
        <v>8876</v>
      </c>
      <c r="B2840" s="17" t="s">
        <v>8877</v>
      </c>
      <c r="C2840" s="17" t="s">
        <v>11</v>
      </c>
      <c r="D2840" s="17" t="s">
        <v>233</v>
      </c>
      <c r="E2840" s="17" t="s">
        <v>20</v>
      </c>
      <c r="F2840" s="16" t="s">
        <v>8878</v>
      </c>
    </row>
    <row r="2841" spans="1:6" x14ac:dyDescent="0.25">
      <c r="A2841" s="16" t="s">
        <v>8879</v>
      </c>
      <c r="B2841" s="17" t="s">
        <v>8880</v>
      </c>
      <c r="C2841" s="17" t="s">
        <v>11</v>
      </c>
      <c r="D2841" s="17" t="s">
        <v>649</v>
      </c>
      <c r="E2841" s="17" t="s">
        <v>20</v>
      </c>
      <c r="F2841" s="16" t="s">
        <v>8881</v>
      </c>
    </row>
    <row r="2842" spans="1:6" x14ac:dyDescent="0.25">
      <c r="A2842" s="16" t="s">
        <v>8882</v>
      </c>
      <c r="B2842" s="17" t="s">
        <v>8883</v>
      </c>
      <c r="C2842" s="17" t="s">
        <v>11</v>
      </c>
      <c r="D2842" s="17" t="s">
        <v>32</v>
      </c>
      <c r="E2842" s="17" t="s">
        <v>20</v>
      </c>
      <c r="F2842" s="16" t="s">
        <v>8884</v>
      </c>
    </row>
    <row r="2843" spans="1:6" x14ac:dyDescent="0.25">
      <c r="A2843" s="16" t="s">
        <v>8885</v>
      </c>
      <c r="B2843" s="17" t="s">
        <v>8886</v>
      </c>
      <c r="C2843" s="17" t="s">
        <v>11</v>
      </c>
      <c r="D2843" s="17" t="s">
        <v>186</v>
      </c>
      <c r="E2843" s="17" t="s">
        <v>20</v>
      </c>
      <c r="F2843" s="16" t="s">
        <v>8887</v>
      </c>
    </row>
    <row r="2844" spans="1:6" x14ac:dyDescent="0.25">
      <c r="A2844" s="16" t="s">
        <v>8888</v>
      </c>
      <c r="B2844" s="17" t="s">
        <v>8889</v>
      </c>
      <c r="C2844" s="17" t="s">
        <v>11</v>
      </c>
      <c r="D2844" s="17" t="s">
        <v>148</v>
      </c>
      <c r="E2844" s="17" t="s">
        <v>20</v>
      </c>
      <c r="F2844" s="16" t="s">
        <v>8890</v>
      </c>
    </row>
    <row r="2845" spans="1:6" x14ac:dyDescent="0.25">
      <c r="A2845" s="16" t="s">
        <v>8891</v>
      </c>
      <c r="B2845" s="17" t="s">
        <v>8892</v>
      </c>
      <c r="C2845" s="17" t="s">
        <v>11</v>
      </c>
      <c r="D2845" s="17" t="s">
        <v>83</v>
      </c>
      <c r="E2845" s="17" t="s">
        <v>20</v>
      </c>
      <c r="F2845" s="16" t="s">
        <v>8893</v>
      </c>
    </row>
    <row r="2846" spans="1:6" x14ac:dyDescent="0.25">
      <c r="A2846" s="16" t="s">
        <v>8894</v>
      </c>
      <c r="B2846" s="17" t="s">
        <v>8895</v>
      </c>
      <c r="C2846" s="17" t="s">
        <v>11</v>
      </c>
      <c r="D2846" s="17" t="s">
        <v>32</v>
      </c>
      <c r="E2846" s="17" t="s">
        <v>20</v>
      </c>
      <c r="F2846" s="16" t="s">
        <v>8896</v>
      </c>
    </row>
    <row r="2847" spans="1:6" x14ac:dyDescent="0.25">
      <c r="A2847" s="16" t="s">
        <v>8897</v>
      </c>
      <c r="B2847" s="17" t="s">
        <v>8898</v>
      </c>
      <c r="C2847" s="17" t="s">
        <v>11</v>
      </c>
      <c r="D2847" s="17" t="s">
        <v>32</v>
      </c>
      <c r="E2847" s="17" t="s">
        <v>20</v>
      </c>
      <c r="F2847" s="16" t="s">
        <v>8899</v>
      </c>
    </row>
    <row r="2848" spans="1:6" x14ac:dyDescent="0.25">
      <c r="A2848" s="16" t="s">
        <v>8900</v>
      </c>
      <c r="B2848" s="17" t="s">
        <v>8901</v>
      </c>
      <c r="C2848" s="17" t="s">
        <v>11</v>
      </c>
      <c r="D2848" s="17" t="s">
        <v>32</v>
      </c>
      <c r="E2848" s="17" t="s">
        <v>20</v>
      </c>
      <c r="F2848" s="16" t="s">
        <v>8902</v>
      </c>
    </row>
    <row r="2849" spans="1:6" x14ac:dyDescent="0.25">
      <c r="A2849" s="16" t="s">
        <v>8903</v>
      </c>
      <c r="B2849" s="17" t="s">
        <v>8904</v>
      </c>
      <c r="C2849" s="17" t="s">
        <v>11</v>
      </c>
      <c r="D2849" s="17" t="s">
        <v>32</v>
      </c>
      <c r="E2849" s="17" t="s">
        <v>20</v>
      </c>
      <c r="F2849" s="16" t="s">
        <v>8905</v>
      </c>
    </row>
    <row r="2850" spans="1:6" x14ac:dyDescent="0.25">
      <c r="A2850" s="16" t="s">
        <v>8906</v>
      </c>
      <c r="B2850" s="17" t="s">
        <v>8907</v>
      </c>
      <c r="C2850" s="17" t="s">
        <v>11</v>
      </c>
      <c r="D2850" s="17" t="s">
        <v>83</v>
      </c>
      <c r="E2850" s="17" t="s">
        <v>20</v>
      </c>
      <c r="F2850" s="16" t="s">
        <v>8908</v>
      </c>
    </row>
    <row r="2851" spans="1:6" x14ac:dyDescent="0.25">
      <c r="A2851" s="16" t="s">
        <v>8909</v>
      </c>
      <c r="B2851" s="17" t="s">
        <v>8910</v>
      </c>
      <c r="C2851" s="17" t="s">
        <v>11</v>
      </c>
      <c r="D2851" s="17" t="s">
        <v>74</v>
      </c>
      <c r="E2851" s="17" t="s">
        <v>20</v>
      </c>
      <c r="F2851" s="16" t="s">
        <v>8911</v>
      </c>
    </row>
    <row r="2852" spans="1:6" x14ac:dyDescent="0.25">
      <c r="A2852" s="16" t="s">
        <v>8912</v>
      </c>
      <c r="B2852" s="17" t="s">
        <v>8913</v>
      </c>
      <c r="C2852" s="17" t="s">
        <v>11</v>
      </c>
      <c r="D2852" s="17" t="s">
        <v>32</v>
      </c>
      <c r="E2852" s="17" t="s">
        <v>20</v>
      </c>
      <c r="F2852" s="16" t="s">
        <v>8914</v>
      </c>
    </row>
    <row r="2853" spans="1:6" x14ac:dyDescent="0.25">
      <c r="A2853" s="16" t="s">
        <v>8915</v>
      </c>
      <c r="B2853" s="17" t="s">
        <v>8916</v>
      </c>
      <c r="C2853" s="17" t="s">
        <v>11</v>
      </c>
      <c r="D2853" s="17" t="s">
        <v>12</v>
      </c>
      <c r="E2853" s="17" t="s">
        <v>13</v>
      </c>
      <c r="F2853" s="16" t="s">
        <v>8917</v>
      </c>
    </row>
    <row r="2854" spans="1:6" x14ac:dyDescent="0.25">
      <c r="A2854" s="16" t="s">
        <v>8918</v>
      </c>
      <c r="B2854" s="17" t="s">
        <v>8919</v>
      </c>
      <c r="C2854" s="17" t="s">
        <v>11</v>
      </c>
      <c r="D2854" s="17" t="s">
        <v>12</v>
      </c>
      <c r="E2854" s="17" t="s">
        <v>13</v>
      </c>
      <c r="F2854" s="16" t="s">
        <v>8920</v>
      </c>
    </row>
    <row r="2855" spans="1:6" x14ac:dyDescent="0.25">
      <c r="A2855" s="16" t="s">
        <v>8921</v>
      </c>
      <c r="B2855" s="17" t="s">
        <v>8922</v>
      </c>
      <c r="C2855" s="17" t="s">
        <v>11</v>
      </c>
      <c r="D2855" s="17" t="s">
        <v>291</v>
      </c>
      <c r="E2855" s="17" t="s">
        <v>20</v>
      </c>
      <c r="F2855" s="16" t="s">
        <v>8923</v>
      </c>
    </row>
    <row r="2856" spans="1:6" x14ac:dyDescent="0.25">
      <c r="A2856" s="16" t="s">
        <v>8924</v>
      </c>
      <c r="B2856" s="17" t="s">
        <v>8925</v>
      </c>
      <c r="C2856" s="17" t="s">
        <v>11</v>
      </c>
      <c r="D2856" s="17" t="s">
        <v>250</v>
      </c>
      <c r="E2856" s="17" t="s">
        <v>20</v>
      </c>
      <c r="F2856" s="16" t="s">
        <v>8926</v>
      </c>
    </row>
    <row r="2857" spans="1:6" x14ac:dyDescent="0.25">
      <c r="A2857" s="16" t="s">
        <v>8927</v>
      </c>
      <c r="B2857" s="17" t="s">
        <v>8928</v>
      </c>
      <c r="C2857" s="17" t="s">
        <v>11</v>
      </c>
      <c r="D2857" s="17" t="s">
        <v>32</v>
      </c>
      <c r="E2857" s="17" t="s">
        <v>20</v>
      </c>
      <c r="F2857" s="16" t="s">
        <v>8929</v>
      </c>
    </row>
    <row r="2858" spans="1:6" x14ac:dyDescent="0.25">
      <c r="A2858" s="16" t="s">
        <v>8930</v>
      </c>
      <c r="B2858" s="17" t="s">
        <v>8931</v>
      </c>
      <c r="C2858" s="17" t="s">
        <v>11</v>
      </c>
      <c r="D2858" s="17" t="s">
        <v>89</v>
      </c>
      <c r="E2858" s="17" t="s">
        <v>20</v>
      </c>
      <c r="F2858" s="16" t="s">
        <v>8932</v>
      </c>
    </row>
    <row r="2859" spans="1:6" x14ac:dyDescent="0.25">
      <c r="A2859" s="16" t="s">
        <v>8933</v>
      </c>
      <c r="B2859" s="17" t="s">
        <v>8934</v>
      </c>
      <c r="C2859" s="17" t="s">
        <v>11</v>
      </c>
      <c r="D2859" s="17" t="s">
        <v>12</v>
      </c>
      <c r="E2859" s="17" t="s">
        <v>13</v>
      </c>
      <c r="F2859" s="16" t="s">
        <v>8935</v>
      </c>
    </row>
    <row r="2860" spans="1:6" x14ac:dyDescent="0.25">
      <c r="A2860" s="16" t="s">
        <v>8936</v>
      </c>
      <c r="B2860" s="17" t="s">
        <v>8937</v>
      </c>
      <c r="C2860" s="17" t="s">
        <v>11</v>
      </c>
      <c r="D2860" s="17" t="s">
        <v>148</v>
      </c>
      <c r="E2860" s="17" t="s">
        <v>20</v>
      </c>
      <c r="F2860" s="16" t="s">
        <v>8938</v>
      </c>
    </row>
    <row r="2861" spans="1:6" x14ac:dyDescent="0.25">
      <c r="A2861" s="16" t="s">
        <v>8939</v>
      </c>
      <c r="B2861" s="17" t="s">
        <v>8940</v>
      </c>
      <c r="C2861" s="17" t="s">
        <v>1235</v>
      </c>
      <c r="D2861" s="17" t="s">
        <v>1236</v>
      </c>
      <c r="E2861" s="17" t="s">
        <v>1237</v>
      </c>
      <c r="F2861" s="16" t="s">
        <v>8941</v>
      </c>
    </row>
    <row r="2862" spans="1:6" x14ac:dyDescent="0.25">
      <c r="A2862" s="16" t="s">
        <v>8942</v>
      </c>
      <c r="B2862" s="17" t="s">
        <v>8943</v>
      </c>
      <c r="C2862" s="17" t="s">
        <v>11</v>
      </c>
      <c r="D2862" s="17" t="s">
        <v>32</v>
      </c>
      <c r="E2862" s="17" t="s">
        <v>20</v>
      </c>
      <c r="F2862" s="16" t="s">
        <v>8944</v>
      </c>
    </row>
    <row r="2863" spans="1:6" x14ac:dyDescent="0.25">
      <c r="A2863" s="16" t="s">
        <v>8945</v>
      </c>
      <c r="B2863" s="17" t="s">
        <v>8946</v>
      </c>
      <c r="C2863" s="17" t="s">
        <v>11</v>
      </c>
      <c r="D2863" s="17" t="s">
        <v>19</v>
      </c>
      <c r="E2863" s="17" t="s">
        <v>20</v>
      </c>
      <c r="F2863" s="16" t="s">
        <v>8947</v>
      </c>
    </row>
    <row r="2864" spans="1:6" x14ac:dyDescent="0.25">
      <c r="A2864" s="16" t="s">
        <v>8948</v>
      </c>
      <c r="B2864" s="17" t="s">
        <v>8949</v>
      </c>
      <c r="C2864" s="17" t="s">
        <v>11</v>
      </c>
      <c r="D2864" s="17" t="s">
        <v>32</v>
      </c>
      <c r="E2864" s="17" t="s">
        <v>20</v>
      </c>
      <c r="F2864" s="16" t="s">
        <v>8950</v>
      </c>
    </row>
    <row r="2865" spans="1:6" x14ac:dyDescent="0.25">
      <c r="A2865" s="16" t="s">
        <v>8951</v>
      </c>
      <c r="B2865" s="17" t="s">
        <v>8952</v>
      </c>
      <c r="C2865" s="17" t="s">
        <v>11</v>
      </c>
      <c r="D2865" s="17" t="s">
        <v>32</v>
      </c>
      <c r="E2865" s="17" t="s">
        <v>20</v>
      </c>
      <c r="F2865" s="16" t="s">
        <v>8953</v>
      </c>
    </row>
    <row r="2866" spans="1:6" x14ac:dyDescent="0.25">
      <c r="A2866" s="16" t="s">
        <v>8954</v>
      </c>
      <c r="B2866" s="17" t="s">
        <v>8955</v>
      </c>
      <c r="C2866" s="17" t="s">
        <v>11</v>
      </c>
      <c r="D2866" s="17" t="s">
        <v>12</v>
      </c>
      <c r="E2866" s="17" t="s">
        <v>13</v>
      </c>
      <c r="F2866" s="16" t="s">
        <v>8956</v>
      </c>
    </row>
    <row r="2867" spans="1:6" x14ac:dyDescent="0.25">
      <c r="A2867" s="16" t="s">
        <v>8957</v>
      </c>
      <c r="B2867" s="17" t="s">
        <v>8958</v>
      </c>
      <c r="C2867" s="17" t="s">
        <v>11</v>
      </c>
      <c r="D2867" s="17" t="s">
        <v>32</v>
      </c>
      <c r="E2867" s="17" t="s">
        <v>20</v>
      </c>
      <c r="F2867" s="16" t="s">
        <v>8959</v>
      </c>
    </row>
    <row r="2868" spans="1:6" x14ac:dyDescent="0.25">
      <c r="A2868" s="16" t="s">
        <v>8960</v>
      </c>
      <c r="B2868" s="17" t="s">
        <v>8961</v>
      </c>
      <c r="C2868" s="17" t="s">
        <v>11</v>
      </c>
      <c r="D2868" s="17" t="s">
        <v>74</v>
      </c>
      <c r="E2868" s="17" t="s">
        <v>20</v>
      </c>
      <c r="F2868" s="16" t="s">
        <v>8962</v>
      </c>
    </row>
    <row r="2869" spans="1:6" x14ac:dyDescent="0.25">
      <c r="A2869" s="16" t="s">
        <v>8963</v>
      </c>
      <c r="B2869" s="17" t="s">
        <v>8964</v>
      </c>
      <c r="C2869" s="17" t="s">
        <v>11</v>
      </c>
      <c r="D2869" s="17" t="s">
        <v>182</v>
      </c>
      <c r="E2869" s="17" t="s">
        <v>20</v>
      </c>
      <c r="F2869" s="16" t="s">
        <v>8965</v>
      </c>
    </row>
    <row r="2870" spans="1:6" x14ac:dyDescent="0.25">
      <c r="A2870" s="16" t="s">
        <v>8966</v>
      </c>
      <c r="B2870" s="17" t="s">
        <v>8967</v>
      </c>
      <c r="C2870" s="17" t="s">
        <v>11</v>
      </c>
      <c r="D2870" s="17" t="s">
        <v>68</v>
      </c>
      <c r="E2870" s="17" t="s">
        <v>20</v>
      </c>
      <c r="F2870" s="16" t="s">
        <v>8968</v>
      </c>
    </row>
    <row r="2871" spans="1:6" x14ac:dyDescent="0.25">
      <c r="A2871" s="16" t="s">
        <v>8969</v>
      </c>
      <c r="B2871" s="17" t="s">
        <v>8970</v>
      </c>
      <c r="C2871" s="17" t="s">
        <v>11</v>
      </c>
      <c r="D2871" s="17" t="s">
        <v>12</v>
      </c>
      <c r="E2871" s="17" t="s">
        <v>13</v>
      </c>
      <c r="F2871" s="16" t="s">
        <v>8971</v>
      </c>
    </row>
    <row r="2872" spans="1:6" x14ac:dyDescent="0.25">
      <c r="A2872" s="16" t="s">
        <v>8972</v>
      </c>
      <c r="B2872" s="17" t="s">
        <v>8973</v>
      </c>
      <c r="C2872" s="17" t="s">
        <v>11</v>
      </c>
      <c r="D2872" s="17" t="s">
        <v>182</v>
      </c>
      <c r="E2872" s="17" t="s">
        <v>20</v>
      </c>
      <c r="F2872" s="16" t="s">
        <v>8974</v>
      </c>
    </row>
    <row r="2873" spans="1:6" x14ac:dyDescent="0.25">
      <c r="A2873" s="16" t="s">
        <v>8975</v>
      </c>
      <c r="B2873" s="17" t="s">
        <v>8976</v>
      </c>
      <c r="C2873" s="17" t="s">
        <v>11</v>
      </c>
      <c r="D2873" s="17" t="s">
        <v>74</v>
      </c>
      <c r="E2873" s="17" t="s">
        <v>20</v>
      </c>
      <c r="F2873" s="16" t="s">
        <v>8977</v>
      </c>
    </row>
    <row r="2874" spans="1:6" x14ac:dyDescent="0.25">
      <c r="A2874" s="16" t="s">
        <v>8978</v>
      </c>
      <c r="B2874" s="17" t="s">
        <v>8979</v>
      </c>
      <c r="C2874" s="17" t="s">
        <v>11</v>
      </c>
      <c r="D2874" s="17" t="s">
        <v>32</v>
      </c>
      <c r="E2874" s="17" t="s">
        <v>20</v>
      </c>
      <c r="F2874" s="16" t="s">
        <v>8980</v>
      </c>
    </row>
    <row r="2875" spans="1:6" x14ac:dyDescent="0.25">
      <c r="A2875" s="16" t="s">
        <v>8981</v>
      </c>
      <c r="B2875" s="17" t="s">
        <v>8982</v>
      </c>
      <c r="C2875" s="17" t="s">
        <v>11</v>
      </c>
      <c r="D2875" s="17" t="s">
        <v>32</v>
      </c>
      <c r="E2875" s="17" t="s">
        <v>20</v>
      </c>
      <c r="F2875" s="16" t="s">
        <v>8983</v>
      </c>
    </row>
    <row r="2876" spans="1:6" x14ac:dyDescent="0.25">
      <c r="A2876" s="16" t="s">
        <v>8984</v>
      </c>
      <c r="B2876" s="17" t="s">
        <v>8985</v>
      </c>
      <c r="C2876" s="17" t="s">
        <v>214</v>
      </c>
      <c r="D2876" s="17" t="s">
        <v>32</v>
      </c>
      <c r="E2876" s="17" t="s">
        <v>20</v>
      </c>
      <c r="F2876" s="16" t="s">
        <v>8986</v>
      </c>
    </row>
    <row r="2877" spans="1:6" x14ac:dyDescent="0.25">
      <c r="A2877" s="16" t="s">
        <v>8987</v>
      </c>
      <c r="B2877" s="17" t="s">
        <v>8988</v>
      </c>
      <c r="C2877" s="17" t="s">
        <v>11</v>
      </c>
      <c r="D2877" s="17" t="s">
        <v>19</v>
      </c>
      <c r="E2877" s="17" t="s">
        <v>20</v>
      </c>
      <c r="F2877" s="16" t="s">
        <v>8989</v>
      </c>
    </row>
    <row r="2878" spans="1:6" x14ac:dyDescent="0.25">
      <c r="A2878" s="16" t="s">
        <v>8990</v>
      </c>
      <c r="B2878" s="17" t="s">
        <v>8991</v>
      </c>
      <c r="C2878" s="17" t="s">
        <v>11</v>
      </c>
      <c r="D2878" s="17" t="s">
        <v>32</v>
      </c>
      <c r="E2878" s="17" t="s">
        <v>20</v>
      </c>
      <c r="F2878" s="16" t="s">
        <v>8992</v>
      </c>
    </row>
    <row r="2879" spans="1:6" x14ac:dyDescent="0.25">
      <c r="A2879" s="16" t="s">
        <v>8993</v>
      </c>
      <c r="B2879" s="17" t="s">
        <v>8994</v>
      </c>
      <c r="C2879" s="17" t="s">
        <v>11</v>
      </c>
      <c r="D2879" s="17" t="s">
        <v>74</v>
      </c>
      <c r="E2879" s="17" t="s">
        <v>20</v>
      </c>
      <c r="F2879" s="16" t="s">
        <v>8995</v>
      </c>
    </row>
    <row r="2880" spans="1:6" x14ac:dyDescent="0.25">
      <c r="A2880" s="16" t="s">
        <v>8996</v>
      </c>
      <c r="B2880" s="17" t="s">
        <v>8997</v>
      </c>
      <c r="C2880" s="17" t="s">
        <v>11</v>
      </c>
      <c r="D2880" s="17" t="s">
        <v>32</v>
      </c>
      <c r="E2880" s="17" t="s">
        <v>20</v>
      </c>
      <c r="F2880" s="16" t="s">
        <v>8998</v>
      </c>
    </row>
    <row r="2881" spans="1:6" x14ac:dyDescent="0.25">
      <c r="A2881" s="16" t="s">
        <v>8999</v>
      </c>
      <c r="B2881" s="17" t="s">
        <v>9000</v>
      </c>
      <c r="C2881" s="17" t="s">
        <v>11</v>
      </c>
      <c r="D2881" s="17" t="s">
        <v>80</v>
      </c>
      <c r="E2881" s="17" t="s">
        <v>20</v>
      </c>
      <c r="F2881" s="16" t="s">
        <v>9001</v>
      </c>
    </row>
    <row r="2882" spans="1:6" x14ac:dyDescent="0.25">
      <c r="A2882" s="16" t="s">
        <v>9002</v>
      </c>
      <c r="B2882" s="17" t="s">
        <v>9003</v>
      </c>
      <c r="C2882" s="17" t="s">
        <v>11</v>
      </c>
      <c r="D2882" s="17" t="s">
        <v>74</v>
      </c>
      <c r="E2882" s="17" t="s">
        <v>20</v>
      </c>
      <c r="F2882" s="16" t="s">
        <v>9004</v>
      </c>
    </row>
    <row r="2883" spans="1:6" x14ac:dyDescent="0.25">
      <c r="A2883" s="16" t="s">
        <v>9005</v>
      </c>
      <c r="B2883" s="17" t="s">
        <v>9006</v>
      </c>
      <c r="C2883" s="17" t="s">
        <v>11</v>
      </c>
      <c r="D2883" s="17" t="s">
        <v>89</v>
      </c>
      <c r="E2883" s="17" t="s">
        <v>20</v>
      </c>
      <c r="F2883" s="16" t="s">
        <v>9007</v>
      </c>
    </row>
    <row r="2884" spans="1:6" x14ac:dyDescent="0.25">
      <c r="A2884" s="16" t="s">
        <v>9008</v>
      </c>
      <c r="B2884" s="17" t="s">
        <v>9009</v>
      </c>
      <c r="C2884" s="17" t="s">
        <v>11</v>
      </c>
      <c r="D2884" s="17" t="s">
        <v>89</v>
      </c>
      <c r="E2884" s="17" t="s">
        <v>20</v>
      </c>
      <c r="F2884" s="16" t="s">
        <v>9010</v>
      </c>
    </row>
    <row r="2885" spans="1:6" x14ac:dyDescent="0.25">
      <c r="A2885" s="16" t="s">
        <v>9011</v>
      </c>
      <c r="B2885" s="17" t="s">
        <v>9012</v>
      </c>
      <c r="C2885" s="17" t="s">
        <v>11</v>
      </c>
      <c r="D2885" s="17" t="s">
        <v>19</v>
      </c>
      <c r="E2885" s="17" t="s">
        <v>20</v>
      </c>
      <c r="F2885" s="16" t="s">
        <v>9013</v>
      </c>
    </row>
    <row r="2886" spans="1:6" x14ac:dyDescent="0.25">
      <c r="A2886" s="16" t="s">
        <v>9014</v>
      </c>
      <c r="B2886" s="17" t="s">
        <v>9015</v>
      </c>
      <c r="C2886" s="17" t="s">
        <v>11</v>
      </c>
      <c r="D2886" s="17" t="s">
        <v>26</v>
      </c>
      <c r="E2886" s="17" t="s">
        <v>20</v>
      </c>
      <c r="F2886" s="16" t="s">
        <v>9016</v>
      </c>
    </row>
    <row r="2887" spans="1:6" x14ac:dyDescent="0.25">
      <c r="A2887" s="16" t="s">
        <v>9017</v>
      </c>
      <c r="B2887" s="17" t="s">
        <v>9018</v>
      </c>
      <c r="C2887" s="17" t="s">
        <v>11</v>
      </c>
      <c r="D2887" s="17" t="s">
        <v>32</v>
      </c>
      <c r="E2887" s="17" t="s">
        <v>20</v>
      </c>
      <c r="F2887" s="16" t="s">
        <v>9019</v>
      </c>
    </row>
    <row r="2888" spans="1:6" x14ac:dyDescent="0.25">
      <c r="A2888" s="16" t="s">
        <v>9020</v>
      </c>
      <c r="B2888" s="17" t="s">
        <v>9021</v>
      </c>
      <c r="C2888" s="17" t="s">
        <v>11</v>
      </c>
      <c r="D2888" s="17" t="s">
        <v>32</v>
      </c>
      <c r="E2888" s="17" t="s">
        <v>20</v>
      </c>
      <c r="F2888" s="16" t="s">
        <v>9022</v>
      </c>
    </row>
    <row r="2889" spans="1:6" x14ac:dyDescent="0.25">
      <c r="A2889" s="16" t="s">
        <v>9023</v>
      </c>
      <c r="B2889" s="17" t="s">
        <v>9024</v>
      </c>
      <c r="C2889" s="17" t="s">
        <v>11</v>
      </c>
      <c r="D2889" s="17" t="s">
        <v>32</v>
      </c>
      <c r="E2889" s="17" t="s">
        <v>20</v>
      </c>
      <c r="F2889" s="16" t="s">
        <v>9025</v>
      </c>
    </row>
    <row r="2890" spans="1:6" x14ac:dyDescent="0.25">
      <c r="A2890" s="16" t="s">
        <v>9026</v>
      </c>
      <c r="B2890" s="17" t="s">
        <v>9027</v>
      </c>
      <c r="C2890" s="17" t="s">
        <v>11</v>
      </c>
      <c r="D2890" s="17" t="s">
        <v>148</v>
      </c>
      <c r="E2890" s="17" t="s">
        <v>20</v>
      </c>
      <c r="F2890" s="16" t="s">
        <v>9028</v>
      </c>
    </row>
    <row r="2891" spans="1:6" x14ac:dyDescent="0.25">
      <c r="A2891" s="16" t="s">
        <v>9029</v>
      </c>
      <c r="B2891" s="17" t="s">
        <v>9030</v>
      </c>
      <c r="C2891" s="17" t="s">
        <v>11</v>
      </c>
      <c r="D2891" s="17" t="s">
        <v>250</v>
      </c>
      <c r="E2891" s="17" t="s">
        <v>20</v>
      </c>
      <c r="F2891" s="16" t="s">
        <v>9031</v>
      </c>
    </row>
    <row r="2892" spans="1:6" x14ac:dyDescent="0.25">
      <c r="A2892" s="16" t="s">
        <v>9032</v>
      </c>
      <c r="B2892" s="17" t="s">
        <v>9033</v>
      </c>
      <c r="C2892" s="17" t="s">
        <v>11</v>
      </c>
      <c r="D2892" s="17" t="s">
        <v>570</v>
      </c>
      <c r="E2892" s="17" t="s">
        <v>20</v>
      </c>
      <c r="F2892" s="16" t="s">
        <v>9034</v>
      </c>
    </row>
    <row r="2893" spans="1:6" x14ac:dyDescent="0.25">
      <c r="A2893" s="16" t="s">
        <v>9035</v>
      </c>
      <c r="B2893" s="17" t="s">
        <v>9036</v>
      </c>
      <c r="C2893" s="17" t="s">
        <v>11</v>
      </c>
      <c r="D2893" s="17" t="s">
        <v>182</v>
      </c>
      <c r="E2893" s="17" t="s">
        <v>20</v>
      </c>
      <c r="F2893" s="16" t="s">
        <v>9037</v>
      </c>
    </row>
    <row r="2894" spans="1:6" x14ac:dyDescent="0.25">
      <c r="A2894" s="16" t="s">
        <v>9038</v>
      </c>
      <c r="B2894" s="17" t="s">
        <v>9039</v>
      </c>
      <c r="C2894" s="17" t="s">
        <v>11</v>
      </c>
      <c r="D2894" s="17" t="s">
        <v>74</v>
      </c>
      <c r="E2894" s="17" t="s">
        <v>20</v>
      </c>
      <c r="F2894" s="16" t="s">
        <v>9040</v>
      </c>
    </row>
    <row r="2895" spans="1:6" x14ac:dyDescent="0.25">
      <c r="A2895" s="16" t="s">
        <v>9041</v>
      </c>
      <c r="B2895" s="17" t="s">
        <v>9042</v>
      </c>
      <c r="C2895" s="17" t="s">
        <v>11</v>
      </c>
      <c r="D2895" s="17" t="s">
        <v>250</v>
      </c>
      <c r="E2895" s="17" t="s">
        <v>20</v>
      </c>
      <c r="F2895" s="16" t="s">
        <v>9043</v>
      </c>
    </row>
    <row r="2896" spans="1:6" x14ac:dyDescent="0.25">
      <c r="A2896" s="16" t="s">
        <v>9044</v>
      </c>
      <c r="B2896" s="17" t="s">
        <v>9045</v>
      </c>
      <c r="C2896" s="17" t="s">
        <v>11</v>
      </c>
      <c r="D2896" s="17" t="s">
        <v>68</v>
      </c>
      <c r="E2896" s="17" t="s">
        <v>20</v>
      </c>
      <c r="F2896" s="16" t="s">
        <v>9046</v>
      </c>
    </row>
    <row r="2897" spans="1:6" x14ac:dyDescent="0.25">
      <c r="A2897" s="16" t="s">
        <v>9047</v>
      </c>
      <c r="B2897" s="17" t="s">
        <v>9048</v>
      </c>
      <c r="C2897" s="17" t="s">
        <v>11</v>
      </c>
      <c r="D2897" s="17" t="s">
        <v>80</v>
      </c>
      <c r="E2897" s="17" t="s">
        <v>20</v>
      </c>
      <c r="F2897" s="16" t="s">
        <v>9049</v>
      </c>
    </row>
    <row r="2898" spans="1:6" x14ac:dyDescent="0.25">
      <c r="A2898" s="16" t="s">
        <v>9050</v>
      </c>
      <c r="B2898" s="17" t="s">
        <v>9051</v>
      </c>
      <c r="C2898" s="17" t="s">
        <v>11</v>
      </c>
      <c r="D2898" s="17" t="s">
        <v>32</v>
      </c>
      <c r="E2898" s="17" t="s">
        <v>20</v>
      </c>
      <c r="F2898" s="16" t="s">
        <v>9052</v>
      </c>
    </row>
    <row r="2899" spans="1:6" x14ac:dyDescent="0.25">
      <c r="A2899" s="16" t="s">
        <v>9053</v>
      </c>
      <c r="B2899" s="17" t="s">
        <v>9054</v>
      </c>
      <c r="C2899" s="17" t="s">
        <v>11</v>
      </c>
      <c r="D2899" s="17" t="s">
        <v>32</v>
      </c>
      <c r="E2899" s="17" t="s">
        <v>20</v>
      </c>
      <c r="F2899" s="16" t="s">
        <v>9055</v>
      </c>
    </row>
    <row r="2900" spans="1:6" x14ac:dyDescent="0.25">
      <c r="A2900" s="16" t="s">
        <v>9056</v>
      </c>
      <c r="B2900" s="17" t="s">
        <v>9057</v>
      </c>
      <c r="C2900" s="17" t="s">
        <v>11</v>
      </c>
      <c r="D2900" s="17" t="s">
        <v>12</v>
      </c>
      <c r="E2900" s="17" t="s">
        <v>13</v>
      </c>
      <c r="F2900" s="16" t="s">
        <v>9058</v>
      </c>
    </row>
    <row r="2901" spans="1:6" x14ac:dyDescent="0.25">
      <c r="A2901" s="16" t="s">
        <v>9059</v>
      </c>
      <c r="B2901" s="17" t="s">
        <v>9060</v>
      </c>
      <c r="C2901" s="17" t="s">
        <v>11</v>
      </c>
      <c r="D2901" s="17" t="s">
        <v>186</v>
      </c>
      <c r="E2901" s="17" t="s">
        <v>20</v>
      </c>
      <c r="F2901" s="16" t="s">
        <v>9061</v>
      </c>
    </row>
    <row r="2902" spans="1:6" x14ac:dyDescent="0.25">
      <c r="A2902" s="16" t="s">
        <v>9062</v>
      </c>
      <c r="B2902" s="17" t="s">
        <v>9063</v>
      </c>
      <c r="C2902" s="17" t="s">
        <v>11</v>
      </c>
      <c r="D2902" s="17" t="s">
        <v>182</v>
      </c>
      <c r="E2902" s="17" t="s">
        <v>20</v>
      </c>
      <c r="F2902" s="16" t="s">
        <v>9064</v>
      </c>
    </row>
    <row r="2903" spans="1:6" x14ac:dyDescent="0.25">
      <c r="A2903" s="16" t="s">
        <v>9065</v>
      </c>
      <c r="B2903" s="17" t="s">
        <v>9066</v>
      </c>
      <c r="C2903" s="17" t="s">
        <v>11</v>
      </c>
      <c r="D2903" s="17" t="s">
        <v>74</v>
      </c>
      <c r="E2903" s="17" t="s">
        <v>20</v>
      </c>
      <c r="F2903" s="16" t="s">
        <v>9067</v>
      </c>
    </row>
    <row r="2904" spans="1:6" x14ac:dyDescent="0.25">
      <c r="A2904" s="16" t="s">
        <v>9068</v>
      </c>
      <c r="B2904" s="17" t="s">
        <v>9069</v>
      </c>
      <c r="C2904" s="17" t="s">
        <v>11</v>
      </c>
      <c r="D2904" s="17" t="s">
        <v>233</v>
      </c>
      <c r="E2904" s="17" t="s">
        <v>20</v>
      </c>
      <c r="F2904" s="16" t="s">
        <v>9070</v>
      </c>
    </row>
    <row r="2905" spans="1:6" x14ac:dyDescent="0.25">
      <c r="A2905" s="16" t="s">
        <v>9071</v>
      </c>
      <c r="B2905" s="17" t="s">
        <v>9072</v>
      </c>
      <c r="C2905" s="17" t="s">
        <v>11</v>
      </c>
      <c r="D2905" s="17" t="s">
        <v>182</v>
      </c>
      <c r="E2905" s="17" t="s">
        <v>20</v>
      </c>
      <c r="F2905" s="16" t="s">
        <v>9073</v>
      </c>
    </row>
    <row r="2906" spans="1:6" x14ac:dyDescent="0.25">
      <c r="A2906" s="16" t="s">
        <v>9074</v>
      </c>
      <c r="B2906" s="17" t="s">
        <v>9075</v>
      </c>
      <c r="C2906" s="17" t="s">
        <v>11</v>
      </c>
      <c r="D2906" s="17" t="s">
        <v>148</v>
      </c>
      <c r="E2906" s="17" t="s">
        <v>20</v>
      </c>
      <c r="F2906" s="16" t="s">
        <v>9076</v>
      </c>
    </row>
    <row r="2907" spans="1:6" x14ac:dyDescent="0.25">
      <c r="A2907" s="16" t="s">
        <v>9077</v>
      </c>
      <c r="B2907" s="17" t="s">
        <v>9078</v>
      </c>
      <c r="C2907" s="17" t="s">
        <v>11</v>
      </c>
      <c r="D2907" s="17" t="s">
        <v>83</v>
      </c>
      <c r="E2907" s="17" t="s">
        <v>20</v>
      </c>
      <c r="F2907" s="16" t="s">
        <v>9079</v>
      </c>
    </row>
    <row r="2908" spans="1:6" x14ac:dyDescent="0.25">
      <c r="A2908" s="16" t="s">
        <v>9080</v>
      </c>
      <c r="B2908" s="17" t="s">
        <v>9081</v>
      </c>
      <c r="C2908" s="17" t="s">
        <v>11</v>
      </c>
      <c r="D2908" s="17" t="s">
        <v>83</v>
      </c>
      <c r="E2908" s="17" t="s">
        <v>20</v>
      </c>
      <c r="F2908" s="16" t="s">
        <v>9082</v>
      </c>
    </row>
    <row r="2909" spans="1:6" x14ac:dyDescent="0.25">
      <c r="A2909" s="16" t="s">
        <v>9083</v>
      </c>
      <c r="B2909" s="17" t="s">
        <v>9084</v>
      </c>
      <c r="C2909" s="17" t="s">
        <v>11</v>
      </c>
      <c r="D2909" s="17" t="s">
        <v>74</v>
      </c>
      <c r="E2909" s="17" t="s">
        <v>20</v>
      </c>
      <c r="F2909" s="16" t="s">
        <v>9085</v>
      </c>
    </row>
    <row r="2910" spans="1:6" x14ac:dyDescent="0.25">
      <c r="A2910" s="16" t="s">
        <v>9086</v>
      </c>
      <c r="B2910" s="17" t="s">
        <v>9087</v>
      </c>
      <c r="C2910" s="17" t="s">
        <v>11</v>
      </c>
      <c r="D2910" s="17" t="s">
        <v>26</v>
      </c>
      <c r="E2910" s="17" t="s">
        <v>20</v>
      </c>
      <c r="F2910" s="16" t="s">
        <v>9088</v>
      </c>
    </row>
    <row r="2911" spans="1:6" x14ac:dyDescent="0.25">
      <c r="A2911" s="16" t="s">
        <v>9089</v>
      </c>
      <c r="B2911" s="17" t="s">
        <v>9090</v>
      </c>
      <c r="C2911" s="17" t="s">
        <v>11</v>
      </c>
      <c r="D2911" s="17" t="s">
        <v>32</v>
      </c>
      <c r="E2911" s="17" t="s">
        <v>20</v>
      </c>
      <c r="F2911" s="16" t="s">
        <v>9091</v>
      </c>
    </row>
    <row r="2912" spans="1:6" x14ac:dyDescent="0.25">
      <c r="A2912" s="16" t="s">
        <v>9092</v>
      </c>
      <c r="B2912" s="17" t="s">
        <v>9093</v>
      </c>
      <c r="C2912" s="17" t="s">
        <v>11</v>
      </c>
      <c r="D2912" s="17" t="s">
        <v>32</v>
      </c>
      <c r="E2912" s="17" t="s">
        <v>20</v>
      </c>
      <c r="F2912" s="16" t="s">
        <v>9094</v>
      </c>
    </row>
    <row r="2913" spans="1:6" x14ac:dyDescent="0.25">
      <c r="A2913" s="16" t="s">
        <v>9095</v>
      </c>
      <c r="B2913" s="17" t="s">
        <v>9096</v>
      </c>
      <c r="C2913" s="17" t="s">
        <v>11</v>
      </c>
      <c r="D2913" s="17" t="s">
        <v>32</v>
      </c>
      <c r="E2913" s="17" t="s">
        <v>20</v>
      </c>
      <c r="F2913" s="16" t="s">
        <v>9097</v>
      </c>
    </row>
    <row r="2914" spans="1:6" x14ac:dyDescent="0.25">
      <c r="A2914" s="16" t="s">
        <v>9098</v>
      </c>
      <c r="B2914" s="17" t="s">
        <v>9099</v>
      </c>
      <c r="C2914" s="17" t="s">
        <v>11</v>
      </c>
      <c r="D2914" s="17" t="s">
        <v>80</v>
      </c>
      <c r="E2914" s="17" t="s">
        <v>20</v>
      </c>
      <c r="F2914" s="16" t="s">
        <v>9100</v>
      </c>
    </row>
    <row r="2915" spans="1:6" x14ac:dyDescent="0.25">
      <c r="A2915" s="16" t="s">
        <v>9101</v>
      </c>
      <c r="B2915" s="17" t="s">
        <v>9102</v>
      </c>
      <c r="C2915" s="17" t="s">
        <v>11</v>
      </c>
      <c r="D2915" s="17" t="s">
        <v>32</v>
      </c>
      <c r="E2915" s="17" t="s">
        <v>20</v>
      </c>
      <c r="F2915" s="16" t="s">
        <v>9103</v>
      </c>
    </row>
    <row r="2916" spans="1:6" x14ac:dyDescent="0.25">
      <c r="A2916" s="16" t="s">
        <v>9104</v>
      </c>
      <c r="B2916" s="17" t="s">
        <v>9105</v>
      </c>
      <c r="C2916" s="17" t="s">
        <v>11</v>
      </c>
      <c r="D2916" s="17" t="s">
        <v>148</v>
      </c>
      <c r="E2916" s="17" t="s">
        <v>20</v>
      </c>
      <c r="F2916" s="16" t="s">
        <v>9106</v>
      </c>
    </row>
    <row r="2917" spans="1:6" x14ac:dyDescent="0.25">
      <c r="A2917" s="16" t="s">
        <v>9107</v>
      </c>
      <c r="B2917" s="17" t="s">
        <v>9108</v>
      </c>
      <c r="C2917" s="17" t="s">
        <v>11</v>
      </c>
      <c r="D2917" s="17" t="s">
        <v>32</v>
      </c>
      <c r="E2917" s="17" t="s">
        <v>20</v>
      </c>
      <c r="F2917" s="16" t="s">
        <v>9109</v>
      </c>
    </row>
    <row r="2918" spans="1:6" x14ac:dyDescent="0.25">
      <c r="A2918" s="16" t="s">
        <v>9110</v>
      </c>
      <c r="B2918" s="17" t="s">
        <v>9111</v>
      </c>
      <c r="C2918" s="17" t="s">
        <v>11</v>
      </c>
      <c r="D2918" s="17" t="s">
        <v>32</v>
      </c>
      <c r="E2918" s="17" t="s">
        <v>20</v>
      </c>
      <c r="F2918" s="16" t="s">
        <v>9112</v>
      </c>
    </row>
    <row r="2919" spans="1:6" x14ac:dyDescent="0.25">
      <c r="A2919" s="16" t="s">
        <v>9113</v>
      </c>
      <c r="B2919" s="17" t="s">
        <v>9114</v>
      </c>
      <c r="C2919" s="17" t="s">
        <v>11</v>
      </c>
      <c r="D2919" s="17" t="s">
        <v>83</v>
      </c>
      <c r="E2919" s="17" t="s">
        <v>20</v>
      </c>
      <c r="F2919" s="16" t="s">
        <v>9115</v>
      </c>
    </row>
    <row r="2920" spans="1:6" x14ac:dyDescent="0.25">
      <c r="A2920" s="16" t="s">
        <v>9116</v>
      </c>
      <c r="B2920" s="17" t="s">
        <v>9117</v>
      </c>
      <c r="C2920" s="17" t="s">
        <v>11</v>
      </c>
      <c r="D2920" s="17" t="s">
        <v>32</v>
      </c>
      <c r="E2920" s="17" t="s">
        <v>20</v>
      </c>
      <c r="F2920" s="16" t="s">
        <v>9118</v>
      </c>
    </row>
    <row r="2921" spans="1:6" x14ac:dyDescent="0.25">
      <c r="A2921" s="16" t="s">
        <v>9119</v>
      </c>
      <c r="B2921" s="17" t="s">
        <v>9120</v>
      </c>
      <c r="C2921" s="17" t="s">
        <v>11</v>
      </c>
      <c r="D2921" s="17" t="s">
        <v>80</v>
      </c>
      <c r="E2921" s="17" t="s">
        <v>20</v>
      </c>
      <c r="F2921" s="16" t="s">
        <v>9121</v>
      </c>
    </row>
    <row r="2922" spans="1:6" x14ac:dyDescent="0.25">
      <c r="A2922" s="16" t="s">
        <v>9122</v>
      </c>
      <c r="B2922" s="17" t="s">
        <v>9123</v>
      </c>
      <c r="C2922" s="17" t="s">
        <v>11</v>
      </c>
      <c r="D2922" s="17" t="s">
        <v>36</v>
      </c>
      <c r="E2922" s="17" t="s">
        <v>20</v>
      </c>
      <c r="F2922" s="16" t="s">
        <v>9124</v>
      </c>
    </row>
    <row r="2923" spans="1:6" x14ac:dyDescent="0.25">
      <c r="A2923" s="16" t="s">
        <v>9125</v>
      </c>
      <c r="B2923" s="17" t="s">
        <v>9126</v>
      </c>
      <c r="C2923" s="17" t="s">
        <v>11</v>
      </c>
      <c r="D2923" s="17" t="s">
        <v>83</v>
      </c>
      <c r="E2923" s="17" t="s">
        <v>20</v>
      </c>
      <c r="F2923" s="16" t="s">
        <v>9127</v>
      </c>
    </row>
    <row r="2924" spans="1:6" x14ac:dyDescent="0.25">
      <c r="A2924" s="16" t="s">
        <v>9128</v>
      </c>
      <c r="B2924" s="17" t="s">
        <v>9129</v>
      </c>
      <c r="C2924" s="17" t="s">
        <v>11</v>
      </c>
      <c r="D2924" s="17" t="s">
        <v>291</v>
      </c>
      <c r="E2924" s="17" t="s">
        <v>20</v>
      </c>
      <c r="F2924" s="16" t="s">
        <v>9130</v>
      </c>
    </row>
    <row r="2925" spans="1:6" x14ac:dyDescent="0.25">
      <c r="A2925" s="16" t="s">
        <v>9131</v>
      </c>
      <c r="B2925" s="17" t="s">
        <v>9132</v>
      </c>
      <c r="C2925" s="17" t="s">
        <v>11</v>
      </c>
      <c r="D2925" s="17" t="s">
        <v>74</v>
      </c>
      <c r="E2925" s="17" t="s">
        <v>20</v>
      </c>
      <c r="F2925" s="16" t="s">
        <v>9133</v>
      </c>
    </row>
    <row r="2926" spans="1:6" x14ac:dyDescent="0.25">
      <c r="A2926" s="16" t="s">
        <v>9134</v>
      </c>
      <c r="B2926" s="17" t="s">
        <v>9135</v>
      </c>
      <c r="C2926" s="17" t="s">
        <v>11</v>
      </c>
      <c r="D2926" s="17" t="s">
        <v>250</v>
      </c>
      <c r="E2926" s="17" t="s">
        <v>20</v>
      </c>
      <c r="F2926" s="16" t="s">
        <v>9136</v>
      </c>
    </row>
    <row r="2927" spans="1:6" x14ac:dyDescent="0.25">
      <c r="A2927" s="16" t="s">
        <v>9137</v>
      </c>
      <c r="B2927" s="17" t="s">
        <v>9138</v>
      </c>
      <c r="C2927" s="17" t="s">
        <v>11</v>
      </c>
      <c r="D2927" s="17" t="s">
        <v>32</v>
      </c>
      <c r="E2927" s="17" t="s">
        <v>20</v>
      </c>
      <c r="F2927" s="16" t="s">
        <v>9139</v>
      </c>
    </row>
    <row r="2928" spans="1:6" x14ac:dyDescent="0.25">
      <c r="A2928" s="16" t="s">
        <v>9140</v>
      </c>
      <c r="B2928" s="17" t="s">
        <v>9141</v>
      </c>
      <c r="C2928" s="17" t="s">
        <v>11</v>
      </c>
      <c r="D2928" s="17" t="s">
        <v>74</v>
      </c>
      <c r="E2928" s="17" t="s">
        <v>20</v>
      </c>
      <c r="F2928" s="16" t="s">
        <v>9142</v>
      </c>
    </row>
    <row r="2929" spans="1:6" x14ac:dyDescent="0.25">
      <c r="A2929" s="16" t="s">
        <v>9143</v>
      </c>
      <c r="B2929" s="17" t="s">
        <v>9144</v>
      </c>
      <c r="C2929" s="17" t="s">
        <v>11</v>
      </c>
      <c r="D2929" s="17" t="s">
        <v>250</v>
      </c>
      <c r="E2929" s="17" t="s">
        <v>20</v>
      </c>
      <c r="F2929" s="16" t="s">
        <v>9145</v>
      </c>
    </row>
    <row r="2930" spans="1:6" x14ac:dyDescent="0.25">
      <c r="A2930" s="16" t="s">
        <v>9146</v>
      </c>
      <c r="B2930" s="17" t="s">
        <v>9147</v>
      </c>
      <c r="C2930" s="17" t="s">
        <v>11</v>
      </c>
      <c r="D2930" s="17" t="s">
        <v>74</v>
      </c>
      <c r="E2930" s="17" t="s">
        <v>20</v>
      </c>
      <c r="F2930" s="16" t="s">
        <v>9148</v>
      </c>
    </row>
    <row r="2931" spans="1:6" x14ac:dyDescent="0.25">
      <c r="A2931" s="16" t="s">
        <v>9149</v>
      </c>
      <c r="B2931" s="17" t="s">
        <v>9150</v>
      </c>
      <c r="C2931" s="17" t="s">
        <v>11</v>
      </c>
      <c r="D2931" s="17" t="s">
        <v>32</v>
      </c>
      <c r="E2931" s="17" t="s">
        <v>20</v>
      </c>
      <c r="F2931" s="16" t="s">
        <v>9151</v>
      </c>
    </row>
    <row r="2932" spans="1:6" x14ac:dyDescent="0.25">
      <c r="A2932" s="16" t="s">
        <v>9152</v>
      </c>
      <c r="B2932" s="17" t="s">
        <v>9153</v>
      </c>
      <c r="C2932" s="17" t="s">
        <v>11</v>
      </c>
      <c r="D2932" s="17" t="s">
        <v>74</v>
      </c>
      <c r="E2932" s="17" t="s">
        <v>20</v>
      </c>
      <c r="F2932" s="16" t="s">
        <v>9154</v>
      </c>
    </row>
    <row r="2933" spans="1:6" x14ac:dyDescent="0.25">
      <c r="A2933" s="16" t="s">
        <v>9155</v>
      </c>
      <c r="B2933" s="17" t="s">
        <v>9156</v>
      </c>
      <c r="C2933" s="17" t="s">
        <v>11</v>
      </c>
      <c r="D2933" s="17" t="s">
        <v>12</v>
      </c>
      <c r="E2933" s="17" t="s">
        <v>13</v>
      </c>
      <c r="F2933" s="16" t="s">
        <v>9157</v>
      </c>
    </row>
    <row r="2934" spans="1:6" x14ac:dyDescent="0.25">
      <c r="A2934" s="16" t="s">
        <v>9158</v>
      </c>
      <c r="B2934" s="17" t="s">
        <v>9159</v>
      </c>
      <c r="C2934" s="17" t="s">
        <v>11</v>
      </c>
      <c r="D2934" s="17" t="s">
        <v>12</v>
      </c>
      <c r="E2934" s="17" t="s">
        <v>13</v>
      </c>
      <c r="F2934" s="16" t="s">
        <v>9160</v>
      </c>
    </row>
    <row r="2935" spans="1:6" x14ac:dyDescent="0.25">
      <c r="A2935" s="16" t="s">
        <v>9161</v>
      </c>
      <c r="B2935" s="17" t="s">
        <v>9162</v>
      </c>
      <c r="C2935" s="17" t="s">
        <v>11</v>
      </c>
      <c r="D2935" s="17" t="s">
        <v>12</v>
      </c>
      <c r="E2935" s="17" t="s">
        <v>13</v>
      </c>
      <c r="F2935" s="16" t="s">
        <v>9163</v>
      </c>
    </row>
    <row r="2936" spans="1:6" x14ac:dyDescent="0.25">
      <c r="A2936" s="16" t="s">
        <v>9164</v>
      </c>
      <c r="B2936" s="17" t="s">
        <v>9165</v>
      </c>
      <c r="C2936" s="17" t="s">
        <v>11</v>
      </c>
      <c r="D2936" s="17" t="s">
        <v>83</v>
      </c>
      <c r="E2936" s="17" t="s">
        <v>20</v>
      </c>
      <c r="F2936" s="16" t="s">
        <v>9166</v>
      </c>
    </row>
    <row r="2937" spans="1:6" x14ac:dyDescent="0.25">
      <c r="A2937" s="16" t="s">
        <v>9167</v>
      </c>
      <c r="B2937" s="17" t="s">
        <v>9168</v>
      </c>
      <c r="C2937" s="17" t="s">
        <v>11</v>
      </c>
      <c r="D2937" s="17" t="s">
        <v>80</v>
      </c>
      <c r="E2937" s="17" t="s">
        <v>20</v>
      </c>
      <c r="F2937" s="16" t="s">
        <v>9169</v>
      </c>
    </row>
    <row r="2938" spans="1:6" x14ac:dyDescent="0.25">
      <c r="A2938" s="16" t="s">
        <v>9170</v>
      </c>
      <c r="B2938" s="17" t="s">
        <v>9171</v>
      </c>
      <c r="C2938" s="17" t="s">
        <v>11</v>
      </c>
      <c r="D2938" s="17" t="s">
        <v>250</v>
      </c>
      <c r="E2938" s="17" t="s">
        <v>20</v>
      </c>
      <c r="F2938" s="16" t="s">
        <v>9172</v>
      </c>
    </row>
    <row r="2939" spans="1:6" x14ac:dyDescent="0.25">
      <c r="A2939" s="16" t="s">
        <v>9173</v>
      </c>
      <c r="B2939" s="17" t="s">
        <v>9174</v>
      </c>
      <c r="C2939" s="17" t="s">
        <v>11</v>
      </c>
      <c r="D2939" s="17" t="s">
        <v>74</v>
      </c>
      <c r="E2939" s="17" t="s">
        <v>20</v>
      </c>
      <c r="F2939" s="16" t="s">
        <v>9175</v>
      </c>
    </row>
    <row r="2940" spans="1:6" x14ac:dyDescent="0.25">
      <c r="A2940" s="16" t="s">
        <v>9176</v>
      </c>
      <c r="B2940" s="17" t="s">
        <v>9177</v>
      </c>
      <c r="C2940" s="17" t="s">
        <v>11</v>
      </c>
      <c r="D2940" s="17" t="s">
        <v>250</v>
      </c>
      <c r="E2940" s="17" t="s">
        <v>20</v>
      </c>
      <c r="F2940" s="16" t="s">
        <v>9178</v>
      </c>
    </row>
    <row r="2941" spans="1:6" x14ac:dyDescent="0.25">
      <c r="A2941" s="16" t="s">
        <v>9179</v>
      </c>
      <c r="B2941" s="17" t="s">
        <v>9180</v>
      </c>
      <c r="C2941" s="17" t="s">
        <v>11</v>
      </c>
      <c r="D2941" s="17" t="s">
        <v>570</v>
      </c>
      <c r="E2941" s="17" t="s">
        <v>20</v>
      </c>
      <c r="F2941" s="16" t="s">
        <v>9181</v>
      </c>
    </row>
    <row r="2942" spans="1:6" x14ac:dyDescent="0.25">
      <c r="A2942" s="16" t="s">
        <v>9182</v>
      </c>
      <c r="B2942" s="17" t="s">
        <v>9183</v>
      </c>
      <c r="C2942" s="17" t="s">
        <v>11</v>
      </c>
      <c r="D2942" s="17" t="s">
        <v>9184</v>
      </c>
      <c r="E2942" s="17" t="s">
        <v>1237</v>
      </c>
      <c r="F2942" s="16" t="s">
        <v>9185</v>
      </c>
    </row>
    <row r="2943" spans="1:6" x14ac:dyDescent="0.25">
      <c r="A2943" s="16" t="s">
        <v>9186</v>
      </c>
      <c r="B2943" s="17" t="s">
        <v>9187</v>
      </c>
      <c r="C2943" s="17" t="s">
        <v>11</v>
      </c>
      <c r="D2943" s="17" t="s">
        <v>32</v>
      </c>
      <c r="E2943" s="17" t="s">
        <v>20</v>
      </c>
      <c r="F2943" s="16" t="s">
        <v>9188</v>
      </c>
    </row>
    <row r="2944" spans="1:6" x14ac:dyDescent="0.25">
      <c r="A2944" s="16" t="s">
        <v>9189</v>
      </c>
      <c r="B2944" s="17" t="s">
        <v>9190</v>
      </c>
      <c r="C2944" s="17" t="s">
        <v>11</v>
      </c>
      <c r="D2944" s="17" t="s">
        <v>74</v>
      </c>
      <c r="E2944" s="17" t="s">
        <v>20</v>
      </c>
      <c r="F2944" s="16" t="s">
        <v>9191</v>
      </c>
    </row>
    <row r="2945" spans="1:6" x14ac:dyDescent="0.25">
      <c r="A2945" s="16" t="s">
        <v>9192</v>
      </c>
      <c r="B2945" s="17" t="s">
        <v>9193</v>
      </c>
      <c r="C2945" s="17" t="s">
        <v>11</v>
      </c>
      <c r="D2945" s="17" t="s">
        <v>570</v>
      </c>
      <c r="E2945" s="17" t="s">
        <v>20</v>
      </c>
      <c r="F2945" s="16" t="s">
        <v>9194</v>
      </c>
    </row>
    <row r="2946" spans="1:6" x14ac:dyDescent="0.25">
      <c r="A2946" s="16" t="s">
        <v>9195</v>
      </c>
      <c r="B2946" s="17" t="s">
        <v>9196</v>
      </c>
      <c r="C2946" s="17" t="s">
        <v>11</v>
      </c>
      <c r="D2946" s="17" t="s">
        <v>250</v>
      </c>
      <c r="E2946" s="17" t="s">
        <v>20</v>
      </c>
      <c r="F2946" s="16" t="s">
        <v>9197</v>
      </c>
    </row>
    <row r="2947" spans="1:6" x14ac:dyDescent="0.25">
      <c r="A2947" s="16" t="s">
        <v>9198</v>
      </c>
      <c r="B2947" s="17" t="s">
        <v>9199</v>
      </c>
      <c r="C2947" s="17" t="s">
        <v>11</v>
      </c>
      <c r="D2947" s="17" t="s">
        <v>74</v>
      </c>
      <c r="E2947" s="17" t="s">
        <v>20</v>
      </c>
      <c r="F2947" s="16" t="s">
        <v>9200</v>
      </c>
    </row>
    <row r="2948" spans="1:6" x14ac:dyDescent="0.25">
      <c r="A2948" s="16" t="s">
        <v>9201</v>
      </c>
      <c r="B2948" s="17" t="s">
        <v>9202</v>
      </c>
      <c r="C2948" s="17" t="s">
        <v>11</v>
      </c>
      <c r="D2948" s="17" t="s">
        <v>89</v>
      </c>
      <c r="E2948" s="17" t="s">
        <v>20</v>
      </c>
      <c r="F2948" s="16" t="s">
        <v>9203</v>
      </c>
    </row>
    <row r="2949" spans="1:6" x14ac:dyDescent="0.25">
      <c r="A2949" s="16" t="s">
        <v>9204</v>
      </c>
      <c r="B2949" s="17" t="s">
        <v>9205</v>
      </c>
      <c r="C2949" s="17" t="s">
        <v>11</v>
      </c>
      <c r="D2949" s="17" t="s">
        <v>250</v>
      </c>
      <c r="E2949" s="17" t="s">
        <v>20</v>
      </c>
      <c r="F2949" s="16" t="s">
        <v>9206</v>
      </c>
    </row>
    <row r="2950" spans="1:6" x14ac:dyDescent="0.25">
      <c r="A2950" s="16" t="s">
        <v>9207</v>
      </c>
      <c r="B2950" s="17" t="s">
        <v>9208</v>
      </c>
      <c r="C2950" s="17" t="s">
        <v>11</v>
      </c>
      <c r="D2950" s="17" t="s">
        <v>74</v>
      </c>
      <c r="E2950" s="17" t="s">
        <v>20</v>
      </c>
      <c r="F2950" s="16" t="s">
        <v>9209</v>
      </c>
    </row>
    <row r="2951" spans="1:6" x14ac:dyDescent="0.25">
      <c r="A2951" s="16" t="s">
        <v>9210</v>
      </c>
      <c r="B2951" s="17" t="s">
        <v>9211</v>
      </c>
      <c r="C2951" s="17" t="s">
        <v>11</v>
      </c>
      <c r="D2951" s="17" t="s">
        <v>19</v>
      </c>
      <c r="E2951" s="17" t="s">
        <v>20</v>
      </c>
      <c r="F2951" s="16" t="s">
        <v>9212</v>
      </c>
    </row>
    <row r="2952" spans="1:6" x14ac:dyDescent="0.25">
      <c r="A2952" s="16" t="s">
        <v>9213</v>
      </c>
      <c r="B2952" s="17" t="s">
        <v>9214</v>
      </c>
      <c r="C2952" s="17" t="s">
        <v>11</v>
      </c>
      <c r="D2952" s="17" t="s">
        <v>80</v>
      </c>
      <c r="E2952" s="17" t="s">
        <v>20</v>
      </c>
      <c r="F2952" s="16" t="s">
        <v>9215</v>
      </c>
    </row>
    <row r="2953" spans="1:6" x14ac:dyDescent="0.25">
      <c r="A2953" s="16" t="s">
        <v>9216</v>
      </c>
      <c r="B2953" s="17" t="s">
        <v>9217</v>
      </c>
      <c r="C2953" s="17" t="s">
        <v>11</v>
      </c>
      <c r="D2953" s="17" t="s">
        <v>148</v>
      </c>
      <c r="E2953" s="17" t="s">
        <v>20</v>
      </c>
      <c r="F2953" s="16" t="s">
        <v>9218</v>
      </c>
    </row>
    <row r="2954" spans="1:6" x14ac:dyDescent="0.25">
      <c r="A2954" s="16" t="s">
        <v>9219</v>
      </c>
      <c r="B2954" s="17" t="s">
        <v>9220</v>
      </c>
      <c r="C2954" s="17" t="s">
        <v>11</v>
      </c>
      <c r="D2954" s="17" t="s">
        <v>32</v>
      </c>
      <c r="E2954" s="17" t="s">
        <v>20</v>
      </c>
      <c r="F2954" s="16" t="s">
        <v>9221</v>
      </c>
    </row>
    <row r="2955" spans="1:6" x14ac:dyDescent="0.25">
      <c r="A2955" s="16" t="s">
        <v>9222</v>
      </c>
      <c r="B2955" s="17" t="s">
        <v>9223</v>
      </c>
      <c r="C2955" s="17" t="s">
        <v>11</v>
      </c>
      <c r="D2955" s="17" t="s">
        <v>68</v>
      </c>
      <c r="E2955" s="17" t="s">
        <v>20</v>
      </c>
      <c r="F2955" s="16" t="s">
        <v>9224</v>
      </c>
    </row>
    <row r="2956" spans="1:6" x14ac:dyDescent="0.25">
      <c r="A2956" s="16" t="s">
        <v>9225</v>
      </c>
      <c r="B2956" s="17" t="s">
        <v>9226</v>
      </c>
      <c r="C2956" s="17" t="s">
        <v>11</v>
      </c>
      <c r="D2956" s="17" t="s">
        <v>74</v>
      </c>
      <c r="E2956" s="17" t="s">
        <v>20</v>
      </c>
      <c r="F2956" s="16" t="s">
        <v>9227</v>
      </c>
    </row>
    <row r="2957" spans="1:6" x14ac:dyDescent="0.25">
      <c r="A2957" s="16" t="s">
        <v>9228</v>
      </c>
      <c r="B2957" s="17" t="s">
        <v>9229</v>
      </c>
      <c r="C2957" s="17" t="s">
        <v>359</v>
      </c>
      <c r="D2957" s="17" t="s">
        <v>26</v>
      </c>
      <c r="E2957" s="17" t="s">
        <v>20</v>
      </c>
      <c r="F2957" s="16" t="s">
        <v>9230</v>
      </c>
    </row>
    <row r="2958" spans="1:6" x14ac:dyDescent="0.25">
      <c r="A2958" s="16" t="s">
        <v>9231</v>
      </c>
      <c r="B2958" s="17" t="s">
        <v>9232</v>
      </c>
      <c r="C2958" s="17" t="s">
        <v>11</v>
      </c>
      <c r="D2958" s="17" t="s">
        <v>649</v>
      </c>
      <c r="E2958" s="17" t="s">
        <v>20</v>
      </c>
      <c r="F2958" s="16" t="s">
        <v>9233</v>
      </c>
    </row>
    <row r="2959" spans="1:6" x14ac:dyDescent="0.25">
      <c r="A2959" s="16" t="s">
        <v>9234</v>
      </c>
      <c r="B2959" s="17" t="s">
        <v>9235</v>
      </c>
      <c r="C2959" s="17" t="s">
        <v>11</v>
      </c>
      <c r="D2959" s="17" t="s">
        <v>83</v>
      </c>
      <c r="E2959" s="17" t="s">
        <v>20</v>
      </c>
      <c r="F2959" s="16" t="s">
        <v>9236</v>
      </c>
    </row>
    <row r="2960" spans="1:6" x14ac:dyDescent="0.25">
      <c r="A2960" s="16" t="s">
        <v>9237</v>
      </c>
      <c r="B2960" s="17" t="s">
        <v>9238</v>
      </c>
      <c r="C2960" s="17" t="s">
        <v>11</v>
      </c>
      <c r="D2960" s="17" t="s">
        <v>32</v>
      </c>
      <c r="E2960" s="17" t="s">
        <v>20</v>
      </c>
      <c r="F2960" s="16" t="s">
        <v>9239</v>
      </c>
    </row>
    <row r="2961" spans="1:6" x14ac:dyDescent="0.25">
      <c r="A2961" s="16" t="s">
        <v>9240</v>
      </c>
      <c r="B2961" s="17" t="s">
        <v>9241</v>
      </c>
      <c r="C2961" s="17" t="s">
        <v>11</v>
      </c>
      <c r="D2961" s="17" t="s">
        <v>32</v>
      </c>
      <c r="E2961" s="17" t="s">
        <v>20</v>
      </c>
      <c r="F2961" s="16" t="s">
        <v>9242</v>
      </c>
    </row>
    <row r="2962" spans="1:6" x14ac:dyDescent="0.25">
      <c r="A2962" s="16" t="s">
        <v>9243</v>
      </c>
      <c r="B2962" s="17" t="s">
        <v>9244</v>
      </c>
      <c r="C2962" s="17" t="s">
        <v>11</v>
      </c>
      <c r="D2962" s="17" t="s">
        <v>148</v>
      </c>
      <c r="E2962" s="17" t="s">
        <v>20</v>
      </c>
      <c r="F2962" s="16" t="s">
        <v>9245</v>
      </c>
    </row>
    <row r="2963" spans="1:6" x14ac:dyDescent="0.25">
      <c r="A2963" s="16" t="s">
        <v>9246</v>
      </c>
      <c r="B2963" s="17" t="s">
        <v>9247</v>
      </c>
      <c r="C2963" s="17" t="s">
        <v>11</v>
      </c>
      <c r="D2963" s="17" t="s">
        <v>32</v>
      </c>
      <c r="E2963" s="17" t="s">
        <v>20</v>
      </c>
      <c r="F2963" s="16" t="s">
        <v>9248</v>
      </c>
    </row>
    <row r="2964" spans="1:6" x14ac:dyDescent="0.25">
      <c r="A2964" s="16" t="s">
        <v>9249</v>
      </c>
      <c r="B2964" s="17" t="s">
        <v>9250</v>
      </c>
      <c r="C2964" s="17" t="s">
        <v>11</v>
      </c>
      <c r="D2964" s="17" t="s">
        <v>32</v>
      </c>
      <c r="E2964" s="17" t="s">
        <v>20</v>
      </c>
      <c r="F2964" s="16" t="s">
        <v>9251</v>
      </c>
    </row>
    <row r="2965" spans="1:6" x14ac:dyDescent="0.25">
      <c r="A2965" s="16" t="s">
        <v>9252</v>
      </c>
      <c r="B2965" s="17" t="s">
        <v>9253</v>
      </c>
      <c r="C2965" s="17" t="s">
        <v>11</v>
      </c>
      <c r="D2965" s="17" t="s">
        <v>74</v>
      </c>
      <c r="E2965" s="17" t="s">
        <v>20</v>
      </c>
      <c r="F2965" s="16" t="s">
        <v>9254</v>
      </c>
    </row>
    <row r="2966" spans="1:6" x14ac:dyDescent="0.25">
      <c r="A2966" s="16" t="s">
        <v>9255</v>
      </c>
      <c r="B2966" s="17" t="s">
        <v>9256</v>
      </c>
      <c r="C2966" s="17" t="s">
        <v>11</v>
      </c>
      <c r="D2966" s="17" t="s">
        <v>811</v>
      </c>
      <c r="E2966" s="17" t="s">
        <v>20</v>
      </c>
      <c r="F2966" s="16" t="s">
        <v>9257</v>
      </c>
    </row>
    <row r="2967" spans="1:6" x14ac:dyDescent="0.25">
      <c r="A2967" s="16" t="s">
        <v>9258</v>
      </c>
      <c r="B2967" s="17" t="s">
        <v>9259</v>
      </c>
      <c r="C2967" s="17" t="s">
        <v>11</v>
      </c>
      <c r="D2967" s="17" t="s">
        <v>32</v>
      </c>
      <c r="E2967" s="17" t="s">
        <v>20</v>
      </c>
      <c r="F2967" s="16" t="s">
        <v>9260</v>
      </c>
    </row>
    <row r="2968" spans="1:6" x14ac:dyDescent="0.25">
      <c r="A2968" s="16" t="s">
        <v>9261</v>
      </c>
      <c r="B2968" s="17" t="s">
        <v>9262</v>
      </c>
      <c r="C2968" s="17" t="s">
        <v>11</v>
      </c>
      <c r="D2968" s="17" t="s">
        <v>182</v>
      </c>
      <c r="E2968" s="17" t="s">
        <v>20</v>
      </c>
      <c r="F2968" s="16" t="s">
        <v>9263</v>
      </c>
    </row>
    <row r="2969" spans="1:6" x14ac:dyDescent="0.25">
      <c r="A2969" s="16" t="s">
        <v>9264</v>
      </c>
      <c r="B2969" s="17" t="s">
        <v>9265</v>
      </c>
      <c r="C2969" s="17" t="s">
        <v>11</v>
      </c>
      <c r="D2969" s="17" t="s">
        <v>89</v>
      </c>
      <c r="E2969" s="17" t="s">
        <v>20</v>
      </c>
      <c r="F2969" s="16" t="s">
        <v>9266</v>
      </c>
    </row>
    <row r="2970" spans="1:6" x14ac:dyDescent="0.25">
      <c r="A2970" s="16" t="s">
        <v>9267</v>
      </c>
      <c r="B2970" s="17" t="s">
        <v>9268</v>
      </c>
      <c r="C2970" s="17" t="s">
        <v>11</v>
      </c>
      <c r="D2970" s="17" t="s">
        <v>74</v>
      </c>
      <c r="E2970" s="17" t="s">
        <v>20</v>
      </c>
      <c r="F2970" s="16" t="s">
        <v>9269</v>
      </c>
    </row>
    <row r="2971" spans="1:6" x14ac:dyDescent="0.25">
      <c r="A2971" s="16" t="s">
        <v>9270</v>
      </c>
      <c r="B2971" s="17" t="s">
        <v>9271</v>
      </c>
      <c r="C2971" s="17" t="s">
        <v>11</v>
      </c>
      <c r="D2971" s="17" t="s">
        <v>32</v>
      </c>
      <c r="E2971" s="17" t="s">
        <v>20</v>
      </c>
      <c r="F2971" s="16" t="s">
        <v>9272</v>
      </c>
    </row>
    <row r="2972" spans="1:6" x14ac:dyDescent="0.25">
      <c r="A2972" s="16" t="s">
        <v>9273</v>
      </c>
      <c r="B2972" s="17" t="s">
        <v>9274</v>
      </c>
      <c r="C2972" s="17" t="s">
        <v>11</v>
      </c>
      <c r="D2972" s="17" t="s">
        <v>32</v>
      </c>
      <c r="E2972" s="17" t="s">
        <v>20</v>
      </c>
      <c r="F2972" s="16" t="s">
        <v>9275</v>
      </c>
    </row>
    <row r="2973" spans="1:6" x14ac:dyDescent="0.25">
      <c r="A2973" s="16" t="s">
        <v>9276</v>
      </c>
      <c r="B2973" s="17" t="s">
        <v>9277</v>
      </c>
      <c r="C2973" s="17" t="s">
        <v>11</v>
      </c>
      <c r="D2973" s="17" t="s">
        <v>576</v>
      </c>
      <c r="E2973" s="17" t="s">
        <v>20</v>
      </c>
      <c r="F2973" s="16" t="s">
        <v>9278</v>
      </c>
    </row>
    <row r="2974" spans="1:6" x14ac:dyDescent="0.25">
      <c r="A2974" s="16" t="s">
        <v>9279</v>
      </c>
      <c r="B2974" s="17" t="s">
        <v>9280</v>
      </c>
      <c r="C2974" s="17" t="s">
        <v>11</v>
      </c>
      <c r="D2974" s="17" t="s">
        <v>148</v>
      </c>
      <c r="E2974" s="17" t="s">
        <v>20</v>
      </c>
      <c r="F2974" s="16" t="s">
        <v>9281</v>
      </c>
    </row>
    <row r="2975" spans="1:6" x14ac:dyDescent="0.25">
      <c r="A2975" s="16" t="s">
        <v>9282</v>
      </c>
      <c r="B2975" s="17" t="s">
        <v>9283</v>
      </c>
      <c r="C2975" s="17" t="s">
        <v>11</v>
      </c>
      <c r="D2975" s="17" t="s">
        <v>649</v>
      </c>
      <c r="E2975" s="17" t="s">
        <v>20</v>
      </c>
      <c r="F2975" s="16" t="s">
        <v>9284</v>
      </c>
    </row>
    <row r="2976" spans="1:6" x14ac:dyDescent="0.25">
      <c r="A2976" s="16" t="s">
        <v>9285</v>
      </c>
      <c r="B2976" s="17" t="s">
        <v>9286</v>
      </c>
      <c r="C2976" s="17" t="s">
        <v>214</v>
      </c>
      <c r="D2976" s="17" t="s">
        <v>26</v>
      </c>
      <c r="E2976" s="17" t="s">
        <v>20</v>
      </c>
      <c r="F2976" s="16" t="s">
        <v>9287</v>
      </c>
    </row>
    <row r="2977" spans="1:6" x14ac:dyDescent="0.25">
      <c r="A2977" s="16" t="s">
        <v>9288</v>
      </c>
      <c r="B2977" s="17" t="s">
        <v>9289</v>
      </c>
      <c r="C2977" s="17" t="s">
        <v>11</v>
      </c>
      <c r="D2977" s="17" t="s">
        <v>26</v>
      </c>
      <c r="E2977" s="17" t="s">
        <v>20</v>
      </c>
      <c r="F2977" s="16" t="s">
        <v>9290</v>
      </c>
    </row>
    <row r="2978" spans="1:6" x14ac:dyDescent="0.25">
      <c r="A2978" s="16" t="s">
        <v>9291</v>
      </c>
      <c r="B2978" s="17" t="s">
        <v>9292</v>
      </c>
      <c r="C2978" s="17" t="s">
        <v>11</v>
      </c>
      <c r="D2978" s="17" t="s">
        <v>83</v>
      </c>
      <c r="E2978" s="17" t="s">
        <v>20</v>
      </c>
      <c r="F2978" s="16" t="s">
        <v>9293</v>
      </c>
    </row>
    <row r="2979" spans="1:6" x14ac:dyDescent="0.25">
      <c r="A2979" s="16" t="s">
        <v>9294</v>
      </c>
      <c r="B2979" s="17" t="s">
        <v>9295</v>
      </c>
      <c r="C2979" s="17" t="s">
        <v>11</v>
      </c>
      <c r="D2979" s="17" t="s">
        <v>250</v>
      </c>
      <c r="E2979" s="17" t="s">
        <v>20</v>
      </c>
      <c r="F2979" s="16" t="s">
        <v>9296</v>
      </c>
    </row>
    <row r="2980" spans="1:6" x14ac:dyDescent="0.25">
      <c r="A2980" s="16" t="s">
        <v>9297</v>
      </c>
      <c r="B2980" s="17" t="s">
        <v>9298</v>
      </c>
      <c r="C2980" s="17" t="s">
        <v>11</v>
      </c>
      <c r="D2980" s="17" t="s">
        <v>32</v>
      </c>
      <c r="E2980" s="17" t="s">
        <v>20</v>
      </c>
      <c r="F2980" s="16" t="s">
        <v>9299</v>
      </c>
    </row>
    <row r="2981" spans="1:6" x14ac:dyDescent="0.25">
      <c r="A2981" s="16" t="s">
        <v>9300</v>
      </c>
      <c r="B2981" s="17" t="s">
        <v>9301</v>
      </c>
      <c r="C2981" s="17" t="s">
        <v>11</v>
      </c>
      <c r="D2981" s="17" t="s">
        <v>32</v>
      </c>
      <c r="E2981" s="17" t="s">
        <v>20</v>
      </c>
      <c r="F2981" s="16" t="s">
        <v>9302</v>
      </c>
    </row>
    <row r="2982" spans="1:6" x14ac:dyDescent="0.25">
      <c r="A2982" s="16" t="s">
        <v>9303</v>
      </c>
      <c r="B2982" s="17" t="s">
        <v>9304</v>
      </c>
      <c r="C2982" s="17" t="s">
        <v>11</v>
      </c>
      <c r="D2982" s="17" t="s">
        <v>83</v>
      </c>
      <c r="E2982" s="17" t="s">
        <v>20</v>
      </c>
      <c r="F2982" s="16" t="s">
        <v>9305</v>
      </c>
    </row>
    <row r="2983" spans="1:6" x14ac:dyDescent="0.25">
      <c r="A2983" s="16" t="s">
        <v>9306</v>
      </c>
      <c r="B2983" s="17" t="s">
        <v>9307</v>
      </c>
      <c r="C2983" s="17" t="s">
        <v>11</v>
      </c>
      <c r="D2983" s="17" t="s">
        <v>32</v>
      </c>
      <c r="E2983" s="17" t="s">
        <v>20</v>
      </c>
      <c r="F2983" s="16" t="s">
        <v>9308</v>
      </c>
    </row>
    <row r="2984" spans="1:6" x14ac:dyDescent="0.25">
      <c r="A2984" s="16" t="s">
        <v>9309</v>
      </c>
      <c r="B2984" s="17" t="s">
        <v>9310</v>
      </c>
      <c r="C2984" s="17" t="s">
        <v>11</v>
      </c>
      <c r="D2984" s="17" t="s">
        <v>26</v>
      </c>
      <c r="E2984" s="17" t="s">
        <v>20</v>
      </c>
      <c r="F2984" s="16" t="s">
        <v>9311</v>
      </c>
    </row>
    <row r="2985" spans="1:6" x14ac:dyDescent="0.25">
      <c r="A2985" s="16" t="s">
        <v>9312</v>
      </c>
      <c r="B2985" s="17" t="s">
        <v>9313</v>
      </c>
      <c r="C2985" s="17" t="s">
        <v>11</v>
      </c>
      <c r="D2985" s="17" t="s">
        <v>26</v>
      </c>
      <c r="E2985" s="17" t="s">
        <v>20</v>
      </c>
      <c r="F2985" s="16" t="s">
        <v>9314</v>
      </c>
    </row>
    <row r="2986" spans="1:6" x14ac:dyDescent="0.25">
      <c r="A2986" s="16" t="s">
        <v>9315</v>
      </c>
      <c r="B2986" s="17" t="s">
        <v>9316</v>
      </c>
      <c r="C2986" s="17" t="s">
        <v>11</v>
      </c>
      <c r="D2986" s="17" t="s">
        <v>89</v>
      </c>
      <c r="E2986" s="17" t="s">
        <v>20</v>
      </c>
      <c r="F2986" s="16" t="s">
        <v>9317</v>
      </c>
    </row>
    <row r="2987" spans="1:6" x14ac:dyDescent="0.25">
      <c r="A2987" s="16" t="s">
        <v>9318</v>
      </c>
      <c r="B2987" s="17" t="s">
        <v>9319</v>
      </c>
      <c r="C2987" s="17" t="s">
        <v>11</v>
      </c>
      <c r="D2987" s="17" t="s">
        <v>811</v>
      </c>
      <c r="E2987" s="17" t="s">
        <v>20</v>
      </c>
      <c r="F2987" s="16" t="s">
        <v>9320</v>
      </c>
    </row>
    <row r="2988" spans="1:6" x14ac:dyDescent="0.25">
      <c r="A2988" s="16" t="s">
        <v>9321</v>
      </c>
      <c r="B2988" s="17" t="s">
        <v>9322</v>
      </c>
      <c r="C2988" s="17" t="s">
        <v>11</v>
      </c>
      <c r="D2988" s="17" t="s">
        <v>32</v>
      </c>
      <c r="E2988" s="17" t="s">
        <v>20</v>
      </c>
      <c r="F2988" s="16" t="s">
        <v>9323</v>
      </c>
    </row>
    <row r="2989" spans="1:6" x14ac:dyDescent="0.25">
      <c r="A2989" s="16" t="s">
        <v>9324</v>
      </c>
      <c r="B2989" s="17" t="s">
        <v>9325</v>
      </c>
      <c r="C2989" s="17" t="s">
        <v>11</v>
      </c>
      <c r="D2989" s="17" t="s">
        <v>250</v>
      </c>
      <c r="E2989" s="17" t="s">
        <v>20</v>
      </c>
      <c r="F2989" s="16" t="s">
        <v>9326</v>
      </c>
    </row>
    <row r="2990" spans="1:6" x14ac:dyDescent="0.25">
      <c r="A2990" s="16" t="s">
        <v>9327</v>
      </c>
      <c r="B2990" s="17" t="s">
        <v>9328</v>
      </c>
      <c r="C2990" s="17" t="s">
        <v>11</v>
      </c>
      <c r="D2990" s="17" t="s">
        <v>83</v>
      </c>
      <c r="E2990" s="17" t="s">
        <v>20</v>
      </c>
      <c r="F2990" s="16" t="s">
        <v>9329</v>
      </c>
    </row>
    <row r="2991" spans="1:6" x14ac:dyDescent="0.25">
      <c r="A2991" s="16" t="s">
        <v>9330</v>
      </c>
      <c r="B2991" s="17" t="s">
        <v>9331</v>
      </c>
      <c r="C2991" s="17" t="s">
        <v>1235</v>
      </c>
      <c r="D2991" s="17" t="s">
        <v>9332</v>
      </c>
      <c r="E2991" s="17" t="s">
        <v>1237</v>
      </c>
      <c r="F2991" s="16" t="s">
        <v>9333</v>
      </c>
    </row>
    <row r="2992" spans="1:6" x14ac:dyDescent="0.25">
      <c r="A2992" s="16" t="s">
        <v>9334</v>
      </c>
      <c r="B2992" s="17" t="s">
        <v>9335</v>
      </c>
      <c r="C2992" s="17" t="s">
        <v>11</v>
      </c>
      <c r="D2992" s="17" t="s">
        <v>74</v>
      </c>
      <c r="E2992" s="17" t="s">
        <v>20</v>
      </c>
      <c r="F2992" s="16" t="s">
        <v>9336</v>
      </c>
    </row>
    <row r="2993" spans="1:6" x14ac:dyDescent="0.25">
      <c r="A2993" s="16" t="s">
        <v>9337</v>
      </c>
      <c r="B2993" s="17" t="s">
        <v>9338</v>
      </c>
      <c r="C2993" s="17" t="s">
        <v>11</v>
      </c>
      <c r="D2993" s="17" t="s">
        <v>12</v>
      </c>
      <c r="E2993" s="17" t="s">
        <v>13</v>
      </c>
      <c r="F2993" s="16" t="s">
        <v>9339</v>
      </c>
    </row>
    <row r="2994" spans="1:6" x14ac:dyDescent="0.25">
      <c r="A2994" s="16" t="s">
        <v>9340</v>
      </c>
      <c r="B2994" s="17" t="s">
        <v>9341</v>
      </c>
      <c r="C2994" s="17" t="s">
        <v>11</v>
      </c>
      <c r="D2994" s="17" t="s">
        <v>32</v>
      </c>
      <c r="E2994" s="17" t="s">
        <v>20</v>
      </c>
      <c r="F2994" s="16" t="s">
        <v>9342</v>
      </c>
    </row>
    <row r="2995" spans="1:6" x14ac:dyDescent="0.25">
      <c r="A2995" s="16" t="s">
        <v>9343</v>
      </c>
      <c r="B2995" s="17" t="s">
        <v>9344</v>
      </c>
      <c r="C2995" s="17" t="s">
        <v>11</v>
      </c>
      <c r="D2995" s="17" t="s">
        <v>544</v>
      </c>
      <c r="E2995" s="17" t="s">
        <v>20</v>
      </c>
      <c r="F2995" s="16" t="s">
        <v>9345</v>
      </c>
    </row>
    <row r="2996" spans="1:6" x14ac:dyDescent="0.25">
      <c r="A2996" s="16" t="s">
        <v>9346</v>
      </c>
      <c r="B2996" s="17" t="s">
        <v>9347</v>
      </c>
      <c r="C2996" s="17" t="s">
        <v>11</v>
      </c>
      <c r="D2996" s="17" t="s">
        <v>74</v>
      </c>
      <c r="E2996" s="17" t="s">
        <v>20</v>
      </c>
      <c r="F2996" s="16" t="s">
        <v>9348</v>
      </c>
    </row>
    <row r="2997" spans="1:6" x14ac:dyDescent="0.25">
      <c r="A2997" s="16" t="s">
        <v>9349</v>
      </c>
      <c r="B2997" s="17" t="s">
        <v>9350</v>
      </c>
      <c r="C2997" s="17" t="s">
        <v>11</v>
      </c>
      <c r="D2997" s="17" t="s">
        <v>12</v>
      </c>
      <c r="E2997" s="17" t="s">
        <v>13</v>
      </c>
      <c r="F2997" s="16" t="s">
        <v>9351</v>
      </c>
    </row>
    <row r="2998" spans="1:6" x14ac:dyDescent="0.25">
      <c r="A2998" s="16" t="s">
        <v>9352</v>
      </c>
      <c r="B2998" s="17" t="s">
        <v>9353</v>
      </c>
      <c r="C2998" s="17" t="s">
        <v>11</v>
      </c>
      <c r="D2998" s="17" t="s">
        <v>59</v>
      </c>
      <c r="E2998" s="17" t="s">
        <v>13</v>
      </c>
      <c r="F2998" s="16" t="s">
        <v>9354</v>
      </c>
    </row>
    <row r="2999" spans="1:6" x14ac:dyDescent="0.25">
      <c r="A2999" s="16" t="s">
        <v>9355</v>
      </c>
      <c r="B2999" s="17" t="s">
        <v>9356</v>
      </c>
      <c r="C2999" s="17" t="s">
        <v>11</v>
      </c>
      <c r="D2999" s="17" t="s">
        <v>12</v>
      </c>
      <c r="E2999" s="17" t="s">
        <v>13</v>
      </c>
      <c r="F2999" s="16" t="s">
        <v>9357</v>
      </c>
    </row>
    <row r="3000" spans="1:6" x14ac:dyDescent="0.25">
      <c r="A3000" s="16" t="s">
        <v>9358</v>
      </c>
      <c r="B3000" s="17" t="s">
        <v>9359</v>
      </c>
      <c r="C3000" s="17" t="s">
        <v>11</v>
      </c>
      <c r="D3000" s="17" t="s">
        <v>12</v>
      </c>
      <c r="E3000" s="17" t="s">
        <v>13</v>
      </c>
      <c r="F3000" s="16" t="s">
        <v>9360</v>
      </c>
    </row>
    <row r="3001" spans="1:6" x14ac:dyDescent="0.25">
      <c r="A3001" s="16" t="s">
        <v>9361</v>
      </c>
      <c r="B3001" s="17" t="s">
        <v>9362</v>
      </c>
      <c r="C3001" s="17" t="s">
        <v>11</v>
      </c>
      <c r="D3001" s="17" t="s">
        <v>80</v>
      </c>
      <c r="E3001" s="17" t="s">
        <v>20</v>
      </c>
      <c r="F3001" s="16" t="s">
        <v>9363</v>
      </c>
    </row>
    <row r="3002" spans="1:6" x14ac:dyDescent="0.25">
      <c r="A3002" s="16" t="s">
        <v>9364</v>
      </c>
      <c r="B3002" s="17" t="s">
        <v>9365</v>
      </c>
      <c r="C3002" s="17" t="s">
        <v>11</v>
      </c>
      <c r="D3002" s="17" t="s">
        <v>32</v>
      </c>
      <c r="E3002" s="17" t="s">
        <v>20</v>
      </c>
      <c r="F3002" s="16" t="s">
        <v>9366</v>
      </c>
    </row>
    <row r="3003" spans="1:6" x14ac:dyDescent="0.25">
      <c r="A3003" s="16" t="s">
        <v>9367</v>
      </c>
      <c r="B3003" s="17" t="s">
        <v>9368</v>
      </c>
      <c r="C3003" s="17" t="s">
        <v>11</v>
      </c>
      <c r="D3003" s="17" t="s">
        <v>83</v>
      </c>
      <c r="E3003" s="17" t="s">
        <v>20</v>
      </c>
      <c r="F3003" s="16" t="s">
        <v>9369</v>
      </c>
    </row>
    <row r="3004" spans="1:6" x14ac:dyDescent="0.25">
      <c r="A3004" s="16" t="s">
        <v>9370</v>
      </c>
      <c r="B3004" s="17" t="s">
        <v>9371</v>
      </c>
      <c r="C3004" s="17" t="s">
        <v>11</v>
      </c>
      <c r="D3004" s="17" t="s">
        <v>12</v>
      </c>
      <c r="E3004" s="17" t="s">
        <v>13</v>
      </c>
      <c r="F3004" s="16" t="s">
        <v>9372</v>
      </c>
    </row>
    <row r="3005" spans="1:6" x14ac:dyDescent="0.25">
      <c r="A3005" s="16" t="s">
        <v>9373</v>
      </c>
      <c r="B3005" s="17" t="s">
        <v>9374</v>
      </c>
      <c r="C3005" s="17" t="s">
        <v>11</v>
      </c>
      <c r="D3005" s="17" t="s">
        <v>32</v>
      </c>
      <c r="E3005" s="17" t="s">
        <v>20</v>
      </c>
      <c r="F3005" s="16" t="s">
        <v>9375</v>
      </c>
    </row>
    <row r="3006" spans="1:6" x14ac:dyDescent="0.25">
      <c r="A3006" s="16" t="s">
        <v>9376</v>
      </c>
      <c r="B3006" s="17" t="s">
        <v>9377</v>
      </c>
      <c r="C3006" s="17" t="s">
        <v>11</v>
      </c>
      <c r="D3006" s="17" t="s">
        <v>32</v>
      </c>
      <c r="E3006" s="17" t="s">
        <v>20</v>
      </c>
      <c r="F3006" s="16" t="s">
        <v>9378</v>
      </c>
    </row>
    <row r="3007" spans="1:6" x14ac:dyDescent="0.25">
      <c r="A3007" s="16" t="s">
        <v>9379</v>
      </c>
      <c r="B3007" s="17" t="s">
        <v>9380</v>
      </c>
      <c r="C3007" s="17" t="s">
        <v>11</v>
      </c>
      <c r="D3007" s="17" t="s">
        <v>32</v>
      </c>
      <c r="E3007" s="17" t="s">
        <v>20</v>
      </c>
      <c r="F3007" s="16" t="s">
        <v>9381</v>
      </c>
    </row>
    <row r="3008" spans="1:6" x14ac:dyDescent="0.25">
      <c r="A3008" s="16" t="s">
        <v>9382</v>
      </c>
      <c r="B3008" s="17" t="s">
        <v>9383</v>
      </c>
      <c r="C3008" s="17" t="s">
        <v>11</v>
      </c>
      <c r="D3008" s="17" t="s">
        <v>80</v>
      </c>
      <c r="E3008" s="17" t="s">
        <v>20</v>
      </c>
      <c r="F3008" s="16" t="s">
        <v>9384</v>
      </c>
    </row>
    <row r="3009" spans="1:6" x14ac:dyDescent="0.25">
      <c r="A3009" s="16" t="s">
        <v>9385</v>
      </c>
      <c r="B3009" s="17" t="s">
        <v>9386</v>
      </c>
      <c r="C3009" s="17" t="s">
        <v>11</v>
      </c>
      <c r="D3009" s="17" t="s">
        <v>233</v>
      </c>
      <c r="E3009" s="17" t="s">
        <v>20</v>
      </c>
      <c r="F3009" s="16" t="s">
        <v>9387</v>
      </c>
    </row>
    <row r="3010" spans="1:6" x14ac:dyDescent="0.25">
      <c r="A3010" s="16" t="s">
        <v>9388</v>
      </c>
      <c r="B3010" s="17" t="s">
        <v>9389</v>
      </c>
      <c r="C3010" s="17" t="s">
        <v>11</v>
      </c>
      <c r="D3010" s="17" t="s">
        <v>649</v>
      </c>
      <c r="E3010" s="17" t="s">
        <v>20</v>
      </c>
      <c r="F3010" s="16" t="s">
        <v>9390</v>
      </c>
    </row>
    <row r="3011" spans="1:6" x14ac:dyDescent="0.25">
      <c r="A3011" s="16" t="s">
        <v>9391</v>
      </c>
      <c r="B3011" s="17" t="s">
        <v>9392</v>
      </c>
      <c r="C3011" s="17" t="s">
        <v>11</v>
      </c>
      <c r="D3011" s="17" t="s">
        <v>32</v>
      </c>
      <c r="E3011" s="17" t="s">
        <v>20</v>
      </c>
      <c r="F3011" s="16" t="s">
        <v>9393</v>
      </c>
    </row>
    <row r="3012" spans="1:6" x14ac:dyDescent="0.25">
      <c r="A3012" s="16" t="s">
        <v>9394</v>
      </c>
      <c r="B3012" s="17" t="s">
        <v>9395</v>
      </c>
      <c r="C3012" s="17" t="s">
        <v>11</v>
      </c>
      <c r="D3012" s="17" t="s">
        <v>32</v>
      </c>
      <c r="E3012" s="17" t="s">
        <v>20</v>
      </c>
      <c r="F3012" s="16" t="s">
        <v>9396</v>
      </c>
    </row>
    <row r="3013" spans="1:6" x14ac:dyDescent="0.25">
      <c r="A3013" s="16" t="s">
        <v>9397</v>
      </c>
      <c r="B3013" s="17" t="s">
        <v>9398</v>
      </c>
      <c r="C3013" s="17" t="s">
        <v>11</v>
      </c>
      <c r="D3013" s="17" t="s">
        <v>32</v>
      </c>
      <c r="E3013" s="17" t="s">
        <v>20</v>
      </c>
      <c r="F3013" s="16" t="s">
        <v>9399</v>
      </c>
    </row>
    <row r="3014" spans="1:6" x14ac:dyDescent="0.25">
      <c r="A3014" s="16" t="s">
        <v>9400</v>
      </c>
      <c r="B3014" s="17" t="s">
        <v>9401</v>
      </c>
      <c r="C3014" s="17" t="s">
        <v>11</v>
      </c>
      <c r="D3014" s="17" t="s">
        <v>182</v>
      </c>
      <c r="E3014" s="17" t="s">
        <v>20</v>
      </c>
      <c r="F3014" s="16" t="s">
        <v>9402</v>
      </c>
    </row>
    <row r="3015" spans="1:6" x14ac:dyDescent="0.25">
      <c r="A3015" s="16" t="s">
        <v>9403</v>
      </c>
      <c r="B3015" s="17" t="s">
        <v>9404</v>
      </c>
      <c r="C3015" s="17" t="s">
        <v>11</v>
      </c>
      <c r="D3015" s="17" t="s">
        <v>32</v>
      </c>
      <c r="E3015" s="17" t="s">
        <v>20</v>
      </c>
      <c r="F3015" s="16" t="s">
        <v>9405</v>
      </c>
    </row>
    <row r="3016" spans="1:6" x14ac:dyDescent="0.25">
      <c r="A3016" s="16" t="s">
        <v>9406</v>
      </c>
      <c r="B3016" s="17" t="s">
        <v>9407</v>
      </c>
      <c r="C3016" s="17" t="s">
        <v>11</v>
      </c>
      <c r="D3016" s="17" t="s">
        <v>186</v>
      </c>
      <c r="E3016" s="17" t="s">
        <v>20</v>
      </c>
      <c r="F3016" s="16" t="s">
        <v>9408</v>
      </c>
    </row>
    <row r="3017" spans="1:6" x14ac:dyDescent="0.25">
      <c r="A3017" s="16" t="s">
        <v>9409</v>
      </c>
      <c r="B3017" s="17" t="s">
        <v>9410</v>
      </c>
      <c r="C3017" s="17" t="s">
        <v>11</v>
      </c>
      <c r="D3017" s="17" t="s">
        <v>83</v>
      </c>
      <c r="E3017" s="17" t="s">
        <v>20</v>
      </c>
      <c r="F3017" s="16" t="s">
        <v>9411</v>
      </c>
    </row>
    <row r="3018" spans="1:6" x14ac:dyDescent="0.25">
      <c r="A3018" s="16" t="s">
        <v>9412</v>
      </c>
      <c r="B3018" s="17" t="s">
        <v>9413</v>
      </c>
      <c r="C3018" s="17" t="s">
        <v>11</v>
      </c>
      <c r="D3018" s="17" t="s">
        <v>68</v>
      </c>
      <c r="E3018" s="17" t="s">
        <v>20</v>
      </c>
      <c r="F3018" s="16" t="s">
        <v>9414</v>
      </c>
    </row>
    <row r="3019" spans="1:6" x14ac:dyDescent="0.25">
      <c r="A3019" s="16" t="s">
        <v>9415</v>
      </c>
      <c r="B3019" s="17" t="s">
        <v>9416</v>
      </c>
      <c r="C3019" s="17" t="s">
        <v>11</v>
      </c>
      <c r="D3019" s="17" t="s">
        <v>182</v>
      </c>
      <c r="E3019" s="17" t="s">
        <v>20</v>
      </c>
      <c r="F3019" s="16" t="s">
        <v>9417</v>
      </c>
    </row>
    <row r="3020" spans="1:6" x14ac:dyDescent="0.25">
      <c r="A3020" s="16" t="s">
        <v>9418</v>
      </c>
      <c r="B3020" s="17" t="s">
        <v>9419</v>
      </c>
      <c r="C3020" s="17" t="s">
        <v>11</v>
      </c>
      <c r="D3020" s="17" t="s">
        <v>250</v>
      </c>
      <c r="E3020" s="17" t="s">
        <v>20</v>
      </c>
      <c r="F3020" s="16" t="s">
        <v>9420</v>
      </c>
    </row>
    <row r="3021" spans="1:6" x14ac:dyDescent="0.25">
      <c r="A3021" s="16" t="s">
        <v>9421</v>
      </c>
      <c r="B3021" s="17" t="s">
        <v>9422</v>
      </c>
      <c r="C3021" s="17" t="s">
        <v>11</v>
      </c>
      <c r="D3021" s="17" t="s">
        <v>811</v>
      </c>
      <c r="E3021" s="17" t="s">
        <v>20</v>
      </c>
      <c r="F3021" s="16" t="s">
        <v>9423</v>
      </c>
    </row>
    <row r="3022" spans="1:6" x14ac:dyDescent="0.25">
      <c r="A3022" s="16" t="s">
        <v>9424</v>
      </c>
      <c r="B3022" s="17" t="s">
        <v>9425</v>
      </c>
      <c r="C3022" s="17" t="s">
        <v>11</v>
      </c>
      <c r="D3022" s="17" t="s">
        <v>233</v>
      </c>
      <c r="E3022" s="17" t="s">
        <v>20</v>
      </c>
      <c r="F3022" s="16" t="s">
        <v>9426</v>
      </c>
    </row>
    <row r="3023" spans="1:6" x14ac:dyDescent="0.25">
      <c r="A3023" s="16" t="s">
        <v>9427</v>
      </c>
      <c r="B3023" s="17" t="s">
        <v>9428</v>
      </c>
      <c r="C3023" s="17" t="s">
        <v>11</v>
      </c>
      <c r="D3023" s="17" t="s">
        <v>83</v>
      </c>
      <c r="E3023" s="17" t="s">
        <v>20</v>
      </c>
      <c r="F3023" s="16" t="s">
        <v>9429</v>
      </c>
    </row>
    <row r="3024" spans="1:6" x14ac:dyDescent="0.25">
      <c r="A3024" s="16" t="s">
        <v>9430</v>
      </c>
      <c r="B3024" s="17" t="s">
        <v>9431</v>
      </c>
      <c r="C3024" s="17" t="s">
        <v>11</v>
      </c>
      <c r="D3024" s="17" t="s">
        <v>186</v>
      </c>
      <c r="E3024" s="17" t="s">
        <v>20</v>
      </c>
      <c r="F3024" s="16" t="s">
        <v>9432</v>
      </c>
    </row>
    <row r="3025" spans="1:6" x14ac:dyDescent="0.25">
      <c r="A3025" s="16" t="s">
        <v>9433</v>
      </c>
      <c r="B3025" s="17" t="s">
        <v>9434</v>
      </c>
      <c r="C3025" s="17" t="s">
        <v>11</v>
      </c>
      <c r="D3025" s="17" t="s">
        <v>182</v>
      </c>
      <c r="E3025" s="17" t="s">
        <v>20</v>
      </c>
      <c r="F3025" s="16" t="s">
        <v>9435</v>
      </c>
    </row>
    <row r="3026" spans="1:6" x14ac:dyDescent="0.25">
      <c r="A3026" s="16" t="s">
        <v>9436</v>
      </c>
      <c r="B3026" s="17" t="s">
        <v>9437</v>
      </c>
      <c r="C3026" s="17" t="s">
        <v>11</v>
      </c>
      <c r="D3026" s="17" t="s">
        <v>182</v>
      </c>
      <c r="E3026" s="17" t="s">
        <v>20</v>
      </c>
      <c r="F3026" s="16" t="s">
        <v>9438</v>
      </c>
    </row>
    <row r="3027" spans="1:6" x14ac:dyDescent="0.25">
      <c r="A3027" s="16" t="s">
        <v>9439</v>
      </c>
      <c r="B3027" s="17" t="s">
        <v>9440</v>
      </c>
      <c r="C3027" s="17" t="s">
        <v>11</v>
      </c>
      <c r="D3027" s="17" t="s">
        <v>83</v>
      </c>
      <c r="E3027" s="17" t="s">
        <v>20</v>
      </c>
      <c r="F3027" s="16" t="s">
        <v>9441</v>
      </c>
    </row>
    <row r="3028" spans="1:6" x14ac:dyDescent="0.25">
      <c r="A3028" s="16" t="s">
        <v>9442</v>
      </c>
      <c r="B3028" s="17" t="s">
        <v>9443</v>
      </c>
      <c r="C3028" s="17" t="s">
        <v>11</v>
      </c>
      <c r="D3028" s="17" t="s">
        <v>32</v>
      </c>
      <c r="E3028" s="17" t="s">
        <v>20</v>
      </c>
      <c r="F3028" s="16" t="s">
        <v>9444</v>
      </c>
    </row>
    <row r="3029" spans="1:6" x14ac:dyDescent="0.25">
      <c r="A3029" s="16" t="s">
        <v>9445</v>
      </c>
      <c r="B3029" s="17" t="s">
        <v>9446</v>
      </c>
      <c r="C3029" s="17" t="s">
        <v>11</v>
      </c>
      <c r="D3029" s="17" t="s">
        <v>670</v>
      </c>
      <c r="E3029" s="17" t="s">
        <v>20</v>
      </c>
      <c r="F3029" s="16" t="s">
        <v>9447</v>
      </c>
    </row>
    <row r="3030" spans="1:6" x14ac:dyDescent="0.25">
      <c r="A3030" s="16" t="s">
        <v>9448</v>
      </c>
      <c r="B3030" s="17" t="s">
        <v>9449</v>
      </c>
      <c r="C3030" s="17" t="s">
        <v>11</v>
      </c>
      <c r="D3030" s="17" t="s">
        <v>570</v>
      </c>
      <c r="E3030" s="17" t="s">
        <v>20</v>
      </c>
      <c r="F3030" s="16" t="s">
        <v>9450</v>
      </c>
    </row>
    <row r="3031" spans="1:6" x14ac:dyDescent="0.25">
      <c r="A3031" s="16" t="s">
        <v>9451</v>
      </c>
      <c r="B3031" s="17" t="s">
        <v>9452</v>
      </c>
      <c r="C3031" s="17" t="s">
        <v>11</v>
      </c>
      <c r="D3031" s="17" t="s">
        <v>811</v>
      </c>
      <c r="E3031" s="17" t="s">
        <v>20</v>
      </c>
      <c r="F3031" s="16" t="s">
        <v>9453</v>
      </c>
    </row>
    <row r="3032" spans="1:6" x14ac:dyDescent="0.25">
      <c r="A3032" s="16" t="s">
        <v>9454</v>
      </c>
      <c r="B3032" s="17" t="s">
        <v>9455</v>
      </c>
      <c r="C3032" s="17" t="s">
        <v>11</v>
      </c>
      <c r="D3032" s="17" t="s">
        <v>32</v>
      </c>
      <c r="E3032" s="17" t="s">
        <v>20</v>
      </c>
      <c r="F3032" s="16" t="s">
        <v>9456</v>
      </c>
    </row>
    <row r="3033" spans="1:6" x14ac:dyDescent="0.25">
      <c r="A3033" s="16" t="s">
        <v>9457</v>
      </c>
      <c r="B3033" s="17" t="s">
        <v>9458</v>
      </c>
      <c r="C3033" s="17" t="s">
        <v>11</v>
      </c>
      <c r="D3033" s="17" t="s">
        <v>32</v>
      </c>
      <c r="E3033" s="17" t="s">
        <v>20</v>
      </c>
      <c r="F3033" s="16" t="s">
        <v>9459</v>
      </c>
    </row>
    <row r="3034" spans="1:6" x14ac:dyDescent="0.25">
      <c r="A3034" s="16" t="s">
        <v>9460</v>
      </c>
      <c r="B3034" s="17" t="s">
        <v>9461</v>
      </c>
      <c r="C3034" s="17" t="s">
        <v>11</v>
      </c>
      <c r="D3034" s="17" t="s">
        <v>32</v>
      </c>
      <c r="E3034" s="17" t="s">
        <v>20</v>
      </c>
      <c r="F3034" s="16" t="s">
        <v>9462</v>
      </c>
    </row>
    <row r="3035" spans="1:6" x14ac:dyDescent="0.25">
      <c r="A3035" s="16" t="s">
        <v>9463</v>
      </c>
      <c r="B3035" s="17" t="s">
        <v>9464</v>
      </c>
      <c r="C3035" s="17" t="s">
        <v>11</v>
      </c>
      <c r="D3035" s="17" t="s">
        <v>32</v>
      </c>
      <c r="E3035" s="17" t="s">
        <v>20</v>
      </c>
      <c r="F3035" s="16" t="s">
        <v>9465</v>
      </c>
    </row>
    <row r="3036" spans="1:6" x14ac:dyDescent="0.25">
      <c r="A3036" s="16" t="s">
        <v>9466</v>
      </c>
      <c r="B3036" s="17" t="s">
        <v>9467</v>
      </c>
      <c r="C3036" s="17" t="s">
        <v>11</v>
      </c>
      <c r="D3036" s="17" t="s">
        <v>89</v>
      </c>
      <c r="E3036" s="17" t="s">
        <v>20</v>
      </c>
      <c r="F3036" s="16" t="s">
        <v>9468</v>
      </c>
    </row>
    <row r="3037" spans="1:6" x14ac:dyDescent="0.25">
      <c r="A3037" s="16" t="s">
        <v>9469</v>
      </c>
      <c r="B3037" s="17" t="s">
        <v>9470</v>
      </c>
      <c r="C3037" s="17" t="s">
        <v>11</v>
      </c>
      <c r="D3037" s="17" t="s">
        <v>250</v>
      </c>
      <c r="E3037" s="17" t="s">
        <v>20</v>
      </c>
      <c r="F3037" s="16" t="s">
        <v>9471</v>
      </c>
    </row>
    <row r="3038" spans="1:6" x14ac:dyDescent="0.25">
      <c r="A3038" s="16" t="s">
        <v>9472</v>
      </c>
      <c r="B3038" s="17" t="s">
        <v>9473</v>
      </c>
      <c r="C3038" s="17" t="s">
        <v>11</v>
      </c>
      <c r="D3038" s="17" t="s">
        <v>32</v>
      </c>
      <c r="E3038" s="17" t="s">
        <v>20</v>
      </c>
      <c r="F3038" s="16" t="s">
        <v>9474</v>
      </c>
    </row>
    <row r="3039" spans="1:6" x14ac:dyDescent="0.25">
      <c r="A3039" s="16" t="s">
        <v>9475</v>
      </c>
      <c r="B3039" s="17" t="s">
        <v>9476</v>
      </c>
      <c r="C3039" s="17" t="s">
        <v>11</v>
      </c>
      <c r="D3039" s="17" t="s">
        <v>570</v>
      </c>
      <c r="E3039" s="17" t="s">
        <v>20</v>
      </c>
      <c r="F3039" s="16" t="s">
        <v>9477</v>
      </c>
    </row>
    <row r="3040" spans="1:6" x14ac:dyDescent="0.25">
      <c r="A3040" s="16" t="s">
        <v>9478</v>
      </c>
      <c r="B3040" s="17" t="s">
        <v>9479</v>
      </c>
      <c r="C3040" s="17" t="s">
        <v>11</v>
      </c>
      <c r="D3040" s="17" t="s">
        <v>32</v>
      </c>
      <c r="E3040" s="17" t="s">
        <v>20</v>
      </c>
      <c r="F3040" s="16" t="s">
        <v>9480</v>
      </c>
    </row>
    <row r="3041" spans="1:6" x14ac:dyDescent="0.25">
      <c r="A3041" s="16" t="s">
        <v>9481</v>
      </c>
      <c r="B3041" s="17" t="s">
        <v>9482</v>
      </c>
      <c r="C3041" s="17" t="s">
        <v>11</v>
      </c>
      <c r="D3041" s="17" t="s">
        <v>68</v>
      </c>
      <c r="E3041" s="17" t="s">
        <v>20</v>
      </c>
      <c r="F3041" s="16" t="s">
        <v>9483</v>
      </c>
    </row>
    <row r="3042" spans="1:6" x14ac:dyDescent="0.25">
      <c r="A3042" s="16" t="s">
        <v>9484</v>
      </c>
      <c r="B3042" s="17" t="s">
        <v>9485</v>
      </c>
      <c r="C3042" s="17" t="s">
        <v>11</v>
      </c>
      <c r="D3042" s="17" t="s">
        <v>186</v>
      </c>
      <c r="E3042" s="17" t="s">
        <v>20</v>
      </c>
      <c r="F3042" s="16" t="s">
        <v>9486</v>
      </c>
    </row>
    <row r="3043" spans="1:6" x14ac:dyDescent="0.25">
      <c r="A3043" s="16" t="s">
        <v>9487</v>
      </c>
      <c r="B3043" s="17" t="s">
        <v>9488</v>
      </c>
      <c r="C3043" s="17" t="s">
        <v>11</v>
      </c>
      <c r="D3043" s="17" t="s">
        <v>32</v>
      </c>
      <c r="E3043" s="17" t="s">
        <v>20</v>
      </c>
      <c r="F3043" s="16" t="s">
        <v>9489</v>
      </c>
    </row>
    <row r="3044" spans="1:6" x14ac:dyDescent="0.25">
      <c r="A3044" s="16" t="s">
        <v>9490</v>
      </c>
      <c r="B3044" s="17" t="s">
        <v>9491</v>
      </c>
      <c r="C3044" s="17" t="s">
        <v>11</v>
      </c>
      <c r="D3044" s="17" t="s">
        <v>32</v>
      </c>
      <c r="E3044" s="17" t="s">
        <v>20</v>
      </c>
      <c r="F3044" s="16" t="s">
        <v>9492</v>
      </c>
    </row>
    <row r="3045" spans="1:6" x14ac:dyDescent="0.25">
      <c r="A3045" s="16" t="s">
        <v>9493</v>
      </c>
      <c r="B3045" s="17" t="s">
        <v>9494</v>
      </c>
      <c r="C3045" s="17" t="s">
        <v>11</v>
      </c>
      <c r="D3045" s="17" t="s">
        <v>233</v>
      </c>
      <c r="E3045" s="17" t="s">
        <v>20</v>
      </c>
      <c r="F3045" s="16" t="s">
        <v>9495</v>
      </c>
    </row>
    <row r="3046" spans="1:6" x14ac:dyDescent="0.25">
      <c r="A3046" s="16" t="s">
        <v>9496</v>
      </c>
      <c r="B3046" s="17" t="s">
        <v>9497</v>
      </c>
      <c r="C3046" s="17" t="s">
        <v>11</v>
      </c>
      <c r="D3046" s="17" t="s">
        <v>59</v>
      </c>
      <c r="E3046" s="17" t="s">
        <v>13</v>
      </c>
      <c r="F3046" s="16" t="s">
        <v>9498</v>
      </c>
    </row>
    <row r="3047" spans="1:6" x14ac:dyDescent="0.25">
      <c r="A3047" s="16" t="s">
        <v>9499</v>
      </c>
      <c r="B3047" s="17" t="s">
        <v>9500</v>
      </c>
      <c r="C3047" s="17" t="s">
        <v>11</v>
      </c>
      <c r="D3047" s="17" t="s">
        <v>171</v>
      </c>
      <c r="E3047" s="17" t="s">
        <v>13</v>
      </c>
      <c r="F3047" s="16" t="s">
        <v>9501</v>
      </c>
    </row>
    <row r="3048" spans="1:6" x14ac:dyDescent="0.25">
      <c r="A3048" s="16" t="s">
        <v>9502</v>
      </c>
      <c r="B3048" s="17" t="s">
        <v>9503</v>
      </c>
      <c r="C3048" s="17" t="s">
        <v>11</v>
      </c>
      <c r="D3048" s="17" t="s">
        <v>12</v>
      </c>
      <c r="E3048" s="17" t="s">
        <v>13</v>
      </c>
      <c r="F3048" s="16" t="s">
        <v>9504</v>
      </c>
    </row>
    <row r="3049" spans="1:6" x14ac:dyDescent="0.25">
      <c r="A3049" s="16" t="s">
        <v>9505</v>
      </c>
      <c r="B3049" s="17" t="s">
        <v>9506</v>
      </c>
      <c r="C3049" s="17" t="s">
        <v>11</v>
      </c>
      <c r="D3049" s="17" t="s">
        <v>12</v>
      </c>
      <c r="E3049" s="17" t="s">
        <v>13</v>
      </c>
      <c r="F3049" s="16" t="s">
        <v>9507</v>
      </c>
    </row>
    <row r="3050" spans="1:6" x14ac:dyDescent="0.25">
      <c r="A3050" s="16" t="s">
        <v>9508</v>
      </c>
      <c r="B3050" s="17" t="s">
        <v>9509</v>
      </c>
      <c r="C3050" s="17" t="s">
        <v>11</v>
      </c>
      <c r="D3050" s="17" t="s">
        <v>12</v>
      </c>
      <c r="E3050" s="17" t="s">
        <v>13</v>
      </c>
      <c r="F3050" s="16" t="s">
        <v>9510</v>
      </c>
    </row>
    <row r="3051" spans="1:6" x14ac:dyDescent="0.25">
      <c r="A3051" s="16" t="s">
        <v>9511</v>
      </c>
      <c r="B3051" s="17" t="s">
        <v>9512</v>
      </c>
      <c r="C3051" s="17" t="s">
        <v>11</v>
      </c>
      <c r="D3051" s="17" t="s">
        <v>12</v>
      </c>
      <c r="E3051" s="17" t="s">
        <v>13</v>
      </c>
      <c r="F3051" s="16" t="s">
        <v>9513</v>
      </c>
    </row>
    <row r="3052" spans="1:6" x14ac:dyDescent="0.25">
      <c r="A3052" s="16" t="s">
        <v>9514</v>
      </c>
      <c r="B3052" s="17" t="s">
        <v>9515</v>
      </c>
      <c r="C3052" s="17" t="s">
        <v>11</v>
      </c>
      <c r="D3052" s="17" t="s">
        <v>12</v>
      </c>
      <c r="E3052" s="17" t="s">
        <v>13</v>
      </c>
      <c r="F3052" s="16" t="s">
        <v>9516</v>
      </c>
    </row>
    <row r="3053" spans="1:6" x14ac:dyDescent="0.25">
      <c r="A3053" s="16" t="s">
        <v>9517</v>
      </c>
      <c r="B3053" s="17" t="s">
        <v>9518</v>
      </c>
      <c r="C3053" s="17" t="s">
        <v>11</v>
      </c>
      <c r="D3053" s="17" t="s">
        <v>233</v>
      </c>
      <c r="E3053" s="17" t="s">
        <v>20</v>
      </c>
      <c r="F3053" s="16" t="s">
        <v>9519</v>
      </c>
    </row>
    <row r="3054" spans="1:6" x14ac:dyDescent="0.25">
      <c r="A3054" s="16" t="s">
        <v>9520</v>
      </c>
      <c r="B3054" s="17" t="s">
        <v>9521</v>
      </c>
      <c r="C3054" s="17" t="s">
        <v>11</v>
      </c>
      <c r="D3054" s="17" t="s">
        <v>19</v>
      </c>
      <c r="E3054" s="17" t="s">
        <v>20</v>
      </c>
      <c r="F3054" s="16" t="s">
        <v>9522</v>
      </c>
    </row>
    <row r="3055" spans="1:6" x14ac:dyDescent="0.25">
      <c r="A3055" s="16" t="s">
        <v>9523</v>
      </c>
      <c r="B3055" s="17" t="s">
        <v>9524</v>
      </c>
      <c r="C3055" s="17" t="s">
        <v>11</v>
      </c>
      <c r="D3055" s="17" t="s">
        <v>59</v>
      </c>
      <c r="E3055" s="17" t="s">
        <v>13</v>
      </c>
      <c r="F3055" s="16" t="s">
        <v>9525</v>
      </c>
    </row>
    <row r="3056" spans="1:6" x14ac:dyDescent="0.25">
      <c r="A3056" s="16" t="s">
        <v>9526</v>
      </c>
      <c r="B3056" s="17" t="s">
        <v>9527</v>
      </c>
      <c r="C3056" s="17" t="s">
        <v>11</v>
      </c>
      <c r="D3056" s="17" t="s">
        <v>12</v>
      </c>
      <c r="E3056" s="17" t="s">
        <v>13</v>
      </c>
      <c r="F3056" s="16" t="s">
        <v>9528</v>
      </c>
    </row>
    <row r="3057" spans="1:6" x14ac:dyDescent="0.25">
      <c r="A3057" s="16" t="s">
        <v>9529</v>
      </c>
      <c r="B3057" s="17" t="s">
        <v>9530</v>
      </c>
      <c r="C3057" s="17" t="s">
        <v>11</v>
      </c>
      <c r="D3057" s="17" t="s">
        <v>186</v>
      </c>
      <c r="E3057" s="17" t="s">
        <v>20</v>
      </c>
      <c r="F3057" s="16" t="s">
        <v>9531</v>
      </c>
    </row>
    <row r="3058" spans="1:6" x14ac:dyDescent="0.25">
      <c r="A3058" s="16" t="s">
        <v>9532</v>
      </c>
      <c r="B3058" s="17" t="s">
        <v>9533</v>
      </c>
      <c r="C3058" s="17" t="s">
        <v>11</v>
      </c>
      <c r="D3058" s="17" t="s">
        <v>12</v>
      </c>
      <c r="E3058" s="17" t="s">
        <v>13</v>
      </c>
      <c r="F3058" s="16" t="s">
        <v>9534</v>
      </c>
    </row>
    <row r="3059" spans="1:6" x14ac:dyDescent="0.25">
      <c r="A3059" s="16" t="s">
        <v>9535</v>
      </c>
      <c r="B3059" s="17" t="s">
        <v>9536</v>
      </c>
      <c r="C3059" s="17" t="s">
        <v>11</v>
      </c>
      <c r="D3059" s="17" t="s">
        <v>12</v>
      </c>
      <c r="E3059" s="17" t="s">
        <v>13</v>
      </c>
      <c r="F3059" s="16" t="s">
        <v>9537</v>
      </c>
    </row>
    <row r="3060" spans="1:6" x14ac:dyDescent="0.25">
      <c r="A3060" s="16" t="s">
        <v>9538</v>
      </c>
      <c r="B3060" s="17" t="s">
        <v>9539</v>
      </c>
      <c r="C3060" s="17" t="s">
        <v>11</v>
      </c>
      <c r="D3060" s="17" t="s">
        <v>12</v>
      </c>
      <c r="E3060" s="17" t="s">
        <v>13</v>
      </c>
      <c r="F3060" s="16" t="s">
        <v>9540</v>
      </c>
    </row>
    <row r="3061" spans="1:6" x14ac:dyDescent="0.25">
      <c r="A3061" s="16" t="s">
        <v>9541</v>
      </c>
      <c r="B3061" s="17" t="s">
        <v>9542</v>
      </c>
      <c r="C3061" s="17" t="s">
        <v>11</v>
      </c>
      <c r="D3061" s="17" t="s">
        <v>59</v>
      </c>
      <c r="E3061" s="17" t="s">
        <v>13</v>
      </c>
      <c r="F3061" s="16" t="s">
        <v>9543</v>
      </c>
    </row>
    <row r="3062" spans="1:6" x14ac:dyDescent="0.25">
      <c r="A3062" s="16" t="s">
        <v>9544</v>
      </c>
      <c r="B3062" s="17" t="s">
        <v>9545</v>
      </c>
      <c r="C3062" s="17" t="s">
        <v>11</v>
      </c>
      <c r="D3062" s="17" t="s">
        <v>12</v>
      </c>
      <c r="E3062" s="17" t="s">
        <v>13</v>
      </c>
      <c r="F3062" s="16" t="s">
        <v>9546</v>
      </c>
    </row>
    <row r="3063" spans="1:6" x14ac:dyDescent="0.25">
      <c r="A3063" s="16" t="s">
        <v>9547</v>
      </c>
      <c r="B3063" s="17" t="s">
        <v>9548</v>
      </c>
      <c r="C3063" s="17" t="s">
        <v>11</v>
      </c>
      <c r="D3063" s="17" t="s">
        <v>32</v>
      </c>
      <c r="E3063" s="17" t="s">
        <v>20</v>
      </c>
      <c r="F3063" s="16" t="s">
        <v>9549</v>
      </c>
    </row>
    <row r="3064" spans="1:6" x14ac:dyDescent="0.25">
      <c r="A3064" s="16" t="s">
        <v>9550</v>
      </c>
      <c r="B3064" s="17" t="s">
        <v>9551</v>
      </c>
      <c r="C3064" s="17" t="s">
        <v>11</v>
      </c>
      <c r="D3064" s="17" t="s">
        <v>12</v>
      </c>
      <c r="E3064" s="17" t="s">
        <v>13</v>
      </c>
      <c r="F3064" s="16" t="s">
        <v>9552</v>
      </c>
    </row>
    <row r="3065" spans="1:6" x14ac:dyDescent="0.25">
      <c r="A3065" s="16" t="s">
        <v>9553</v>
      </c>
      <c r="B3065" s="17" t="s">
        <v>9554</v>
      </c>
      <c r="C3065" s="17" t="s">
        <v>11</v>
      </c>
      <c r="D3065" s="17" t="s">
        <v>12</v>
      </c>
      <c r="E3065" s="17" t="s">
        <v>13</v>
      </c>
      <c r="F3065" s="16" t="s">
        <v>9555</v>
      </c>
    </row>
    <row r="3066" spans="1:6" x14ac:dyDescent="0.25">
      <c r="A3066" s="16" t="s">
        <v>9556</v>
      </c>
      <c r="B3066" s="17" t="s">
        <v>9557</v>
      </c>
      <c r="C3066" s="17" t="s">
        <v>11</v>
      </c>
      <c r="D3066" s="17" t="s">
        <v>186</v>
      </c>
      <c r="E3066" s="17" t="s">
        <v>20</v>
      </c>
      <c r="F3066" s="16" t="s">
        <v>9558</v>
      </c>
    </row>
    <row r="3067" spans="1:6" x14ac:dyDescent="0.25">
      <c r="A3067" s="16" t="s">
        <v>9559</v>
      </c>
      <c r="B3067" s="17" t="s">
        <v>9560</v>
      </c>
      <c r="C3067" s="17" t="s">
        <v>11</v>
      </c>
      <c r="D3067" s="17" t="s">
        <v>12</v>
      </c>
      <c r="E3067" s="17" t="s">
        <v>13</v>
      </c>
      <c r="F3067" s="16" t="s">
        <v>9561</v>
      </c>
    </row>
    <row r="3068" spans="1:6" x14ac:dyDescent="0.25">
      <c r="A3068" s="16" t="s">
        <v>9562</v>
      </c>
      <c r="B3068" s="17" t="s">
        <v>9563</v>
      </c>
      <c r="C3068" s="17" t="s">
        <v>11</v>
      </c>
      <c r="D3068" s="17" t="s">
        <v>83</v>
      </c>
      <c r="E3068" s="17" t="s">
        <v>20</v>
      </c>
      <c r="F3068" s="16" t="s">
        <v>9564</v>
      </c>
    </row>
    <row r="3069" spans="1:6" x14ac:dyDescent="0.25">
      <c r="A3069" s="16" t="s">
        <v>9565</v>
      </c>
      <c r="B3069" s="17" t="s">
        <v>9566</v>
      </c>
      <c r="C3069" s="17" t="s">
        <v>11</v>
      </c>
      <c r="D3069" s="17" t="s">
        <v>83</v>
      </c>
      <c r="E3069" s="17" t="s">
        <v>20</v>
      </c>
      <c r="F3069" s="16" t="s">
        <v>9567</v>
      </c>
    </row>
    <row r="3070" spans="1:6" x14ac:dyDescent="0.25">
      <c r="A3070" s="16" t="s">
        <v>9568</v>
      </c>
      <c r="B3070" s="17" t="s">
        <v>9569</v>
      </c>
      <c r="C3070" s="17" t="s">
        <v>11</v>
      </c>
      <c r="D3070" s="17" t="s">
        <v>12</v>
      </c>
      <c r="E3070" s="17" t="s">
        <v>13</v>
      </c>
      <c r="F3070" s="16" t="s">
        <v>9570</v>
      </c>
    </row>
    <row r="3071" spans="1:6" x14ac:dyDescent="0.25">
      <c r="A3071" s="16" t="s">
        <v>9571</v>
      </c>
      <c r="B3071" s="17" t="s">
        <v>9572</v>
      </c>
      <c r="C3071" s="17" t="s">
        <v>11</v>
      </c>
      <c r="D3071" s="17" t="s">
        <v>19</v>
      </c>
      <c r="E3071" s="17" t="s">
        <v>20</v>
      </c>
      <c r="F3071" s="16" t="s">
        <v>9573</v>
      </c>
    </row>
    <row r="3072" spans="1:6" x14ac:dyDescent="0.25">
      <c r="A3072" s="16" t="s">
        <v>9574</v>
      </c>
      <c r="B3072" s="17" t="s">
        <v>9575</v>
      </c>
      <c r="C3072" s="17" t="s">
        <v>11</v>
      </c>
      <c r="D3072" s="17" t="s">
        <v>12</v>
      </c>
      <c r="E3072" s="17" t="s">
        <v>13</v>
      </c>
      <c r="F3072" s="16" t="s">
        <v>9576</v>
      </c>
    </row>
    <row r="3073" spans="1:6" x14ac:dyDescent="0.25">
      <c r="A3073" s="16" t="s">
        <v>9577</v>
      </c>
      <c r="B3073" s="17" t="s">
        <v>9578</v>
      </c>
      <c r="C3073" s="17" t="s">
        <v>11</v>
      </c>
      <c r="D3073" s="17" t="s">
        <v>12</v>
      </c>
      <c r="E3073" s="17" t="s">
        <v>13</v>
      </c>
      <c r="F3073" s="16" t="s">
        <v>9579</v>
      </c>
    </row>
    <row r="3074" spans="1:6" x14ac:dyDescent="0.25">
      <c r="A3074" s="16" t="s">
        <v>9580</v>
      </c>
      <c r="B3074" s="17" t="s">
        <v>9581</v>
      </c>
      <c r="C3074" s="17" t="s">
        <v>11</v>
      </c>
      <c r="D3074" s="17" t="s">
        <v>12</v>
      </c>
      <c r="E3074" s="17" t="s">
        <v>13</v>
      </c>
      <c r="F3074" s="16" t="s">
        <v>9582</v>
      </c>
    </row>
    <row r="3075" spans="1:6" x14ac:dyDescent="0.25">
      <c r="A3075" s="16" t="s">
        <v>9583</v>
      </c>
      <c r="B3075" s="17" t="s">
        <v>9584</v>
      </c>
      <c r="C3075" s="17" t="s">
        <v>11</v>
      </c>
      <c r="D3075" s="17" t="s">
        <v>12</v>
      </c>
      <c r="E3075" s="17" t="s">
        <v>13</v>
      </c>
      <c r="F3075" s="16" t="s">
        <v>9585</v>
      </c>
    </row>
    <row r="3076" spans="1:6" x14ac:dyDescent="0.25">
      <c r="A3076" s="16" t="s">
        <v>9586</v>
      </c>
      <c r="B3076" s="17" t="s">
        <v>9587</v>
      </c>
      <c r="C3076" s="17" t="s">
        <v>11</v>
      </c>
      <c r="D3076" s="17" t="s">
        <v>12</v>
      </c>
      <c r="E3076" s="17" t="s">
        <v>13</v>
      </c>
      <c r="F3076" s="16" t="s">
        <v>9588</v>
      </c>
    </row>
    <row r="3077" spans="1:6" x14ac:dyDescent="0.25">
      <c r="A3077" s="16" t="s">
        <v>9589</v>
      </c>
      <c r="B3077" s="17" t="s">
        <v>9590</v>
      </c>
      <c r="C3077" s="17" t="s">
        <v>11</v>
      </c>
      <c r="D3077" s="17" t="s">
        <v>12</v>
      </c>
      <c r="E3077" s="17" t="s">
        <v>13</v>
      </c>
      <c r="F3077" s="16" t="s">
        <v>9591</v>
      </c>
    </row>
    <row r="3078" spans="1:6" x14ac:dyDescent="0.25">
      <c r="A3078" s="16" t="s">
        <v>9592</v>
      </c>
      <c r="B3078" s="17" t="s">
        <v>9593</v>
      </c>
      <c r="C3078" s="17" t="s">
        <v>11</v>
      </c>
      <c r="D3078" s="17" t="s">
        <v>12</v>
      </c>
      <c r="E3078" s="17" t="s">
        <v>13</v>
      </c>
      <c r="F3078" s="16" t="s">
        <v>9594</v>
      </c>
    </row>
    <row r="3079" spans="1:6" x14ac:dyDescent="0.25">
      <c r="A3079" s="16" t="s">
        <v>9595</v>
      </c>
      <c r="B3079" s="17" t="s">
        <v>9596</v>
      </c>
      <c r="C3079" s="17" t="s">
        <v>11</v>
      </c>
      <c r="D3079" s="17" t="s">
        <v>12</v>
      </c>
      <c r="E3079" s="17" t="s">
        <v>13</v>
      </c>
      <c r="F3079" s="16" t="s">
        <v>9597</v>
      </c>
    </row>
    <row r="3080" spans="1:6" x14ac:dyDescent="0.25">
      <c r="A3080" s="16" t="s">
        <v>9598</v>
      </c>
      <c r="B3080" s="17" t="s">
        <v>9599</v>
      </c>
      <c r="C3080" s="17" t="s">
        <v>11</v>
      </c>
      <c r="D3080" s="17" t="s">
        <v>12</v>
      </c>
      <c r="E3080" s="17" t="s">
        <v>13</v>
      </c>
      <c r="F3080" s="16" t="s">
        <v>9600</v>
      </c>
    </row>
    <row r="3081" spans="1:6" x14ac:dyDescent="0.25">
      <c r="A3081" s="16" t="s">
        <v>9601</v>
      </c>
      <c r="B3081" s="17" t="s">
        <v>9602</v>
      </c>
      <c r="C3081" s="17" t="s">
        <v>11</v>
      </c>
      <c r="D3081" s="17" t="s">
        <v>12</v>
      </c>
      <c r="E3081" s="17" t="s">
        <v>13</v>
      </c>
      <c r="F3081" s="16" t="s">
        <v>9603</v>
      </c>
    </row>
    <row r="3082" spans="1:6" x14ac:dyDescent="0.25">
      <c r="A3082" s="16" t="s">
        <v>9604</v>
      </c>
      <c r="B3082" s="17" t="s">
        <v>9605</v>
      </c>
      <c r="C3082" s="17" t="s">
        <v>11</v>
      </c>
      <c r="D3082" s="17" t="s">
        <v>12</v>
      </c>
      <c r="E3082" s="17" t="s">
        <v>13</v>
      </c>
      <c r="F3082" s="16" t="s">
        <v>9606</v>
      </c>
    </row>
    <row r="3083" spans="1:6" x14ac:dyDescent="0.25">
      <c r="A3083" s="16" t="s">
        <v>9607</v>
      </c>
      <c r="B3083" s="17" t="s">
        <v>9608</v>
      </c>
      <c r="C3083" s="17" t="s">
        <v>11</v>
      </c>
      <c r="D3083" s="17" t="s">
        <v>32</v>
      </c>
      <c r="E3083" s="17" t="s">
        <v>20</v>
      </c>
      <c r="F3083" s="16" t="s">
        <v>9609</v>
      </c>
    </row>
    <row r="3084" spans="1:6" x14ac:dyDescent="0.25">
      <c r="A3084" s="16" t="s">
        <v>9610</v>
      </c>
      <c r="B3084" s="17" t="s">
        <v>9611</v>
      </c>
      <c r="C3084" s="17" t="s">
        <v>11</v>
      </c>
      <c r="D3084" s="17" t="s">
        <v>12</v>
      </c>
      <c r="E3084" s="17" t="s">
        <v>13</v>
      </c>
      <c r="F3084" s="16" t="s">
        <v>9612</v>
      </c>
    </row>
    <row r="3085" spans="1:6" x14ac:dyDescent="0.25">
      <c r="A3085" s="16" t="s">
        <v>9613</v>
      </c>
      <c r="B3085" s="17" t="s">
        <v>9614</v>
      </c>
      <c r="C3085" s="17" t="s">
        <v>11</v>
      </c>
      <c r="D3085" s="17" t="s">
        <v>233</v>
      </c>
      <c r="E3085" s="17" t="s">
        <v>20</v>
      </c>
      <c r="F3085" s="16" t="s">
        <v>9615</v>
      </c>
    </row>
    <row r="3086" spans="1:6" x14ac:dyDescent="0.25">
      <c r="A3086" s="16" t="s">
        <v>9616</v>
      </c>
      <c r="B3086" s="17" t="s">
        <v>9617</v>
      </c>
      <c r="C3086" s="17" t="s">
        <v>11</v>
      </c>
      <c r="D3086" s="17" t="s">
        <v>12</v>
      </c>
      <c r="E3086" s="17" t="s">
        <v>13</v>
      </c>
      <c r="F3086" s="16" t="s">
        <v>9618</v>
      </c>
    </row>
    <row r="3087" spans="1:6" x14ac:dyDescent="0.25">
      <c r="A3087" s="16" t="s">
        <v>9619</v>
      </c>
      <c r="B3087" s="17" t="s">
        <v>9620</v>
      </c>
      <c r="C3087" s="17" t="s">
        <v>11</v>
      </c>
      <c r="D3087" s="17" t="s">
        <v>59</v>
      </c>
      <c r="E3087" s="17" t="s">
        <v>13</v>
      </c>
      <c r="F3087" s="16" t="s">
        <v>9621</v>
      </c>
    </row>
    <row r="3088" spans="1:6" x14ac:dyDescent="0.25">
      <c r="A3088" s="16" t="s">
        <v>9622</v>
      </c>
      <c r="B3088" s="17" t="s">
        <v>9623</v>
      </c>
      <c r="C3088" s="17" t="s">
        <v>11</v>
      </c>
      <c r="D3088" s="17" t="s">
        <v>12</v>
      </c>
      <c r="E3088" s="17" t="s">
        <v>13</v>
      </c>
      <c r="F3088" s="16" t="s">
        <v>9624</v>
      </c>
    </row>
    <row r="3089" spans="1:6" x14ac:dyDescent="0.25">
      <c r="A3089" s="16" t="s">
        <v>9625</v>
      </c>
      <c r="B3089" s="17" t="s">
        <v>9626</v>
      </c>
      <c r="C3089" s="17" t="s">
        <v>11</v>
      </c>
      <c r="D3089" s="17" t="s">
        <v>12</v>
      </c>
      <c r="E3089" s="17" t="s">
        <v>13</v>
      </c>
      <c r="F3089" s="16" t="s">
        <v>9627</v>
      </c>
    </row>
    <row r="3090" spans="1:6" x14ac:dyDescent="0.25">
      <c r="A3090" s="16" t="s">
        <v>9628</v>
      </c>
      <c r="B3090" s="17" t="s">
        <v>9629</v>
      </c>
      <c r="C3090" s="17" t="s">
        <v>11</v>
      </c>
      <c r="D3090" s="17" t="s">
        <v>12</v>
      </c>
      <c r="E3090" s="17" t="s">
        <v>13</v>
      </c>
      <c r="F3090" s="16" t="s">
        <v>9630</v>
      </c>
    </row>
    <row r="3091" spans="1:6" x14ac:dyDescent="0.25">
      <c r="A3091" s="16" t="s">
        <v>9631</v>
      </c>
      <c r="B3091" s="17" t="s">
        <v>9632</v>
      </c>
      <c r="C3091" s="17" t="s">
        <v>11</v>
      </c>
      <c r="D3091" s="17" t="s">
        <v>12</v>
      </c>
      <c r="E3091" s="17" t="s">
        <v>13</v>
      </c>
      <c r="F3091" s="16" t="s">
        <v>9633</v>
      </c>
    </row>
    <row r="3092" spans="1:6" x14ac:dyDescent="0.25">
      <c r="A3092" s="16" t="s">
        <v>9634</v>
      </c>
      <c r="B3092" s="17" t="s">
        <v>9635</v>
      </c>
      <c r="C3092" s="17" t="s">
        <v>11</v>
      </c>
      <c r="D3092" s="17" t="s">
        <v>12</v>
      </c>
      <c r="E3092" s="17" t="s">
        <v>13</v>
      </c>
      <c r="F3092" s="16" t="s">
        <v>9636</v>
      </c>
    </row>
    <row r="3093" spans="1:6" x14ac:dyDescent="0.25">
      <c r="A3093" s="16" t="s">
        <v>9637</v>
      </c>
      <c r="B3093" s="17" t="s">
        <v>9638</v>
      </c>
      <c r="C3093" s="17" t="s">
        <v>11</v>
      </c>
      <c r="D3093" s="17" t="s">
        <v>32</v>
      </c>
      <c r="E3093" s="17" t="s">
        <v>20</v>
      </c>
      <c r="F3093" s="16" t="s">
        <v>9639</v>
      </c>
    </row>
    <row r="3094" spans="1:6" x14ac:dyDescent="0.25">
      <c r="A3094" s="16" t="s">
        <v>9640</v>
      </c>
      <c r="B3094" s="17" t="s">
        <v>9641</v>
      </c>
      <c r="C3094" s="17" t="s">
        <v>11</v>
      </c>
      <c r="D3094" s="17" t="s">
        <v>12</v>
      </c>
      <c r="E3094" s="17" t="s">
        <v>13</v>
      </c>
      <c r="F3094" s="16" t="s">
        <v>9642</v>
      </c>
    </row>
    <row r="3095" spans="1:6" x14ac:dyDescent="0.25">
      <c r="A3095" s="16" t="s">
        <v>9643</v>
      </c>
      <c r="B3095" s="17" t="s">
        <v>9644</v>
      </c>
      <c r="C3095" s="17" t="s">
        <v>11</v>
      </c>
      <c r="D3095" s="17" t="s">
        <v>12</v>
      </c>
      <c r="E3095" s="17" t="s">
        <v>13</v>
      </c>
      <c r="F3095" s="16" t="s">
        <v>9645</v>
      </c>
    </row>
    <row r="3096" spans="1:6" x14ac:dyDescent="0.25">
      <c r="A3096" s="16" t="s">
        <v>9646</v>
      </c>
      <c r="B3096" s="17" t="s">
        <v>9647</v>
      </c>
      <c r="C3096" s="17" t="s">
        <v>11</v>
      </c>
      <c r="D3096" s="17" t="s">
        <v>32</v>
      </c>
      <c r="E3096" s="17" t="s">
        <v>20</v>
      </c>
      <c r="F3096" s="16" t="s">
        <v>9648</v>
      </c>
    </row>
    <row r="3097" spans="1:6" x14ac:dyDescent="0.25">
      <c r="A3097" s="16" t="s">
        <v>9649</v>
      </c>
      <c r="B3097" s="17" t="s">
        <v>9650</v>
      </c>
      <c r="C3097" s="17" t="s">
        <v>11</v>
      </c>
      <c r="D3097" s="17" t="s">
        <v>32</v>
      </c>
      <c r="E3097" s="17" t="s">
        <v>20</v>
      </c>
      <c r="F3097" s="16" t="s">
        <v>9651</v>
      </c>
    </row>
    <row r="3098" spans="1:6" x14ac:dyDescent="0.25">
      <c r="A3098" s="16" t="s">
        <v>9652</v>
      </c>
      <c r="B3098" s="17" t="s">
        <v>9653</v>
      </c>
      <c r="C3098" s="17" t="s">
        <v>11</v>
      </c>
      <c r="D3098" s="17" t="s">
        <v>26</v>
      </c>
      <c r="E3098" s="17" t="s">
        <v>20</v>
      </c>
      <c r="F3098" s="16" t="s">
        <v>9654</v>
      </c>
    </row>
    <row r="3099" spans="1:6" x14ac:dyDescent="0.25">
      <c r="A3099" s="16" t="s">
        <v>9655</v>
      </c>
      <c r="B3099" s="17" t="s">
        <v>9656</v>
      </c>
      <c r="C3099" s="17" t="s">
        <v>11</v>
      </c>
      <c r="D3099" s="17" t="s">
        <v>12</v>
      </c>
      <c r="E3099" s="17" t="s">
        <v>13</v>
      </c>
      <c r="F3099" s="16" t="s">
        <v>9657</v>
      </c>
    </row>
    <row r="3100" spans="1:6" x14ac:dyDescent="0.25">
      <c r="A3100" s="16" t="s">
        <v>9658</v>
      </c>
      <c r="B3100" s="17" t="s">
        <v>9659</v>
      </c>
      <c r="C3100" s="17" t="s">
        <v>11</v>
      </c>
      <c r="D3100" s="17" t="s">
        <v>148</v>
      </c>
      <c r="E3100" s="17" t="s">
        <v>20</v>
      </c>
      <c r="F3100" s="16" t="s">
        <v>9660</v>
      </c>
    </row>
    <row r="3101" spans="1:6" x14ac:dyDescent="0.25">
      <c r="A3101" s="16" t="s">
        <v>9661</v>
      </c>
      <c r="B3101" s="17" t="s">
        <v>9662</v>
      </c>
      <c r="C3101" s="17" t="s">
        <v>11</v>
      </c>
      <c r="D3101" s="17" t="s">
        <v>182</v>
      </c>
      <c r="E3101" s="17" t="s">
        <v>20</v>
      </c>
      <c r="F3101" s="16" t="s">
        <v>9663</v>
      </c>
    </row>
    <row r="3102" spans="1:6" x14ac:dyDescent="0.25">
      <c r="A3102" s="16" t="s">
        <v>9664</v>
      </c>
      <c r="B3102" s="17" t="s">
        <v>9665</v>
      </c>
      <c r="C3102" s="17" t="s">
        <v>11</v>
      </c>
      <c r="D3102" s="17" t="s">
        <v>1402</v>
      </c>
      <c r="E3102" s="17" t="s">
        <v>13</v>
      </c>
      <c r="F3102" s="16" t="s">
        <v>9666</v>
      </c>
    </row>
    <row r="3103" spans="1:6" x14ac:dyDescent="0.25">
      <c r="A3103" s="16" t="s">
        <v>9667</v>
      </c>
      <c r="B3103" s="17" t="s">
        <v>9668</v>
      </c>
      <c r="C3103" s="17" t="s">
        <v>11</v>
      </c>
      <c r="D3103" s="17" t="s">
        <v>250</v>
      </c>
      <c r="E3103" s="17" t="s">
        <v>20</v>
      </c>
      <c r="F3103" s="16" t="s">
        <v>9669</v>
      </c>
    </row>
    <row r="3104" spans="1:6" x14ac:dyDescent="0.25">
      <c r="A3104" s="16" t="s">
        <v>9670</v>
      </c>
      <c r="B3104" s="17" t="s">
        <v>9671</v>
      </c>
      <c r="C3104" s="17" t="s">
        <v>11</v>
      </c>
      <c r="D3104" s="17" t="s">
        <v>1402</v>
      </c>
      <c r="E3104" s="17" t="s">
        <v>13</v>
      </c>
      <c r="F3104" s="16" t="s">
        <v>9672</v>
      </c>
    </row>
    <row r="3105" spans="1:6" x14ac:dyDescent="0.25">
      <c r="A3105" s="16" t="s">
        <v>9673</v>
      </c>
      <c r="B3105" s="17" t="s">
        <v>9674</v>
      </c>
      <c r="C3105" s="17" t="s">
        <v>11</v>
      </c>
      <c r="D3105" s="17" t="s">
        <v>649</v>
      </c>
      <c r="E3105" s="17" t="s">
        <v>20</v>
      </c>
      <c r="F3105" s="16" t="s">
        <v>9675</v>
      </c>
    </row>
    <row r="3106" spans="1:6" x14ac:dyDescent="0.25">
      <c r="A3106" s="16" t="s">
        <v>9676</v>
      </c>
      <c r="B3106" s="17" t="s">
        <v>9677</v>
      </c>
      <c r="C3106" s="17" t="s">
        <v>11</v>
      </c>
      <c r="D3106" s="17" t="s">
        <v>32</v>
      </c>
      <c r="E3106" s="17" t="s">
        <v>20</v>
      </c>
      <c r="F3106" s="16" t="s">
        <v>9678</v>
      </c>
    </row>
    <row r="3107" spans="1:6" x14ac:dyDescent="0.25">
      <c r="A3107" s="16" t="s">
        <v>9679</v>
      </c>
      <c r="B3107" s="17" t="s">
        <v>9680</v>
      </c>
      <c r="C3107" s="17" t="s">
        <v>11</v>
      </c>
      <c r="D3107" s="17" t="s">
        <v>12</v>
      </c>
      <c r="E3107" s="17" t="s">
        <v>13</v>
      </c>
      <c r="F3107" s="16" t="s">
        <v>9681</v>
      </c>
    </row>
    <row r="3108" spans="1:6" x14ac:dyDescent="0.25">
      <c r="A3108" s="16" t="s">
        <v>9682</v>
      </c>
      <c r="B3108" s="17" t="s">
        <v>9683</v>
      </c>
      <c r="C3108" s="17" t="s">
        <v>11</v>
      </c>
      <c r="D3108" s="17" t="s">
        <v>12</v>
      </c>
      <c r="E3108" s="17" t="s">
        <v>13</v>
      </c>
      <c r="F3108" s="16" t="s">
        <v>9684</v>
      </c>
    </row>
    <row r="3109" spans="1:6" x14ac:dyDescent="0.25">
      <c r="A3109" s="16" t="s">
        <v>9685</v>
      </c>
      <c r="B3109" s="17" t="s">
        <v>9686</v>
      </c>
      <c r="C3109" s="17" t="s">
        <v>11</v>
      </c>
      <c r="D3109" s="17" t="s">
        <v>12</v>
      </c>
      <c r="E3109" s="17" t="s">
        <v>13</v>
      </c>
      <c r="F3109" s="16" t="s">
        <v>9687</v>
      </c>
    </row>
    <row r="3110" spans="1:6" x14ac:dyDescent="0.25">
      <c r="A3110" s="16" t="s">
        <v>9688</v>
      </c>
      <c r="B3110" s="17" t="s">
        <v>9689</v>
      </c>
      <c r="C3110" s="17" t="s">
        <v>11</v>
      </c>
      <c r="D3110" s="17" t="s">
        <v>1402</v>
      </c>
      <c r="E3110" s="17" t="s">
        <v>13</v>
      </c>
      <c r="F3110" s="16" t="s">
        <v>9690</v>
      </c>
    </row>
    <row r="3111" spans="1:6" x14ac:dyDescent="0.25">
      <c r="A3111" s="16" t="s">
        <v>9691</v>
      </c>
      <c r="B3111" s="17" t="s">
        <v>9692</v>
      </c>
      <c r="C3111" s="17" t="s">
        <v>11</v>
      </c>
      <c r="D3111" s="17" t="s">
        <v>74</v>
      </c>
      <c r="E3111" s="17" t="s">
        <v>20</v>
      </c>
      <c r="F3111" s="16" t="s">
        <v>9693</v>
      </c>
    </row>
    <row r="3112" spans="1:6" x14ac:dyDescent="0.25">
      <c r="A3112" s="16" t="s">
        <v>9694</v>
      </c>
      <c r="B3112" s="17" t="s">
        <v>9695</v>
      </c>
      <c r="C3112" s="17" t="s">
        <v>11</v>
      </c>
      <c r="D3112" s="17" t="s">
        <v>12</v>
      </c>
      <c r="E3112" s="17" t="s">
        <v>13</v>
      </c>
      <c r="F3112" s="16" t="s">
        <v>9696</v>
      </c>
    </row>
    <row r="3113" spans="1:6" x14ac:dyDescent="0.25">
      <c r="A3113" s="16" t="s">
        <v>9697</v>
      </c>
      <c r="B3113" s="17" t="s">
        <v>9698</v>
      </c>
      <c r="C3113" s="17" t="s">
        <v>11</v>
      </c>
      <c r="D3113" s="17" t="s">
        <v>32</v>
      </c>
      <c r="E3113" s="17" t="s">
        <v>20</v>
      </c>
      <c r="F3113" s="16" t="s">
        <v>9699</v>
      </c>
    </row>
    <row r="3114" spans="1:6" x14ac:dyDescent="0.25">
      <c r="A3114" s="16" t="s">
        <v>9700</v>
      </c>
      <c r="B3114" s="17" t="s">
        <v>9701</v>
      </c>
      <c r="C3114" s="17" t="s">
        <v>214</v>
      </c>
      <c r="D3114" s="17" t="s">
        <v>68</v>
      </c>
      <c r="E3114" s="17" t="s">
        <v>20</v>
      </c>
      <c r="F3114" s="16" t="s">
        <v>9702</v>
      </c>
    </row>
    <row r="3115" spans="1:6" x14ac:dyDescent="0.25">
      <c r="A3115" s="16" t="s">
        <v>9703</v>
      </c>
      <c r="B3115" s="17" t="s">
        <v>9704</v>
      </c>
      <c r="C3115" s="17" t="s">
        <v>11</v>
      </c>
      <c r="D3115" s="17" t="s">
        <v>250</v>
      </c>
      <c r="E3115" s="17" t="s">
        <v>20</v>
      </c>
      <c r="F3115" s="16" t="s">
        <v>9705</v>
      </c>
    </row>
    <row r="3116" spans="1:6" x14ac:dyDescent="0.25">
      <c r="A3116" s="16" t="s">
        <v>9706</v>
      </c>
      <c r="B3116" s="17" t="s">
        <v>9707</v>
      </c>
      <c r="C3116" s="17" t="s">
        <v>11</v>
      </c>
      <c r="D3116" s="17" t="s">
        <v>250</v>
      </c>
      <c r="E3116" s="17" t="s">
        <v>20</v>
      </c>
      <c r="F3116" s="16" t="s">
        <v>9708</v>
      </c>
    </row>
    <row r="3117" spans="1:6" x14ac:dyDescent="0.25">
      <c r="A3117" s="16" t="s">
        <v>9709</v>
      </c>
      <c r="B3117" s="17" t="s">
        <v>9710</v>
      </c>
      <c r="C3117" s="17" t="s">
        <v>11</v>
      </c>
      <c r="D3117" s="17" t="s">
        <v>12</v>
      </c>
      <c r="E3117" s="17" t="s">
        <v>13</v>
      </c>
      <c r="F3117" s="16" t="s">
        <v>9711</v>
      </c>
    </row>
    <row r="3118" spans="1:6" x14ac:dyDescent="0.25">
      <c r="A3118" s="16" t="s">
        <v>9712</v>
      </c>
      <c r="B3118" s="17" t="s">
        <v>9713</v>
      </c>
      <c r="C3118" s="17" t="s">
        <v>11</v>
      </c>
      <c r="D3118" s="17" t="s">
        <v>250</v>
      </c>
      <c r="E3118" s="17" t="s">
        <v>20</v>
      </c>
      <c r="F3118" s="16" t="s">
        <v>9714</v>
      </c>
    </row>
    <row r="3119" spans="1:6" x14ac:dyDescent="0.25">
      <c r="A3119" s="16" t="s">
        <v>9715</v>
      </c>
      <c r="B3119" s="17" t="s">
        <v>9716</v>
      </c>
      <c r="C3119" s="17" t="s">
        <v>11</v>
      </c>
      <c r="D3119" s="17" t="s">
        <v>32</v>
      </c>
      <c r="E3119" s="17" t="s">
        <v>20</v>
      </c>
      <c r="F3119" s="16" t="s">
        <v>9717</v>
      </c>
    </row>
    <row r="3120" spans="1:6" x14ac:dyDescent="0.25">
      <c r="A3120" s="16" t="s">
        <v>9718</v>
      </c>
      <c r="B3120" s="17" t="s">
        <v>9719</v>
      </c>
      <c r="C3120" s="17" t="s">
        <v>11</v>
      </c>
      <c r="D3120" s="17" t="s">
        <v>12</v>
      </c>
      <c r="E3120" s="17" t="s">
        <v>13</v>
      </c>
      <c r="F3120" s="16" t="s">
        <v>9720</v>
      </c>
    </row>
    <row r="3121" spans="1:6" x14ac:dyDescent="0.25">
      <c r="A3121" s="16" t="s">
        <v>9721</v>
      </c>
      <c r="B3121" s="17" t="s">
        <v>9722</v>
      </c>
      <c r="C3121" s="17" t="s">
        <v>11</v>
      </c>
      <c r="D3121" s="17" t="s">
        <v>80</v>
      </c>
      <c r="E3121" s="17" t="s">
        <v>20</v>
      </c>
      <c r="F3121" s="16" t="s">
        <v>9723</v>
      </c>
    </row>
    <row r="3122" spans="1:6" x14ac:dyDescent="0.25">
      <c r="A3122" s="16" t="s">
        <v>9724</v>
      </c>
      <c r="B3122" s="17" t="s">
        <v>9725</v>
      </c>
      <c r="C3122" s="17" t="s">
        <v>11</v>
      </c>
      <c r="D3122" s="17" t="s">
        <v>32</v>
      </c>
      <c r="E3122" s="17" t="s">
        <v>20</v>
      </c>
      <c r="F3122" s="16" t="s">
        <v>9726</v>
      </c>
    </row>
    <row r="3123" spans="1:6" x14ac:dyDescent="0.25">
      <c r="A3123" s="16" t="s">
        <v>9727</v>
      </c>
      <c r="B3123" s="17" t="s">
        <v>9728</v>
      </c>
      <c r="C3123" s="17" t="s">
        <v>11</v>
      </c>
      <c r="D3123" s="17" t="s">
        <v>32</v>
      </c>
      <c r="E3123" s="17" t="s">
        <v>20</v>
      </c>
      <c r="F3123" s="16" t="s">
        <v>9729</v>
      </c>
    </row>
    <row r="3124" spans="1:6" x14ac:dyDescent="0.25">
      <c r="A3124" s="16" t="s">
        <v>9730</v>
      </c>
      <c r="B3124" s="17" t="s">
        <v>9731</v>
      </c>
      <c r="C3124" s="17" t="s">
        <v>11</v>
      </c>
      <c r="D3124" s="17" t="s">
        <v>12</v>
      </c>
      <c r="E3124" s="17" t="s">
        <v>13</v>
      </c>
      <c r="F3124" s="16" t="s">
        <v>9732</v>
      </c>
    </row>
    <row r="3125" spans="1:6" x14ac:dyDescent="0.25">
      <c r="A3125" s="16" t="s">
        <v>9733</v>
      </c>
      <c r="B3125" s="17" t="s">
        <v>9734</v>
      </c>
      <c r="C3125" s="17" t="s">
        <v>11</v>
      </c>
      <c r="D3125" s="17" t="s">
        <v>12</v>
      </c>
      <c r="E3125" s="17" t="s">
        <v>13</v>
      </c>
      <c r="F3125" s="16" t="s">
        <v>9735</v>
      </c>
    </row>
    <row r="3126" spans="1:6" x14ac:dyDescent="0.25">
      <c r="A3126" s="16" t="s">
        <v>9736</v>
      </c>
      <c r="B3126" s="17" t="s">
        <v>9737</v>
      </c>
      <c r="C3126" s="17" t="s">
        <v>11</v>
      </c>
      <c r="D3126" s="17" t="s">
        <v>83</v>
      </c>
      <c r="E3126" s="17" t="s">
        <v>20</v>
      </c>
      <c r="F3126" s="16" t="s">
        <v>9738</v>
      </c>
    </row>
    <row r="3127" spans="1:6" x14ac:dyDescent="0.25">
      <c r="A3127" s="16" t="s">
        <v>9739</v>
      </c>
      <c r="B3127" s="17" t="s">
        <v>9740</v>
      </c>
      <c r="C3127" s="17" t="s">
        <v>11</v>
      </c>
      <c r="D3127" s="17" t="s">
        <v>233</v>
      </c>
      <c r="E3127" s="17" t="s">
        <v>20</v>
      </c>
      <c r="F3127" s="16" t="s">
        <v>9741</v>
      </c>
    </row>
    <row r="3128" spans="1:6" x14ac:dyDescent="0.25">
      <c r="A3128" s="16" t="s">
        <v>9742</v>
      </c>
      <c r="B3128" s="17" t="s">
        <v>9743</v>
      </c>
      <c r="C3128" s="17" t="s">
        <v>11</v>
      </c>
      <c r="D3128" s="17" t="s">
        <v>186</v>
      </c>
      <c r="E3128" s="17" t="s">
        <v>20</v>
      </c>
      <c r="F3128" s="16" t="s">
        <v>9744</v>
      </c>
    </row>
    <row r="3129" spans="1:6" x14ac:dyDescent="0.25">
      <c r="A3129" s="16" t="s">
        <v>9745</v>
      </c>
      <c r="B3129" s="17" t="s">
        <v>9746</v>
      </c>
      <c r="C3129" s="17" t="s">
        <v>11</v>
      </c>
      <c r="D3129" s="17" t="s">
        <v>186</v>
      </c>
      <c r="E3129" s="17" t="s">
        <v>20</v>
      </c>
      <c r="F3129" s="16" t="s">
        <v>9747</v>
      </c>
    </row>
    <row r="3130" spans="1:6" x14ac:dyDescent="0.25">
      <c r="A3130" s="16" t="s">
        <v>9748</v>
      </c>
      <c r="B3130" s="17" t="s">
        <v>9749</v>
      </c>
      <c r="C3130" s="17" t="s">
        <v>11</v>
      </c>
      <c r="D3130" s="17" t="s">
        <v>12</v>
      </c>
      <c r="E3130" s="17" t="s">
        <v>13</v>
      </c>
      <c r="F3130" s="16" t="s">
        <v>9750</v>
      </c>
    </row>
    <row r="3131" spans="1:6" x14ac:dyDescent="0.25">
      <c r="A3131" s="16" t="s">
        <v>9751</v>
      </c>
      <c r="B3131" s="17" t="s">
        <v>9752</v>
      </c>
      <c r="C3131" s="17" t="s">
        <v>11</v>
      </c>
      <c r="D3131" s="17" t="s">
        <v>12</v>
      </c>
      <c r="E3131" s="17" t="s">
        <v>13</v>
      </c>
      <c r="F3131" s="16" t="s">
        <v>9753</v>
      </c>
    </row>
    <row r="3132" spans="1:6" x14ac:dyDescent="0.25">
      <c r="A3132" s="16" t="s">
        <v>9754</v>
      </c>
      <c r="B3132" s="17" t="s">
        <v>9755</v>
      </c>
      <c r="C3132" s="17" t="s">
        <v>11</v>
      </c>
      <c r="D3132" s="17" t="s">
        <v>186</v>
      </c>
      <c r="E3132" s="17" t="s">
        <v>20</v>
      </c>
      <c r="F3132" s="16" t="s">
        <v>9756</v>
      </c>
    </row>
    <row r="3133" spans="1:6" x14ac:dyDescent="0.25">
      <c r="A3133" s="16" t="s">
        <v>9757</v>
      </c>
      <c r="B3133" s="17" t="s">
        <v>9758</v>
      </c>
      <c r="C3133" s="17" t="s">
        <v>11</v>
      </c>
      <c r="D3133" s="17" t="s">
        <v>12</v>
      </c>
      <c r="E3133" s="17" t="s">
        <v>13</v>
      </c>
      <c r="F3133" s="16" t="s">
        <v>9759</v>
      </c>
    </row>
    <row r="3134" spans="1:6" x14ac:dyDescent="0.25">
      <c r="A3134" s="16" t="s">
        <v>9760</v>
      </c>
      <c r="B3134" s="17" t="s">
        <v>9761</v>
      </c>
      <c r="C3134" s="17" t="s">
        <v>11</v>
      </c>
      <c r="D3134" s="17" t="s">
        <v>32</v>
      </c>
      <c r="E3134" s="17" t="s">
        <v>20</v>
      </c>
      <c r="F3134" s="16" t="s">
        <v>9762</v>
      </c>
    </row>
    <row r="3135" spans="1:6" x14ac:dyDescent="0.25">
      <c r="A3135" s="16" t="s">
        <v>9763</v>
      </c>
      <c r="B3135" s="17" t="s">
        <v>9764</v>
      </c>
      <c r="C3135" s="17" t="s">
        <v>11</v>
      </c>
      <c r="D3135" s="17" t="s">
        <v>171</v>
      </c>
      <c r="E3135" s="17" t="s">
        <v>13</v>
      </c>
      <c r="F3135" s="16" t="s">
        <v>9765</v>
      </c>
    </row>
    <row r="3136" spans="1:6" x14ac:dyDescent="0.25">
      <c r="A3136" s="16" t="s">
        <v>9766</v>
      </c>
      <c r="B3136" s="17" t="s">
        <v>9767</v>
      </c>
      <c r="C3136" s="17" t="s">
        <v>11</v>
      </c>
      <c r="D3136" s="17" t="s">
        <v>233</v>
      </c>
      <c r="E3136" s="17" t="s">
        <v>20</v>
      </c>
      <c r="F3136" s="16" t="s">
        <v>9768</v>
      </c>
    </row>
    <row r="3137" spans="1:6" x14ac:dyDescent="0.25">
      <c r="A3137" s="16" t="s">
        <v>9769</v>
      </c>
      <c r="B3137" s="17" t="s">
        <v>9770</v>
      </c>
      <c r="C3137" s="17" t="s">
        <v>11</v>
      </c>
      <c r="D3137" s="17" t="s">
        <v>3246</v>
      </c>
      <c r="E3137" s="17" t="s">
        <v>13</v>
      </c>
      <c r="F3137" s="16" t="s">
        <v>9771</v>
      </c>
    </row>
    <row r="3138" spans="1:6" x14ac:dyDescent="0.25">
      <c r="A3138" s="16" t="s">
        <v>9772</v>
      </c>
      <c r="B3138" s="17" t="s">
        <v>9773</v>
      </c>
      <c r="C3138" s="17" t="s">
        <v>11</v>
      </c>
      <c r="D3138" s="17" t="s">
        <v>12</v>
      </c>
      <c r="E3138" s="17" t="s">
        <v>13</v>
      </c>
      <c r="F3138" s="16" t="s">
        <v>9774</v>
      </c>
    </row>
    <row r="3139" spans="1:6" x14ac:dyDescent="0.25">
      <c r="A3139" s="16" t="s">
        <v>9775</v>
      </c>
      <c r="B3139" s="17" t="s">
        <v>9776</v>
      </c>
      <c r="C3139" s="17" t="s">
        <v>11</v>
      </c>
      <c r="D3139" s="17" t="s">
        <v>12</v>
      </c>
      <c r="E3139" s="17" t="s">
        <v>13</v>
      </c>
      <c r="F3139" s="16" t="s">
        <v>9777</v>
      </c>
    </row>
    <row r="3140" spans="1:6" x14ac:dyDescent="0.25">
      <c r="A3140" s="16" t="s">
        <v>9778</v>
      </c>
      <c r="B3140" s="17" t="s">
        <v>9779</v>
      </c>
      <c r="C3140" s="17" t="s">
        <v>11</v>
      </c>
      <c r="D3140" s="17" t="s">
        <v>32</v>
      </c>
      <c r="E3140" s="17" t="s">
        <v>20</v>
      </c>
      <c r="F3140" s="16" t="s">
        <v>9780</v>
      </c>
    </row>
    <row r="3141" spans="1:6" x14ac:dyDescent="0.25">
      <c r="A3141" s="16" t="s">
        <v>9781</v>
      </c>
      <c r="B3141" s="17" t="s">
        <v>9782</v>
      </c>
      <c r="C3141" s="17" t="s">
        <v>11</v>
      </c>
      <c r="D3141" s="17" t="s">
        <v>12</v>
      </c>
      <c r="E3141" s="17" t="s">
        <v>13</v>
      </c>
      <c r="F3141" s="16" t="s">
        <v>9783</v>
      </c>
    </row>
    <row r="3142" spans="1:6" x14ac:dyDescent="0.25">
      <c r="A3142" s="16" t="s">
        <v>9784</v>
      </c>
      <c r="B3142" s="17" t="s">
        <v>9785</v>
      </c>
      <c r="C3142" s="17" t="s">
        <v>11</v>
      </c>
      <c r="D3142" s="17" t="s">
        <v>74</v>
      </c>
      <c r="E3142" s="17" t="s">
        <v>20</v>
      </c>
      <c r="F3142" s="16" t="s">
        <v>9786</v>
      </c>
    </row>
    <row r="3143" spans="1:6" x14ac:dyDescent="0.25">
      <c r="A3143" s="16" t="s">
        <v>9787</v>
      </c>
      <c r="B3143" s="17" t="s">
        <v>9788</v>
      </c>
      <c r="C3143" s="17" t="s">
        <v>11</v>
      </c>
      <c r="D3143" s="17" t="s">
        <v>1402</v>
      </c>
      <c r="E3143" s="17" t="s">
        <v>13</v>
      </c>
      <c r="F3143" s="16" t="s">
        <v>9789</v>
      </c>
    </row>
    <row r="3144" spans="1:6" x14ac:dyDescent="0.25">
      <c r="A3144" s="16" t="s">
        <v>9790</v>
      </c>
      <c r="B3144" s="17" t="s">
        <v>9791</v>
      </c>
      <c r="C3144" s="17" t="s">
        <v>11</v>
      </c>
      <c r="D3144" s="17" t="s">
        <v>32</v>
      </c>
      <c r="E3144" s="17" t="s">
        <v>20</v>
      </c>
      <c r="F3144" s="16" t="s">
        <v>9792</v>
      </c>
    </row>
    <row r="3145" spans="1:6" x14ac:dyDescent="0.25">
      <c r="A3145" s="16" t="s">
        <v>9793</v>
      </c>
      <c r="B3145" s="17" t="s">
        <v>9794</v>
      </c>
      <c r="C3145" s="17" t="s">
        <v>11</v>
      </c>
      <c r="D3145" s="17" t="s">
        <v>68</v>
      </c>
      <c r="E3145" s="17" t="s">
        <v>20</v>
      </c>
      <c r="F3145" s="16" t="s">
        <v>9795</v>
      </c>
    </row>
    <row r="3146" spans="1:6" x14ac:dyDescent="0.25">
      <c r="A3146" s="16" t="s">
        <v>9796</v>
      </c>
      <c r="B3146" s="17" t="s">
        <v>9797</v>
      </c>
      <c r="C3146" s="17" t="s">
        <v>11</v>
      </c>
      <c r="D3146" s="17" t="s">
        <v>148</v>
      </c>
      <c r="E3146" s="17" t="s">
        <v>20</v>
      </c>
      <c r="F3146" s="16" t="s">
        <v>9798</v>
      </c>
    </row>
    <row r="3147" spans="1:6" x14ac:dyDescent="0.25">
      <c r="A3147" s="16" t="s">
        <v>9799</v>
      </c>
      <c r="B3147" s="17" t="s">
        <v>9800</v>
      </c>
      <c r="C3147" s="17" t="s">
        <v>11</v>
      </c>
      <c r="D3147" s="17" t="s">
        <v>32</v>
      </c>
      <c r="E3147" s="17" t="s">
        <v>20</v>
      </c>
      <c r="F3147" s="16" t="s">
        <v>9801</v>
      </c>
    </row>
    <row r="3148" spans="1:6" x14ac:dyDescent="0.25">
      <c r="A3148" s="16" t="s">
        <v>9802</v>
      </c>
      <c r="B3148" s="17" t="s">
        <v>9803</v>
      </c>
      <c r="C3148" s="17" t="s">
        <v>11</v>
      </c>
      <c r="D3148" s="17" t="s">
        <v>26</v>
      </c>
      <c r="E3148" s="17" t="s">
        <v>20</v>
      </c>
      <c r="F3148" s="16" t="s">
        <v>9804</v>
      </c>
    </row>
    <row r="3149" spans="1:6" x14ac:dyDescent="0.25">
      <c r="A3149" s="16" t="s">
        <v>9805</v>
      </c>
      <c r="B3149" s="17" t="s">
        <v>9806</v>
      </c>
      <c r="C3149" s="17" t="s">
        <v>11</v>
      </c>
      <c r="D3149" s="17" t="s">
        <v>670</v>
      </c>
      <c r="E3149" s="17" t="s">
        <v>20</v>
      </c>
      <c r="F3149" s="16" t="s">
        <v>9807</v>
      </c>
    </row>
    <row r="3150" spans="1:6" x14ac:dyDescent="0.25">
      <c r="A3150" s="16" t="s">
        <v>9808</v>
      </c>
      <c r="B3150" s="17" t="s">
        <v>9809</v>
      </c>
      <c r="C3150" s="17" t="s">
        <v>11</v>
      </c>
      <c r="D3150" s="17" t="s">
        <v>182</v>
      </c>
      <c r="E3150" s="17" t="s">
        <v>20</v>
      </c>
      <c r="F3150" s="16" t="s">
        <v>9810</v>
      </c>
    </row>
    <row r="3151" spans="1:6" x14ac:dyDescent="0.25">
      <c r="A3151" s="16" t="s">
        <v>9811</v>
      </c>
      <c r="B3151" s="17" t="s">
        <v>9812</v>
      </c>
      <c r="C3151" s="17" t="s">
        <v>11</v>
      </c>
      <c r="D3151" s="17" t="s">
        <v>12</v>
      </c>
      <c r="E3151" s="17" t="s">
        <v>13</v>
      </c>
      <c r="F3151" s="16" t="s">
        <v>9813</v>
      </c>
    </row>
    <row r="3152" spans="1:6" x14ac:dyDescent="0.25">
      <c r="A3152" s="16" t="s">
        <v>9814</v>
      </c>
      <c r="B3152" s="17" t="s">
        <v>9815</v>
      </c>
      <c r="C3152" s="17" t="s">
        <v>11</v>
      </c>
      <c r="D3152" s="17" t="s">
        <v>32</v>
      </c>
      <c r="E3152" s="17" t="s">
        <v>20</v>
      </c>
      <c r="F3152" s="16" t="s">
        <v>9816</v>
      </c>
    </row>
    <row r="3153" spans="1:6" x14ac:dyDescent="0.25">
      <c r="A3153" s="16" t="s">
        <v>9817</v>
      </c>
      <c r="B3153" s="17" t="s">
        <v>9818</v>
      </c>
      <c r="C3153" s="17" t="s">
        <v>11</v>
      </c>
      <c r="D3153" s="17" t="s">
        <v>182</v>
      </c>
      <c r="E3153" s="17" t="s">
        <v>20</v>
      </c>
      <c r="F3153" s="16" t="s">
        <v>9819</v>
      </c>
    </row>
    <row r="3154" spans="1:6" x14ac:dyDescent="0.25">
      <c r="A3154" s="16" t="s">
        <v>9820</v>
      </c>
      <c r="B3154" s="17" t="s">
        <v>9821</v>
      </c>
      <c r="C3154" s="17" t="s">
        <v>11</v>
      </c>
      <c r="D3154" s="17" t="s">
        <v>148</v>
      </c>
      <c r="E3154" s="17" t="s">
        <v>20</v>
      </c>
      <c r="F3154" s="16" t="s">
        <v>9822</v>
      </c>
    </row>
    <row r="3155" spans="1:6" x14ac:dyDescent="0.25">
      <c r="A3155" s="16" t="s">
        <v>9823</v>
      </c>
      <c r="B3155" s="17" t="s">
        <v>9824</v>
      </c>
      <c r="C3155" s="17" t="s">
        <v>11</v>
      </c>
      <c r="D3155" s="17" t="s">
        <v>80</v>
      </c>
      <c r="E3155" s="17" t="s">
        <v>20</v>
      </c>
      <c r="F3155" s="16" t="s">
        <v>9825</v>
      </c>
    </row>
    <row r="3156" spans="1:6" x14ac:dyDescent="0.25">
      <c r="A3156" s="16" t="s">
        <v>9826</v>
      </c>
      <c r="B3156" s="17" t="s">
        <v>9827</v>
      </c>
      <c r="C3156" s="17" t="s">
        <v>11</v>
      </c>
      <c r="D3156" s="17" t="s">
        <v>89</v>
      </c>
      <c r="E3156" s="17" t="s">
        <v>20</v>
      </c>
      <c r="F3156" s="16" t="s">
        <v>9828</v>
      </c>
    </row>
    <row r="3157" spans="1:6" x14ac:dyDescent="0.25">
      <c r="A3157" s="16" t="s">
        <v>9829</v>
      </c>
      <c r="B3157" s="17" t="s">
        <v>9830</v>
      </c>
      <c r="C3157" s="17" t="s">
        <v>11</v>
      </c>
      <c r="D3157" s="17" t="s">
        <v>182</v>
      </c>
      <c r="E3157" s="17" t="s">
        <v>20</v>
      </c>
      <c r="F3157" s="16" t="s">
        <v>9831</v>
      </c>
    </row>
    <row r="3158" spans="1:6" x14ac:dyDescent="0.25">
      <c r="A3158" s="16" t="s">
        <v>9832</v>
      </c>
      <c r="B3158" s="17" t="s">
        <v>9833</v>
      </c>
      <c r="C3158" s="17" t="s">
        <v>11</v>
      </c>
      <c r="D3158" s="17" t="s">
        <v>250</v>
      </c>
      <c r="E3158" s="17" t="s">
        <v>20</v>
      </c>
      <c r="F3158" s="16" t="s">
        <v>9834</v>
      </c>
    </row>
    <row r="3159" spans="1:6" x14ac:dyDescent="0.25">
      <c r="A3159" s="16" t="s">
        <v>9835</v>
      </c>
      <c r="B3159" s="17" t="s">
        <v>9836</v>
      </c>
      <c r="C3159" s="17" t="s">
        <v>11</v>
      </c>
      <c r="D3159" s="17" t="s">
        <v>12</v>
      </c>
      <c r="E3159" s="17" t="s">
        <v>13</v>
      </c>
      <c r="F3159" s="16" t="s">
        <v>9837</v>
      </c>
    </row>
    <row r="3160" spans="1:6" x14ac:dyDescent="0.25">
      <c r="A3160" s="16" t="s">
        <v>9838</v>
      </c>
      <c r="B3160" s="17" t="s">
        <v>9839</v>
      </c>
      <c r="C3160" s="17" t="s">
        <v>11</v>
      </c>
      <c r="D3160" s="17" t="s">
        <v>12</v>
      </c>
      <c r="E3160" s="17" t="s">
        <v>13</v>
      </c>
      <c r="F3160" s="16" t="s">
        <v>9840</v>
      </c>
    </row>
    <row r="3161" spans="1:6" x14ac:dyDescent="0.25">
      <c r="A3161" s="16" t="s">
        <v>9841</v>
      </c>
      <c r="B3161" s="17" t="s">
        <v>9842</v>
      </c>
      <c r="C3161" s="17" t="s">
        <v>11</v>
      </c>
      <c r="D3161" s="17" t="s">
        <v>83</v>
      </c>
      <c r="E3161" s="17" t="s">
        <v>20</v>
      </c>
      <c r="F3161" s="16" t="s">
        <v>9843</v>
      </c>
    </row>
    <row r="3162" spans="1:6" x14ac:dyDescent="0.25">
      <c r="A3162" s="16" t="s">
        <v>9844</v>
      </c>
      <c r="B3162" s="17" t="s">
        <v>9845</v>
      </c>
      <c r="C3162" s="17" t="s">
        <v>11</v>
      </c>
      <c r="D3162" s="17" t="s">
        <v>26</v>
      </c>
      <c r="E3162" s="17" t="s">
        <v>20</v>
      </c>
      <c r="F3162" s="16" t="s">
        <v>9846</v>
      </c>
    </row>
    <row r="3163" spans="1:6" x14ac:dyDescent="0.25">
      <c r="A3163" s="16" t="s">
        <v>9847</v>
      </c>
      <c r="B3163" s="17" t="s">
        <v>9848</v>
      </c>
      <c r="C3163" s="17" t="s">
        <v>11</v>
      </c>
      <c r="D3163" s="17" t="s">
        <v>19</v>
      </c>
      <c r="E3163" s="17" t="s">
        <v>20</v>
      </c>
      <c r="F3163" s="16" t="s">
        <v>9849</v>
      </c>
    </row>
    <row r="3164" spans="1:6" x14ac:dyDescent="0.25">
      <c r="A3164" s="16" t="s">
        <v>9850</v>
      </c>
      <c r="B3164" s="17" t="s">
        <v>9851</v>
      </c>
      <c r="C3164" s="17" t="s">
        <v>11</v>
      </c>
      <c r="D3164" s="17" t="s">
        <v>32</v>
      </c>
      <c r="E3164" s="17" t="s">
        <v>20</v>
      </c>
      <c r="F3164" s="16" t="s">
        <v>9852</v>
      </c>
    </row>
    <row r="3165" spans="1:6" x14ac:dyDescent="0.25">
      <c r="A3165" s="16" t="s">
        <v>9853</v>
      </c>
      <c r="B3165" s="17" t="s">
        <v>9854</v>
      </c>
      <c r="C3165" s="17" t="s">
        <v>11</v>
      </c>
      <c r="D3165" s="17" t="s">
        <v>12</v>
      </c>
      <c r="E3165" s="17" t="s">
        <v>13</v>
      </c>
      <c r="F3165" s="16" t="s">
        <v>9855</v>
      </c>
    </row>
    <row r="3166" spans="1:6" x14ac:dyDescent="0.25">
      <c r="A3166" s="16" t="s">
        <v>9856</v>
      </c>
      <c r="B3166" s="17" t="s">
        <v>9857</v>
      </c>
      <c r="C3166" s="17" t="s">
        <v>11</v>
      </c>
      <c r="D3166" s="17" t="s">
        <v>32</v>
      </c>
      <c r="E3166" s="17" t="s">
        <v>20</v>
      </c>
      <c r="F3166" s="16" t="s">
        <v>9858</v>
      </c>
    </row>
    <row r="3167" spans="1:6" x14ac:dyDescent="0.25">
      <c r="A3167" s="16" t="s">
        <v>9859</v>
      </c>
      <c r="B3167" s="17" t="s">
        <v>9860</v>
      </c>
      <c r="C3167" s="17" t="s">
        <v>11</v>
      </c>
      <c r="D3167" s="17" t="s">
        <v>250</v>
      </c>
      <c r="E3167" s="17" t="s">
        <v>20</v>
      </c>
      <c r="F3167" s="16" t="s">
        <v>9861</v>
      </c>
    </row>
    <row r="3168" spans="1:6" x14ac:dyDescent="0.25">
      <c r="A3168" s="16" t="s">
        <v>9862</v>
      </c>
      <c r="B3168" s="17" t="s">
        <v>9863</v>
      </c>
      <c r="C3168" s="17" t="s">
        <v>11</v>
      </c>
      <c r="D3168" s="17" t="s">
        <v>182</v>
      </c>
      <c r="E3168" s="17" t="s">
        <v>20</v>
      </c>
      <c r="F3168" s="16" t="s">
        <v>9864</v>
      </c>
    </row>
    <row r="3169" spans="1:6" x14ac:dyDescent="0.25">
      <c r="A3169" s="16" t="s">
        <v>9865</v>
      </c>
      <c r="B3169" s="17" t="s">
        <v>9866</v>
      </c>
      <c r="C3169" s="17" t="s">
        <v>11</v>
      </c>
      <c r="D3169" s="17" t="s">
        <v>12</v>
      </c>
      <c r="E3169" s="17" t="s">
        <v>13</v>
      </c>
      <c r="F3169" s="16" t="s">
        <v>9867</v>
      </c>
    </row>
    <row r="3170" spans="1:6" x14ac:dyDescent="0.25">
      <c r="A3170" s="16" t="s">
        <v>9868</v>
      </c>
      <c r="B3170" s="17" t="s">
        <v>9869</v>
      </c>
      <c r="C3170" s="17" t="s">
        <v>11</v>
      </c>
      <c r="D3170" s="17" t="s">
        <v>291</v>
      </c>
      <c r="E3170" s="17" t="s">
        <v>20</v>
      </c>
      <c r="F3170" s="16" t="s">
        <v>9870</v>
      </c>
    </row>
    <row r="3171" spans="1:6" x14ac:dyDescent="0.25">
      <c r="A3171" s="16" t="s">
        <v>9871</v>
      </c>
      <c r="B3171" s="17" t="s">
        <v>9872</v>
      </c>
      <c r="C3171" s="17" t="s">
        <v>11</v>
      </c>
      <c r="D3171" s="17" t="s">
        <v>26</v>
      </c>
      <c r="E3171" s="17" t="s">
        <v>20</v>
      </c>
      <c r="F3171" s="16" t="s">
        <v>9873</v>
      </c>
    </row>
    <row r="3172" spans="1:6" x14ac:dyDescent="0.25">
      <c r="A3172" s="16" t="s">
        <v>9874</v>
      </c>
      <c r="B3172" s="17" t="s">
        <v>9875</v>
      </c>
      <c r="C3172" s="17" t="s">
        <v>11</v>
      </c>
      <c r="D3172" s="17" t="s">
        <v>32</v>
      </c>
      <c r="E3172" s="17" t="s">
        <v>20</v>
      </c>
      <c r="F3172" s="16" t="s">
        <v>9876</v>
      </c>
    </row>
    <row r="3173" spans="1:6" x14ac:dyDescent="0.25">
      <c r="A3173" s="16" t="s">
        <v>9877</v>
      </c>
      <c r="B3173" s="17" t="s">
        <v>9878</v>
      </c>
      <c r="C3173" s="17" t="s">
        <v>11</v>
      </c>
      <c r="D3173" s="17" t="s">
        <v>811</v>
      </c>
      <c r="E3173" s="17" t="s">
        <v>20</v>
      </c>
      <c r="F3173" s="16" t="s">
        <v>9879</v>
      </c>
    </row>
    <row r="3174" spans="1:6" x14ac:dyDescent="0.25">
      <c r="A3174" s="16" t="s">
        <v>9880</v>
      </c>
      <c r="B3174" s="17" t="s">
        <v>9881</v>
      </c>
      <c r="C3174" s="17" t="s">
        <v>11</v>
      </c>
      <c r="D3174" s="17" t="s">
        <v>80</v>
      </c>
      <c r="E3174" s="17" t="s">
        <v>20</v>
      </c>
      <c r="F3174" s="16" t="s">
        <v>9882</v>
      </c>
    </row>
    <row r="3175" spans="1:6" x14ac:dyDescent="0.25">
      <c r="A3175" s="16" t="s">
        <v>9883</v>
      </c>
      <c r="B3175" s="17" t="s">
        <v>9884</v>
      </c>
      <c r="C3175" s="17" t="s">
        <v>11</v>
      </c>
      <c r="D3175" s="17" t="s">
        <v>12</v>
      </c>
      <c r="E3175" s="17" t="s">
        <v>13</v>
      </c>
      <c r="F3175" s="16" t="s">
        <v>9885</v>
      </c>
    </row>
    <row r="3176" spans="1:6" x14ac:dyDescent="0.25">
      <c r="A3176" s="16" t="s">
        <v>9886</v>
      </c>
      <c r="B3176" s="17" t="s">
        <v>9887</v>
      </c>
      <c r="C3176" s="17" t="s">
        <v>11</v>
      </c>
      <c r="D3176" s="17" t="s">
        <v>83</v>
      </c>
      <c r="E3176" s="17" t="s">
        <v>20</v>
      </c>
      <c r="F3176" s="16" t="s">
        <v>9888</v>
      </c>
    </row>
    <row r="3177" spans="1:6" x14ac:dyDescent="0.25">
      <c r="A3177" s="16" t="s">
        <v>9889</v>
      </c>
      <c r="B3177" s="17" t="s">
        <v>9890</v>
      </c>
      <c r="C3177" s="17" t="s">
        <v>11</v>
      </c>
      <c r="D3177" s="17" t="s">
        <v>182</v>
      </c>
      <c r="E3177" s="17" t="s">
        <v>20</v>
      </c>
      <c r="F3177" s="16" t="s">
        <v>9891</v>
      </c>
    </row>
    <row r="3178" spans="1:6" x14ac:dyDescent="0.25">
      <c r="A3178" s="16" t="s">
        <v>9892</v>
      </c>
      <c r="B3178" s="17" t="s">
        <v>9893</v>
      </c>
      <c r="C3178" s="17" t="s">
        <v>11</v>
      </c>
      <c r="D3178" s="17" t="s">
        <v>148</v>
      </c>
      <c r="E3178" s="17" t="s">
        <v>20</v>
      </c>
      <c r="F3178" s="16" t="s">
        <v>9894</v>
      </c>
    </row>
    <row r="3179" spans="1:6" x14ac:dyDescent="0.25">
      <c r="A3179" s="16" t="s">
        <v>9895</v>
      </c>
      <c r="B3179" s="17" t="s">
        <v>9896</v>
      </c>
      <c r="C3179" s="17" t="s">
        <v>11</v>
      </c>
      <c r="D3179" s="17" t="s">
        <v>649</v>
      </c>
      <c r="E3179" s="17" t="s">
        <v>20</v>
      </c>
      <c r="F3179" s="16" t="s">
        <v>9897</v>
      </c>
    </row>
    <row r="3180" spans="1:6" x14ac:dyDescent="0.25">
      <c r="A3180" s="16" t="s">
        <v>9898</v>
      </c>
      <c r="B3180" s="17" t="s">
        <v>9899</v>
      </c>
      <c r="C3180" s="17" t="s">
        <v>214</v>
      </c>
      <c r="D3180" s="17" t="s">
        <v>26</v>
      </c>
      <c r="E3180" s="17" t="s">
        <v>20</v>
      </c>
      <c r="F3180" s="16" t="s">
        <v>9900</v>
      </c>
    </row>
    <row r="3181" spans="1:6" x14ac:dyDescent="0.25">
      <c r="A3181" s="16" t="s">
        <v>9901</v>
      </c>
      <c r="B3181" s="17" t="s">
        <v>9902</v>
      </c>
      <c r="C3181" s="17" t="s">
        <v>11</v>
      </c>
      <c r="D3181" s="17" t="s">
        <v>250</v>
      </c>
      <c r="E3181" s="17" t="s">
        <v>20</v>
      </c>
      <c r="F3181" s="16" t="s">
        <v>9903</v>
      </c>
    </row>
    <row r="3182" spans="1:6" x14ac:dyDescent="0.25">
      <c r="A3182" s="16" t="s">
        <v>9904</v>
      </c>
      <c r="B3182" s="17" t="s">
        <v>9905</v>
      </c>
      <c r="C3182" s="17" t="s">
        <v>11</v>
      </c>
      <c r="D3182" s="17" t="s">
        <v>32</v>
      </c>
      <c r="E3182" s="17" t="s">
        <v>20</v>
      </c>
      <c r="F3182" s="16" t="s">
        <v>9906</v>
      </c>
    </row>
    <row r="3183" spans="1:6" x14ac:dyDescent="0.25">
      <c r="A3183" s="16" t="s">
        <v>9907</v>
      </c>
      <c r="B3183" s="17" t="s">
        <v>9908</v>
      </c>
      <c r="C3183" s="17" t="s">
        <v>11</v>
      </c>
      <c r="D3183" s="17" t="s">
        <v>12</v>
      </c>
      <c r="E3183" s="17" t="s">
        <v>13</v>
      </c>
      <c r="F3183" s="16" t="s">
        <v>9909</v>
      </c>
    </row>
    <row r="3184" spans="1:6" x14ac:dyDescent="0.25">
      <c r="A3184" s="16" t="s">
        <v>9910</v>
      </c>
      <c r="B3184" s="17" t="s">
        <v>9911</v>
      </c>
      <c r="C3184" s="17" t="s">
        <v>11</v>
      </c>
      <c r="D3184" s="17" t="s">
        <v>12</v>
      </c>
      <c r="E3184" s="17" t="s">
        <v>13</v>
      </c>
      <c r="F3184" s="16" t="s">
        <v>9912</v>
      </c>
    </row>
    <row r="3185" spans="1:6" x14ac:dyDescent="0.25">
      <c r="A3185" s="16" t="s">
        <v>9913</v>
      </c>
      <c r="B3185" s="17" t="s">
        <v>9914</v>
      </c>
      <c r="C3185" s="17" t="s">
        <v>11</v>
      </c>
      <c r="D3185" s="17" t="s">
        <v>186</v>
      </c>
      <c r="E3185" s="17" t="s">
        <v>20</v>
      </c>
      <c r="F3185" s="16" t="s">
        <v>9915</v>
      </c>
    </row>
    <row r="3186" spans="1:6" x14ac:dyDescent="0.25">
      <c r="A3186" s="16" t="s">
        <v>9916</v>
      </c>
      <c r="B3186" s="17" t="s">
        <v>9917</v>
      </c>
      <c r="C3186" s="17" t="s">
        <v>11</v>
      </c>
      <c r="D3186" s="17" t="s">
        <v>74</v>
      </c>
      <c r="E3186" s="17" t="s">
        <v>20</v>
      </c>
      <c r="F3186" s="16" t="s">
        <v>9918</v>
      </c>
    </row>
    <row r="3187" spans="1:6" x14ac:dyDescent="0.25">
      <c r="A3187" s="16" t="s">
        <v>9919</v>
      </c>
      <c r="B3187" s="17" t="s">
        <v>9920</v>
      </c>
      <c r="C3187" s="17" t="s">
        <v>11</v>
      </c>
      <c r="D3187" s="17" t="s">
        <v>649</v>
      </c>
      <c r="E3187" s="17" t="s">
        <v>20</v>
      </c>
      <c r="F3187" s="16" t="s">
        <v>9921</v>
      </c>
    </row>
    <row r="3188" spans="1:6" x14ac:dyDescent="0.25">
      <c r="A3188" s="16" t="s">
        <v>9922</v>
      </c>
      <c r="B3188" s="17" t="s">
        <v>9923</v>
      </c>
      <c r="C3188" s="17" t="s">
        <v>11</v>
      </c>
      <c r="D3188" s="17" t="s">
        <v>32</v>
      </c>
      <c r="E3188" s="17" t="s">
        <v>20</v>
      </c>
      <c r="F3188" s="16" t="s">
        <v>9924</v>
      </c>
    </row>
    <row r="3189" spans="1:6" x14ac:dyDescent="0.25">
      <c r="A3189" s="16" t="s">
        <v>9925</v>
      </c>
      <c r="B3189" s="17" t="s">
        <v>9926</v>
      </c>
      <c r="C3189" s="17" t="s">
        <v>11</v>
      </c>
      <c r="D3189" s="17" t="s">
        <v>148</v>
      </c>
      <c r="E3189" s="17" t="s">
        <v>20</v>
      </c>
      <c r="F3189" s="16" t="s">
        <v>9927</v>
      </c>
    </row>
    <row r="3190" spans="1:6" x14ac:dyDescent="0.25">
      <c r="A3190" s="16" t="s">
        <v>9928</v>
      </c>
      <c r="B3190" s="17" t="s">
        <v>9929</v>
      </c>
      <c r="C3190" s="17" t="s">
        <v>11</v>
      </c>
      <c r="D3190" s="17" t="s">
        <v>182</v>
      </c>
      <c r="E3190" s="17" t="s">
        <v>20</v>
      </c>
      <c r="F3190" s="16" t="s">
        <v>9930</v>
      </c>
    </row>
    <row r="3191" spans="1:6" x14ac:dyDescent="0.25">
      <c r="A3191" s="16" t="s">
        <v>9931</v>
      </c>
      <c r="B3191" s="17" t="s">
        <v>9932</v>
      </c>
      <c r="C3191" s="17" t="s">
        <v>11</v>
      </c>
      <c r="D3191" s="17" t="s">
        <v>148</v>
      </c>
      <c r="E3191" s="17" t="s">
        <v>20</v>
      </c>
      <c r="F3191" s="16" t="s">
        <v>9933</v>
      </c>
    </row>
    <row r="3192" spans="1:6" x14ac:dyDescent="0.25">
      <c r="A3192" s="16" t="s">
        <v>9934</v>
      </c>
      <c r="B3192" s="17" t="s">
        <v>9935</v>
      </c>
      <c r="C3192" s="17" t="s">
        <v>11</v>
      </c>
      <c r="D3192" s="17" t="s">
        <v>182</v>
      </c>
      <c r="E3192" s="17" t="s">
        <v>20</v>
      </c>
      <c r="F3192" s="16" t="s">
        <v>9936</v>
      </c>
    </row>
    <row r="3193" spans="1:6" x14ac:dyDescent="0.25">
      <c r="A3193" s="16" t="s">
        <v>9937</v>
      </c>
      <c r="B3193" s="17" t="s">
        <v>9938</v>
      </c>
      <c r="C3193" s="17" t="s">
        <v>11</v>
      </c>
      <c r="D3193" s="17" t="s">
        <v>182</v>
      </c>
      <c r="E3193" s="17" t="s">
        <v>20</v>
      </c>
      <c r="F3193" s="16" t="s">
        <v>9939</v>
      </c>
    </row>
    <row r="3194" spans="1:6" x14ac:dyDescent="0.25">
      <c r="A3194" s="16" t="s">
        <v>9940</v>
      </c>
      <c r="B3194" s="17" t="s">
        <v>9941</v>
      </c>
      <c r="C3194" s="17" t="s">
        <v>11</v>
      </c>
      <c r="D3194" s="17" t="s">
        <v>26</v>
      </c>
      <c r="E3194" s="17" t="s">
        <v>20</v>
      </c>
      <c r="F3194" s="16" t="s">
        <v>9942</v>
      </c>
    </row>
    <row r="3195" spans="1:6" x14ac:dyDescent="0.25">
      <c r="A3195" s="16" t="s">
        <v>9943</v>
      </c>
      <c r="B3195" s="17" t="s">
        <v>9944</v>
      </c>
      <c r="C3195" s="17" t="s">
        <v>11</v>
      </c>
      <c r="D3195" s="17" t="s">
        <v>83</v>
      </c>
      <c r="E3195" s="17" t="s">
        <v>20</v>
      </c>
      <c r="F3195" s="16" t="s">
        <v>9945</v>
      </c>
    </row>
    <row r="3196" spans="1:6" x14ac:dyDescent="0.25">
      <c r="A3196" s="16" t="s">
        <v>9946</v>
      </c>
      <c r="B3196" s="17" t="s">
        <v>9947</v>
      </c>
      <c r="C3196" s="17" t="s">
        <v>11</v>
      </c>
      <c r="D3196" s="17" t="s">
        <v>182</v>
      </c>
      <c r="E3196" s="17" t="s">
        <v>20</v>
      </c>
      <c r="F3196" s="16" t="s">
        <v>9948</v>
      </c>
    </row>
    <row r="3197" spans="1:6" x14ac:dyDescent="0.25">
      <c r="A3197" s="16" t="s">
        <v>9949</v>
      </c>
      <c r="B3197" s="17" t="s">
        <v>9950</v>
      </c>
      <c r="C3197" s="17" t="s">
        <v>11</v>
      </c>
      <c r="D3197" s="17" t="s">
        <v>83</v>
      </c>
      <c r="E3197" s="17" t="s">
        <v>20</v>
      </c>
      <c r="F3197" s="16" t="s">
        <v>9951</v>
      </c>
    </row>
    <row r="3198" spans="1:6" x14ac:dyDescent="0.25">
      <c r="A3198" s="16" t="s">
        <v>9952</v>
      </c>
      <c r="B3198" s="17" t="s">
        <v>9953</v>
      </c>
      <c r="C3198" s="17" t="s">
        <v>11</v>
      </c>
      <c r="D3198" s="17" t="s">
        <v>32</v>
      </c>
      <c r="E3198" s="17" t="s">
        <v>20</v>
      </c>
      <c r="F3198" s="16" t="s">
        <v>9954</v>
      </c>
    </row>
    <row r="3199" spans="1:6" x14ac:dyDescent="0.25">
      <c r="A3199" s="16" t="s">
        <v>9955</v>
      </c>
      <c r="B3199" s="17" t="s">
        <v>9956</v>
      </c>
      <c r="C3199" s="17" t="s">
        <v>11</v>
      </c>
      <c r="D3199" s="17" t="s">
        <v>83</v>
      </c>
      <c r="E3199" s="17" t="s">
        <v>20</v>
      </c>
      <c r="F3199" s="16" t="s">
        <v>9957</v>
      </c>
    </row>
    <row r="3200" spans="1:6" x14ac:dyDescent="0.25">
      <c r="A3200" s="16" t="s">
        <v>9958</v>
      </c>
      <c r="B3200" s="17" t="s">
        <v>9959</v>
      </c>
      <c r="C3200" s="17" t="s">
        <v>11</v>
      </c>
      <c r="D3200" s="17" t="s">
        <v>19</v>
      </c>
      <c r="E3200" s="17" t="s">
        <v>20</v>
      </c>
      <c r="F3200" s="16" t="s">
        <v>9960</v>
      </c>
    </row>
    <row r="3201" spans="1:6" x14ac:dyDescent="0.25">
      <c r="A3201" s="16" t="s">
        <v>9961</v>
      </c>
      <c r="B3201" s="17" t="s">
        <v>9962</v>
      </c>
      <c r="C3201" s="17" t="s">
        <v>11</v>
      </c>
      <c r="D3201" s="17" t="s">
        <v>649</v>
      </c>
      <c r="E3201" s="17" t="s">
        <v>20</v>
      </c>
      <c r="F3201" s="16" t="s">
        <v>9963</v>
      </c>
    </row>
    <row r="3202" spans="1:6" x14ac:dyDescent="0.25">
      <c r="A3202" s="16" t="s">
        <v>9964</v>
      </c>
      <c r="B3202" s="17" t="s">
        <v>9965</v>
      </c>
      <c r="C3202" s="17" t="s">
        <v>11</v>
      </c>
      <c r="D3202" s="17" t="s">
        <v>83</v>
      </c>
      <c r="E3202" s="17" t="s">
        <v>20</v>
      </c>
      <c r="F3202" s="16" t="s">
        <v>9966</v>
      </c>
    </row>
    <row r="3203" spans="1:6" x14ac:dyDescent="0.25">
      <c r="A3203" s="16" t="s">
        <v>9967</v>
      </c>
      <c r="B3203" s="17" t="s">
        <v>9968</v>
      </c>
      <c r="C3203" s="17" t="s">
        <v>11</v>
      </c>
      <c r="D3203" s="17" t="s">
        <v>19</v>
      </c>
      <c r="E3203" s="17" t="s">
        <v>20</v>
      </c>
      <c r="F3203" s="16" t="s">
        <v>9969</v>
      </c>
    </row>
    <row r="3204" spans="1:6" x14ac:dyDescent="0.25">
      <c r="A3204" s="16" t="s">
        <v>9970</v>
      </c>
      <c r="B3204" s="17" t="s">
        <v>9971</v>
      </c>
      <c r="C3204" s="17" t="s">
        <v>11</v>
      </c>
      <c r="D3204" s="17" t="s">
        <v>83</v>
      </c>
      <c r="E3204" s="17" t="s">
        <v>20</v>
      </c>
      <c r="F3204" s="16" t="s">
        <v>9972</v>
      </c>
    </row>
    <row r="3205" spans="1:6" x14ac:dyDescent="0.25">
      <c r="A3205" s="16" t="s">
        <v>9973</v>
      </c>
      <c r="B3205" s="17" t="s">
        <v>9974</v>
      </c>
      <c r="C3205" s="17" t="s">
        <v>11</v>
      </c>
      <c r="D3205" s="17" t="s">
        <v>32</v>
      </c>
      <c r="E3205" s="17" t="s">
        <v>20</v>
      </c>
      <c r="F3205" s="16" t="s">
        <v>9975</v>
      </c>
    </row>
    <row r="3206" spans="1:6" x14ac:dyDescent="0.25">
      <c r="A3206" s="16" t="s">
        <v>9976</v>
      </c>
      <c r="B3206" s="17" t="s">
        <v>9977</v>
      </c>
      <c r="C3206" s="17" t="s">
        <v>11</v>
      </c>
      <c r="D3206" s="17" t="s">
        <v>83</v>
      </c>
      <c r="E3206" s="17" t="s">
        <v>20</v>
      </c>
      <c r="F3206" s="16" t="s">
        <v>9978</v>
      </c>
    </row>
    <row r="3207" spans="1:6" x14ac:dyDescent="0.25">
      <c r="A3207" s="16" t="s">
        <v>9979</v>
      </c>
      <c r="B3207" s="17" t="s">
        <v>9980</v>
      </c>
      <c r="C3207" s="17" t="s">
        <v>11</v>
      </c>
      <c r="D3207" s="17" t="s">
        <v>186</v>
      </c>
      <c r="E3207" s="17" t="s">
        <v>20</v>
      </c>
      <c r="F3207" s="16" t="s">
        <v>9981</v>
      </c>
    </row>
    <row r="3208" spans="1:6" x14ac:dyDescent="0.25">
      <c r="A3208" s="16" t="s">
        <v>9982</v>
      </c>
      <c r="B3208" s="17" t="s">
        <v>9983</v>
      </c>
      <c r="C3208" s="17" t="s">
        <v>11</v>
      </c>
      <c r="D3208" s="17" t="s">
        <v>670</v>
      </c>
      <c r="E3208" s="17" t="s">
        <v>20</v>
      </c>
      <c r="F3208" s="16" t="s">
        <v>9984</v>
      </c>
    </row>
    <row r="3209" spans="1:6" x14ac:dyDescent="0.25">
      <c r="A3209" s="16" t="s">
        <v>9985</v>
      </c>
      <c r="B3209" s="17" t="s">
        <v>9986</v>
      </c>
      <c r="C3209" s="17" t="s">
        <v>11</v>
      </c>
      <c r="D3209" s="17" t="s">
        <v>32</v>
      </c>
      <c r="E3209" s="17" t="s">
        <v>20</v>
      </c>
      <c r="F3209" s="16" t="s">
        <v>9987</v>
      </c>
    </row>
    <row r="3210" spans="1:6" x14ac:dyDescent="0.25">
      <c r="A3210" s="16" t="s">
        <v>9988</v>
      </c>
      <c r="B3210" s="17" t="s">
        <v>9989</v>
      </c>
      <c r="C3210" s="17" t="s">
        <v>11</v>
      </c>
      <c r="D3210" s="17" t="s">
        <v>83</v>
      </c>
      <c r="E3210" s="17" t="s">
        <v>20</v>
      </c>
      <c r="F3210" s="16" t="s">
        <v>9990</v>
      </c>
    </row>
    <row r="3211" spans="1:6" x14ac:dyDescent="0.25">
      <c r="A3211" s="16" t="s">
        <v>9991</v>
      </c>
      <c r="B3211" s="17" t="s">
        <v>9992</v>
      </c>
      <c r="C3211" s="17" t="s">
        <v>11</v>
      </c>
      <c r="D3211" s="17" t="s">
        <v>32</v>
      </c>
      <c r="E3211" s="17" t="s">
        <v>20</v>
      </c>
      <c r="F3211" s="16" t="s">
        <v>9993</v>
      </c>
    </row>
    <row r="3212" spans="1:6" x14ac:dyDescent="0.25">
      <c r="A3212" s="16" t="s">
        <v>9994</v>
      </c>
      <c r="B3212" s="17" t="s">
        <v>9995</v>
      </c>
      <c r="C3212" s="17" t="s">
        <v>11</v>
      </c>
      <c r="D3212" s="17" t="s">
        <v>186</v>
      </c>
      <c r="E3212" s="17" t="s">
        <v>20</v>
      </c>
      <c r="F3212" s="16" t="s">
        <v>9996</v>
      </c>
    </row>
    <row r="3213" spans="1:6" x14ac:dyDescent="0.25">
      <c r="A3213" s="16" t="s">
        <v>9997</v>
      </c>
      <c r="B3213" s="17" t="s">
        <v>9998</v>
      </c>
      <c r="C3213" s="17" t="s">
        <v>11</v>
      </c>
      <c r="D3213" s="17" t="s">
        <v>74</v>
      </c>
      <c r="E3213" s="17" t="s">
        <v>20</v>
      </c>
      <c r="F3213" s="16" t="s">
        <v>9999</v>
      </c>
    </row>
    <row r="3214" spans="1:6" x14ac:dyDescent="0.25">
      <c r="A3214" s="16" t="s">
        <v>10000</v>
      </c>
      <c r="B3214" s="17" t="s">
        <v>10001</v>
      </c>
      <c r="C3214" s="17" t="s">
        <v>11</v>
      </c>
      <c r="D3214" s="17" t="s">
        <v>83</v>
      </c>
      <c r="E3214" s="17" t="s">
        <v>20</v>
      </c>
      <c r="F3214" s="16" t="s">
        <v>10002</v>
      </c>
    </row>
    <row r="3215" spans="1:6" x14ac:dyDescent="0.25">
      <c r="A3215" s="16" t="s">
        <v>10003</v>
      </c>
      <c r="B3215" s="17" t="s">
        <v>10004</v>
      </c>
      <c r="C3215" s="17" t="s">
        <v>11</v>
      </c>
      <c r="D3215" s="17" t="s">
        <v>26</v>
      </c>
      <c r="E3215" s="17" t="s">
        <v>20</v>
      </c>
      <c r="F3215" s="16" t="s">
        <v>10005</v>
      </c>
    </row>
    <row r="3216" spans="1:6" x14ac:dyDescent="0.25">
      <c r="A3216" s="16" t="s">
        <v>10006</v>
      </c>
      <c r="B3216" s="17" t="s">
        <v>10007</v>
      </c>
      <c r="C3216" s="17" t="s">
        <v>11</v>
      </c>
      <c r="D3216" s="17" t="s">
        <v>32</v>
      </c>
      <c r="E3216" s="17" t="s">
        <v>20</v>
      </c>
      <c r="F3216" s="16" t="s">
        <v>10008</v>
      </c>
    </row>
    <row r="3217" spans="1:6" x14ac:dyDescent="0.25">
      <c r="A3217" s="16" t="s">
        <v>10009</v>
      </c>
      <c r="B3217" s="17" t="s">
        <v>10010</v>
      </c>
      <c r="C3217" s="17" t="s">
        <v>11</v>
      </c>
      <c r="D3217" s="17" t="s">
        <v>83</v>
      </c>
      <c r="E3217" s="17" t="s">
        <v>20</v>
      </c>
      <c r="F3217" s="16" t="s">
        <v>10011</v>
      </c>
    </row>
    <row r="3218" spans="1:6" x14ac:dyDescent="0.25">
      <c r="A3218" s="16" t="s">
        <v>10012</v>
      </c>
      <c r="B3218" s="17" t="s">
        <v>10013</v>
      </c>
      <c r="C3218" s="17" t="s">
        <v>11</v>
      </c>
      <c r="D3218" s="17" t="s">
        <v>83</v>
      </c>
      <c r="E3218" s="17" t="s">
        <v>20</v>
      </c>
      <c r="F3218" s="16" t="s">
        <v>10014</v>
      </c>
    </row>
    <row r="3219" spans="1:6" x14ac:dyDescent="0.25">
      <c r="A3219" s="16" t="s">
        <v>10015</v>
      </c>
      <c r="B3219" s="17" t="s">
        <v>10016</v>
      </c>
      <c r="C3219" s="17" t="s">
        <v>11</v>
      </c>
      <c r="D3219" s="17" t="s">
        <v>80</v>
      </c>
      <c r="E3219" s="17" t="s">
        <v>20</v>
      </c>
      <c r="F3219" s="16" t="s">
        <v>10017</v>
      </c>
    </row>
    <row r="3220" spans="1:6" x14ac:dyDescent="0.25">
      <c r="A3220" s="16" t="s">
        <v>10018</v>
      </c>
      <c r="B3220" s="17" t="s">
        <v>10019</v>
      </c>
      <c r="C3220" s="17" t="s">
        <v>11</v>
      </c>
      <c r="D3220" s="17" t="s">
        <v>83</v>
      </c>
      <c r="E3220" s="17" t="s">
        <v>20</v>
      </c>
      <c r="F3220" s="16" t="s">
        <v>10020</v>
      </c>
    </row>
    <row r="3221" spans="1:6" x14ac:dyDescent="0.25">
      <c r="A3221" s="16" t="s">
        <v>10021</v>
      </c>
      <c r="B3221" s="17" t="s">
        <v>10022</v>
      </c>
      <c r="C3221" s="17" t="s">
        <v>11</v>
      </c>
      <c r="D3221" s="17" t="s">
        <v>83</v>
      </c>
      <c r="E3221" s="17" t="s">
        <v>20</v>
      </c>
      <c r="F3221" s="16" t="s">
        <v>10023</v>
      </c>
    </row>
    <row r="3222" spans="1:6" x14ac:dyDescent="0.25">
      <c r="A3222" s="16" t="s">
        <v>10024</v>
      </c>
      <c r="B3222" s="17" t="s">
        <v>10025</v>
      </c>
      <c r="C3222" s="17" t="s">
        <v>11</v>
      </c>
      <c r="D3222" s="17" t="s">
        <v>182</v>
      </c>
      <c r="E3222" s="17" t="s">
        <v>20</v>
      </c>
      <c r="F3222" s="16" t="s">
        <v>10026</v>
      </c>
    </row>
    <row r="3223" spans="1:6" x14ac:dyDescent="0.25">
      <c r="A3223" s="16" t="s">
        <v>10027</v>
      </c>
      <c r="B3223" s="17" t="s">
        <v>10028</v>
      </c>
      <c r="C3223" s="17" t="s">
        <v>11</v>
      </c>
      <c r="D3223" s="17" t="s">
        <v>32</v>
      </c>
      <c r="E3223" s="17" t="s">
        <v>20</v>
      </c>
      <c r="F3223" s="16" t="s">
        <v>10029</v>
      </c>
    </row>
    <row r="3224" spans="1:6" x14ac:dyDescent="0.25">
      <c r="A3224" s="16" t="s">
        <v>10030</v>
      </c>
      <c r="B3224" s="17" t="s">
        <v>10031</v>
      </c>
      <c r="C3224" s="17" t="s">
        <v>11</v>
      </c>
      <c r="D3224" s="17" t="s">
        <v>74</v>
      </c>
      <c r="E3224" s="17" t="s">
        <v>20</v>
      </c>
      <c r="F3224" s="16" t="s">
        <v>10032</v>
      </c>
    </row>
    <row r="3225" spans="1:6" x14ac:dyDescent="0.25">
      <c r="A3225" s="16" t="s">
        <v>10033</v>
      </c>
      <c r="B3225" s="17" t="s">
        <v>10034</v>
      </c>
      <c r="C3225" s="17" t="s">
        <v>11</v>
      </c>
      <c r="D3225" s="17" t="s">
        <v>291</v>
      </c>
      <c r="E3225" s="17" t="s">
        <v>20</v>
      </c>
      <c r="F3225" s="16" t="s">
        <v>10035</v>
      </c>
    </row>
    <row r="3226" spans="1:6" x14ac:dyDescent="0.25">
      <c r="A3226" s="16" t="s">
        <v>10036</v>
      </c>
      <c r="B3226" s="17" t="s">
        <v>10037</v>
      </c>
      <c r="C3226" s="17" t="s">
        <v>11</v>
      </c>
      <c r="D3226" s="17" t="s">
        <v>32</v>
      </c>
      <c r="E3226" s="17" t="s">
        <v>20</v>
      </c>
      <c r="F3226" s="16" t="s">
        <v>10038</v>
      </c>
    </row>
    <row r="3227" spans="1:6" x14ac:dyDescent="0.25">
      <c r="A3227" s="16" t="s">
        <v>10039</v>
      </c>
      <c r="B3227" s="17" t="s">
        <v>10040</v>
      </c>
      <c r="C3227" s="17" t="s">
        <v>11</v>
      </c>
      <c r="D3227" s="17" t="s">
        <v>233</v>
      </c>
      <c r="E3227" s="17" t="s">
        <v>20</v>
      </c>
      <c r="F3227" s="16" t="s">
        <v>10041</v>
      </c>
    </row>
    <row r="3228" spans="1:6" x14ac:dyDescent="0.25">
      <c r="A3228" s="16" t="s">
        <v>10042</v>
      </c>
      <c r="B3228" s="17" t="s">
        <v>10043</v>
      </c>
      <c r="C3228" s="17" t="s">
        <v>11</v>
      </c>
      <c r="D3228" s="17" t="s">
        <v>83</v>
      </c>
      <c r="E3228" s="17" t="s">
        <v>20</v>
      </c>
      <c r="F3228" s="16" t="s">
        <v>10044</v>
      </c>
    </row>
    <row r="3229" spans="1:6" x14ac:dyDescent="0.25">
      <c r="A3229" s="16" t="s">
        <v>10045</v>
      </c>
      <c r="B3229" s="17" t="s">
        <v>10046</v>
      </c>
      <c r="C3229" s="17" t="s">
        <v>11</v>
      </c>
      <c r="D3229" s="17" t="s">
        <v>80</v>
      </c>
      <c r="E3229" s="17" t="s">
        <v>20</v>
      </c>
      <c r="F3229" s="16" t="s">
        <v>10047</v>
      </c>
    </row>
    <row r="3230" spans="1:6" x14ac:dyDescent="0.25">
      <c r="A3230" s="16" t="s">
        <v>10048</v>
      </c>
      <c r="B3230" s="17" t="s">
        <v>10049</v>
      </c>
      <c r="C3230" s="17" t="s">
        <v>11</v>
      </c>
      <c r="D3230" s="17" t="s">
        <v>32</v>
      </c>
      <c r="E3230" s="17" t="s">
        <v>20</v>
      </c>
      <c r="F3230" s="16" t="s">
        <v>10050</v>
      </c>
    </row>
    <row r="3231" spans="1:6" x14ac:dyDescent="0.25">
      <c r="A3231" s="16" t="s">
        <v>10051</v>
      </c>
      <c r="B3231" s="17" t="s">
        <v>10052</v>
      </c>
      <c r="C3231" s="17" t="s">
        <v>11</v>
      </c>
      <c r="D3231" s="17" t="s">
        <v>83</v>
      </c>
      <c r="E3231" s="17" t="s">
        <v>20</v>
      </c>
      <c r="F3231" s="16" t="s">
        <v>10053</v>
      </c>
    </row>
    <row r="3232" spans="1:6" x14ac:dyDescent="0.25">
      <c r="A3232" s="16" t="s">
        <v>10054</v>
      </c>
      <c r="B3232" s="17" t="s">
        <v>10055</v>
      </c>
      <c r="C3232" s="17" t="s">
        <v>11</v>
      </c>
      <c r="D3232" s="17" t="s">
        <v>83</v>
      </c>
      <c r="E3232" s="17" t="s">
        <v>20</v>
      </c>
      <c r="F3232" s="16" t="s">
        <v>10056</v>
      </c>
    </row>
    <row r="3233" spans="1:6" x14ac:dyDescent="0.25">
      <c r="A3233" s="16" t="s">
        <v>10057</v>
      </c>
      <c r="B3233" s="17" t="s">
        <v>10058</v>
      </c>
      <c r="C3233" s="17" t="s">
        <v>11</v>
      </c>
      <c r="D3233" s="17" t="s">
        <v>544</v>
      </c>
      <c r="E3233" s="17" t="s">
        <v>20</v>
      </c>
      <c r="F3233" s="16" t="s">
        <v>10059</v>
      </c>
    </row>
    <row r="3234" spans="1:6" x14ac:dyDescent="0.25">
      <c r="A3234" s="16" t="s">
        <v>10060</v>
      </c>
      <c r="B3234" s="17" t="s">
        <v>10061</v>
      </c>
      <c r="C3234" s="17" t="s">
        <v>11</v>
      </c>
      <c r="D3234" s="17" t="s">
        <v>83</v>
      </c>
      <c r="E3234" s="17" t="s">
        <v>20</v>
      </c>
      <c r="F3234" s="16" t="s">
        <v>10062</v>
      </c>
    </row>
    <row r="3235" spans="1:6" x14ac:dyDescent="0.25">
      <c r="A3235" s="16" t="s">
        <v>10063</v>
      </c>
      <c r="B3235" s="17" t="s">
        <v>10064</v>
      </c>
      <c r="C3235" s="17" t="s">
        <v>11</v>
      </c>
      <c r="D3235" s="17" t="s">
        <v>32</v>
      </c>
      <c r="E3235" s="17" t="s">
        <v>20</v>
      </c>
      <c r="F3235" s="16" t="s">
        <v>10065</v>
      </c>
    </row>
    <row r="3236" spans="1:6" x14ac:dyDescent="0.25">
      <c r="A3236" s="16" t="s">
        <v>10066</v>
      </c>
      <c r="B3236" s="17" t="s">
        <v>10067</v>
      </c>
      <c r="C3236" s="17" t="s">
        <v>11</v>
      </c>
      <c r="D3236" s="17" t="s">
        <v>83</v>
      </c>
      <c r="E3236" s="17" t="s">
        <v>20</v>
      </c>
      <c r="F3236" s="16" t="s">
        <v>10068</v>
      </c>
    </row>
    <row r="3237" spans="1:6" x14ac:dyDescent="0.25">
      <c r="A3237" s="16" t="s">
        <v>10069</v>
      </c>
      <c r="B3237" s="17" t="s">
        <v>10070</v>
      </c>
      <c r="C3237" s="17" t="s">
        <v>11</v>
      </c>
      <c r="D3237" s="17" t="s">
        <v>83</v>
      </c>
      <c r="E3237" s="17" t="s">
        <v>20</v>
      </c>
      <c r="F3237" s="16" t="s">
        <v>10071</v>
      </c>
    </row>
    <row r="3238" spans="1:6" x14ac:dyDescent="0.25">
      <c r="A3238" s="16" t="s">
        <v>10072</v>
      </c>
      <c r="B3238" s="17" t="s">
        <v>10073</v>
      </c>
      <c r="C3238" s="17" t="s">
        <v>11</v>
      </c>
      <c r="D3238" s="17" t="s">
        <v>83</v>
      </c>
      <c r="E3238" s="17" t="s">
        <v>20</v>
      </c>
      <c r="F3238" s="16" t="s">
        <v>10074</v>
      </c>
    </row>
    <row r="3239" spans="1:6" x14ac:dyDescent="0.25">
      <c r="A3239" s="16" t="s">
        <v>10075</v>
      </c>
      <c r="B3239" s="17" t="s">
        <v>10076</v>
      </c>
      <c r="C3239" s="17" t="s">
        <v>11</v>
      </c>
      <c r="D3239" s="17" t="s">
        <v>32</v>
      </c>
      <c r="E3239" s="17" t="s">
        <v>20</v>
      </c>
      <c r="F3239" s="16" t="s">
        <v>10077</v>
      </c>
    </row>
    <row r="3240" spans="1:6" x14ac:dyDescent="0.25">
      <c r="A3240" s="16" t="s">
        <v>10078</v>
      </c>
      <c r="B3240" s="17" t="s">
        <v>10079</v>
      </c>
      <c r="C3240" s="17" t="s">
        <v>11</v>
      </c>
      <c r="D3240" s="17" t="s">
        <v>544</v>
      </c>
      <c r="E3240" s="17" t="s">
        <v>20</v>
      </c>
      <c r="F3240" s="16" t="s">
        <v>10080</v>
      </c>
    </row>
    <row r="3241" spans="1:6" x14ac:dyDescent="0.25">
      <c r="A3241" s="16" t="s">
        <v>10081</v>
      </c>
      <c r="B3241" s="17" t="s">
        <v>10082</v>
      </c>
      <c r="C3241" s="17" t="s">
        <v>11</v>
      </c>
      <c r="D3241" s="17" t="s">
        <v>83</v>
      </c>
      <c r="E3241" s="17" t="s">
        <v>20</v>
      </c>
      <c r="F3241" s="16" t="s">
        <v>10083</v>
      </c>
    </row>
    <row r="3242" spans="1:6" x14ac:dyDescent="0.25">
      <c r="A3242" s="16" t="s">
        <v>10084</v>
      </c>
      <c r="B3242" s="17" t="s">
        <v>10085</v>
      </c>
      <c r="C3242" s="17" t="s">
        <v>11</v>
      </c>
      <c r="D3242" s="17" t="s">
        <v>83</v>
      </c>
      <c r="E3242" s="17" t="s">
        <v>20</v>
      </c>
      <c r="F3242" s="16" t="s">
        <v>10086</v>
      </c>
    </row>
    <row r="3243" spans="1:6" x14ac:dyDescent="0.25">
      <c r="A3243" s="16" t="s">
        <v>10087</v>
      </c>
      <c r="B3243" s="17" t="s">
        <v>10088</v>
      </c>
      <c r="C3243" s="17" t="s">
        <v>11</v>
      </c>
      <c r="D3243" s="17" t="s">
        <v>32</v>
      </c>
      <c r="E3243" s="17" t="s">
        <v>20</v>
      </c>
      <c r="F3243" s="16" t="s">
        <v>10089</v>
      </c>
    </row>
    <row r="3244" spans="1:6" x14ac:dyDescent="0.25">
      <c r="A3244" s="16" t="s">
        <v>10090</v>
      </c>
      <c r="B3244" s="17" t="s">
        <v>10091</v>
      </c>
      <c r="C3244" s="17" t="s">
        <v>11</v>
      </c>
      <c r="D3244" s="17" t="s">
        <v>83</v>
      </c>
      <c r="E3244" s="17" t="s">
        <v>20</v>
      </c>
      <c r="F3244" s="16" t="s">
        <v>10092</v>
      </c>
    </row>
    <row r="3245" spans="1:6" x14ac:dyDescent="0.25">
      <c r="A3245" s="16" t="s">
        <v>10093</v>
      </c>
      <c r="B3245" s="17" t="s">
        <v>10094</v>
      </c>
      <c r="C3245" s="17" t="s">
        <v>11</v>
      </c>
      <c r="D3245" s="17" t="s">
        <v>32</v>
      </c>
      <c r="E3245" s="17" t="s">
        <v>20</v>
      </c>
      <c r="F3245" s="16" t="s">
        <v>10095</v>
      </c>
    </row>
    <row r="3246" spans="1:6" x14ac:dyDescent="0.25">
      <c r="A3246" s="16" t="s">
        <v>10096</v>
      </c>
      <c r="B3246" s="17" t="s">
        <v>10097</v>
      </c>
      <c r="C3246" s="17" t="s">
        <v>11</v>
      </c>
      <c r="D3246" s="17" t="s">
        <v>32</v>
      </c>
      <c r="E3246" s="17" t="s">
        <v>20</v>
      </c>
      <c r="F3246" s="16" t="s">
        <v>10098</v>
      </c>
    </row>
    <row r="3247" spans="1:6" x14ac:dyDescent="0.25">
      <c r="A3247" s="16" t="s">
        <v>10099</v>
      </c>
      <c r="B3247" s="17" t="s">
        <v>10100</v>
      </c>
      <c r="C3247" s="17" t="s">
        <v>11</v>
      </c>
      <c r="D3247" s="17" t="s">
        <v>32</v>
      </c>
      <c r="E3247" s="17" t="s">
        <v>20</v>
      </c>
      <c r="F3247" s="16" t="s">
        <v>10101</v>
      </c>
    </row>
    <row r="3248" spans="1:6" x14ac:dyDescent="0.25">
      <c r="A3248" s="16" t="s">
        <v>10102</v>
      </c>
      <c r="B3248" s="17" t="s">
        <v>10103</v>
      </c>
      <c r="C3248" s="17" t="s">
        <v>11</v>
      </c>
      <c r="D3248" s="17" t="s">
        <v>32</v>
      </c>
      <c r="E3248" s="17" t="s">
        <v>20</v>
      </c>
      <c r="F3248" s="16" t="s">
        <v>10104</v>
      </c>
    </row>
    <row r="3249" spans="1:6" x14ac:dyDescent="0.25">
      <c r="A3249" s="16" t="s">
        <v>10105</v>
      </c>
      <c r="B3249" s="17" t="s">
        <v>10106</v>
      </c>
      <c r="C3249" s="17" t="s">
        <v>11</v>
      </c>
      <c r="D3249" s="17" t="s">
        <v>32</v>
      </c>
      <c r="E3249" s="17" t="s">
        <v>20</v>
      </c>
      <c r="F3249" s="16" t="s">
        <v>10107</v>
      </c>
    </row>
    <row r="3250" spans="1:6" x14ac:dyDescent="0.25">
      <c r="A3250" s="16" t="s">
        <v>10108</v>
      </c>
      <c r="B3250" s="17" t="s">
        <v>10109</v>
      </c>
      <c r="C3250" s="17" t="s">
        <v>11</v>
      </c>
      <c r="D3250" s="17" t="s">
        <v>811</v>
      </c>
      <c r="E3250" s="17" t="s">
        <v>20</v>
      </c>
      <c r="F3250" s="16" t="s">
        <v>10110</v>
      </c>
    </row>
    <row r="3251" spans="1:6" x14ac:dyDescent="0.25">
      <c r="A3251" s="16" t="s">
        <v>10111</v>
      </c>
      <c r="B3251" s="17" t="s">
        <v>10112</v>
      </c>
      <c r="C3251" s="17" t="s">
        <v>11</v>
      </c>
      <c r="D3251" s="17" t="s">
        <v>32</v>
      </c>
      <c r="E3251" s="17" t="s">
        <v>20</v>
      </c>
      <c r="F3251" s="16" t="s">
        <v>10113</v>
      </c>
    </row>
    <row r="3252" spans="1:6" x14ac:dyDescent="0.25">
      <c r="A3252" s="16" t="s">
        <v>10114</v>
      </c>
      <c r="B3252" s="17" t="s">
        <v>10115</v>
      </c>
      <c r="C3252" s="17" t="s">
        <v>11</v>
      </c>
      <c r="D3252" s="17" t="s">
        <v>83</v>
      </c>
      <c r="E3252" s="17" t="s">
        <v>20</v>
      </c>
      <c r="F3252" s="16" t="s">
        <v>10116</v>
      </c>
    </row>
    <row r="3253" spans="1:6" x14ac:dyDescent="0.25">
      <c r="A3253" s="16" t="s">
        <v>10117</v>
      </c>
      <c r="B3253" s="17" t="s">
        <v>10118</v>
      </c>
      <c r="C3253" s="17" t="s">
        <v>11</v>
      </c>
      <c r="D3253" s="17" t="s">
        <v>148</v>
      </c>
      <c r="E3253" s="17" t="s">
        <v>20</v>
      </c>
      <c r="F3253" s="16" t="s">
        <v>10119</v>
      </c>
    </row>
    <row r="3254" spans="1:6" x14ac:dyDescent="0.25">
      <c r="A3254" s="16" t="s">
        <v>10120</v>
      </c>
      <c r="B3254" s="17" t="s">
        <v>10121</v>
      </c>
      <c r="C3254" s="17" t="s">
        <v>11</v>
      </c>
      <c r="D3254" s="17" t="s">
        <v>12</v>
      </c>
      <c r="E3254" s="17" t="s">
        <v>13</v>
      </c>
      <c r="F3254" s="16" t="s">
        <v>10122</v>
      </c>
    </row>
    <row r="3255" spans="1:6" x14ac:dyDescent="0.25">
      <c r="A3255" s="16" t="s">
        <v>10123</v>
      </c>
      <c r="B3255" s="17" t="s">
        <v>10124</v>
      </c>
      <c r="C3255" s="17" t="s">
        <v>11</v>
      </c>
      <c r="D3255" s="17" t="s">
        <v>12</v>
      </c>
      <c r="E3255" s="17" t="s">
        <v>13</v>
      </c>
      <c r="F3255" s="16" t="s">
        <v>10125</v>
      </c>
    </row>
    <row r="3256" spans="1:6" x14ac:dyDescent="0.25">
      <c r="A3256" s="16" t="s">
        <v>10126</v>
      </c>
      <c r="B3256" s="17" t="s">
        <v>10127</v>
      </c>
      <c r="C3256" s="17" t="s">
        <v>11</v>
      </c>
      <c r="D3256" s="17" t="s">
        <v>12</v>
      </c>
      <c r="E3256" s="17" t="s">
        <v>13</v>
      </c>
      <c r="F3256" s="16" t="s">
        <v>10128</v>
      </c>
    </row>
    <row r="3257" spans="1:6" x14ac:dyDescent="0.25">
      <c r="A3257" s="16" t="s">
        <v>10129</v>
      </c>
      <c r="B3257" s="17" t="s">
        <v>10130</v>
      </c>
      <c r="C3257" s="17" t="s">
        <v>11</v>
      </c>
      <c r="D3257" s="17" t="s">
        <v>12</v>
      </c>
      <c r="E3257" s="17" t="s">
        <v>13</v>
      </c>
      <c r="F3257" s="16" t="s">
        <v>10131</v>
      </c>
    </row>
    <row r="3258" spans="1:6" x14ac:dyDescent="0.25">
      <c r="A3258" s="16" t="s">
        <v>10132</v>
      </c>
      <c r="B3258" s="17" t="s">
        <v>10133</v>
      </c>
      <c r="C3258" s="17" t="s">
        <v>11</v>
      </c>
      <c r="D3258" s="17" t="s">
        <v>12</v>
      </c>
      <c r="E3258" s="17" t="s">
        <v>13</v>
      </c>
      <c r="F3258" s="16" t="s">
        <v>10134</v>
      </c>
    </row>
    <row r="3259" spans="1:6" x14ac:dyDescent="0.25">
      <c r="A3259" s="16" t="s">
        <v>10135</v>
      </c>
      <c r="B3259" s="17" t="s">
        <v>10136</v>
      </c>
      <c r="C3259" s="17" t="s">
        <v>11</v>
      </c>
      <c r="D3259" s="17" t="s">
        <v>12</v>
      </c>
      <c r="E3259" s="17" t="s">
        <v>13</v>
      </c>
      <c r="F3259" s="16" t="s">
        <v>10137</v>
      </c>
    </row>
    <row r="3260" spans="1:6" x14ac:dyDescent="0.25">
      <c r="A3260" s="16" t="s">
        <v>10138</v>
      </c>
      <c r="B3260" s="17" t="s">
        <v>10139</v>
      </c>
      <c r="C3260" s="17" t="s">
        <v>11</v>
      </c>
      <c r="D3260" s="17" t="s">
        <v>59</v>
      </c>
      <c r="E3260" s="17" t="s">
        <v>13</v>
      </c>
      <c r="F3260" s="16" t="s">
        <v>10140</v>
      </c>
    </row>
    <row r="3261" spans="1:6" x14ac:dyDescent="0.25">
      <c r="A3261" s="16" t="s">
        <v>10141</v>
      </c>
      <c r="B3261" s="17" t="s">
        <v>10142</v>
      </c>
      <c r="C3261" s="17" t="s">
        <v>11</v>
      </c>
      <c r="D3261" s="17" t="s">
        <v>12</v>
      </c>
      <c r="E3261" s="17" t="s">
        <v>13</v>
      </c>
      <c r="F3261" s="16" t="s">
        <v>10143</v>
      </c>
    </row>
    <row r="3262" spans="1:6" x14ac:dyDescent="0.25">
      <c r="A3262" s="16" t="s">
        <v>10144</v>
      </c>
      <c r="B3262" s="17" t="s">
        <v>10145</v>
      </c>
      <c r="C3262" s="17" t="s">
        <v>11</v>
      </c>
      <c r="D3262" s="17" t="s">
        <v>186</v>
      </c>
      <c r="E3262" s="17" t="s">
        <v>20</v>
      </c>
      <c r="F3262" s="16" t="s">
        <v>10146</v>
      </c>
    </row>
    <row r="3263" spans="1:6" x14ac:dyDescent="0.25">
      <c r="A3263" s="16" t="s">
        <v>10147</v>
      </c>
      <c r="B3263" s="17" t="s">
        <v>10148</v>
      </c>
      <c r="C3263" s="17" t="s">
        <v>11</v>
      </c>
      <c r="D3263" s="17" t="s">
        <v>12</v>
      </c>
      <c r="E3263" s="17" t="s">
        <v>13</v>
      </c>
      <c r="F3263" s="16" t="s">
        <v>10149</v>
      </c>
    </row>
    <row r="3264" spans="1:6" x14ac:dyDescent="0.25">
      <c r="A3264" s="16" t="s">
        <v>10150</v>
      </c>
      <c r="B3264" s="17" t="s">
        <v>10151</v>
      </c>
      <c r="C3264" s="17" t="s">
        <v>11</v>
      </c>
      <c r="D3264" s="17" t="s">
        <v>12</v>
      </c>
      <c r="E3264" s="17" t="s">
        <v>13</v>
      </c>
      <c r="F3264" s="16" t="s">
        <v>10152</v>
      </c>
    </row>
    <row r="3265" spans="1:6" x14ac:dyDescent="0.25">
      <c r="A3265" s="16" t="s">
        <v>10153</v>
      </c>
      <c r="B3265" s="17" t="s">
        <v>10154</v>
      </c>
      <c r="C3265" s="17" t="s">
        <v>11</v>
      </c>
      <c r="D3265" s="17" t="s">
        <v>12</v>
      </c>
      <c r="E3265" s="17" t="s">
        <v>13</v>
      </c>
      <c r="F3265" s="16" t="s">
        <v>10155</v>
      </c>
    </row>
    <row r="3266" spans="1:6" x14ac:dyDescent="0.25">
      <c r="A3266" s="16" t="s">
        <v>10156</v>
      </c>
      <c r="B3266" s="17" t="s">
        <v>10157</v>
      </c>
      <c r="C3266" s="17" t="s">
        <v>11</v>
      </c>
      <c r="D3266" s="17" t="s">
        <v>12</v>
      </c>
      <c r="E3266" s="17" t="s">
        <v>13</v>
      </c>
      <c r="F3266" s="16" t="s">
        <v>10158</v>
      </c>
    </row>
    <row r="3267" spans="1:6" x14ac:dyDescent="0.25">
      <c r="A3267" s="16" t="s">
        <v>10159</v>
      </c>
      <c r="B3267" s="17" t="s">
        <v>10160</v>
      </c>
      <c r="C3267" s="17" t="s">
        <v>11</v>
      </c>
      <c r="D3267" s="17" t="s">
        <v>12</v>
      </c>
      <c r="E3267" s="17" t="s">
        <v>13</v>
      </c>
      <c r="F3267" s="16" t="s">
        <v>10161</v>
      </c>
    </row>
    <row r="3268" spans="1:6" x14ac:dyDescent="0.25">
      <c r="A3268" s="16" t="s">
        <v>10162</v>
      </c>
      <c r="B3268" s="17" t="s">
        <v>10163</v>
      </c>
      <c r="C3268" s="17" t="s">
        <v>11</v>
      </c>
      <c r="D3268" s="17" t="s">
        <v>12</v>
      </c>
      <c r="E3268" s="17" t="s">
        <v>13</v>
      </c>
      <c r="F3268" s="16" t="s">
        <v>10164</v>
      </c>
    </row>
    <row r="3269" spans="1:6" x14ac:dyDescent="0.25">
      <c r="A3269" s="16" t="s">
        <v>10165</v>
      </c>
      <c r="B3269" s="17" t="s">
        <v>10166</v>
      </c>
      <c r="C3269" s="17" t="s">
        <v>11</v>
      </c>
      <c r="D3269" s="17" t="s">
        <v>12</v>
      </c>
      <c r="E3269" s="17" t="s">
        <v>13</v>
      </c>
      <c r="F3269" s="16" t="s">
        <v>10167</v>
      </c>
    </row>
    <row r="3270" spans="1:6" x14ac:dyDescent="0.25">
      <c r="A3270" s="16" t="s">
        <v>10168</v>
      </c>
      <c r="B3270" s="17" t="s">
        <v>10169</v>
      </c>
      <c r="C3270" s="17" t="s">
        <v>11</v>
      </c>
      <c r="D3270" s="17" t="s">
        <v>12</v>
      </c>
      <c r="E3270" s="17" t="s">
        <v>13</v>
      </c>
      <c r="F3270" s="16" t="s">
        <v>10170</v>
      </c>
    </row>
    <row r="3271" spans="1:6" x14ac:dyDescent="0.25">
      <c r="A3271" s="16" t="s">
        <v>10171</v>
      </c>
      <c r="B3271" s="17" t="s">
        <v>10172</v>
      </c>
      <c r="C3271" s="17" t="s">
        <v>11</v>
      </c>
      <c r="D3271" s="17" t="s">
        <v>74</v>
      </c>
      <c r="E3271" s="17" t="s">
        <v>20</v>
      </c>
      <c r="F3271" s="16" t="s">
        <v>10173</v>
      </c>
    </row>
    <row r="3272" spans="1:6" x14ac:dyDescent="0.25">
      <c r="A3272" s="16" t="s">
        <v>10174</v>
      </c>
      <c r="B3272" s="17" t="s">
        <v>10175</v>
      </c>
      <c r="C3272" s="17" t="s">
        <v>11</v>
      </c>
      <c r="D3272" s="17" t="s">
        <v>12</v>
      </c>
      <c r="E3272" s="17" t="s">
        <v>13</v>
      </c>
      <c r="F3272" s="16" t="s">
        <v>10176</v>
      </c>
    </row>
    <row r="3273" spans="1:6" x14ac:dyDescent="0.25">
      <c r="A3273" s="16" t="s">
        <v>10177</v>
      </c>
      <c r="B3273" s="17" t="s">
        <v>10178</v>
      </c>
      <c r="C3273" s="17" t="s">
        <v>11</v>
      </c>
      <c r="D3273" s="17" t="s">
        <v>12</v>
      </c>
      <c r="E3273" s="17" t="s">
        <v>13</v>
      </c>
      <c r="F3273" s="16" t="s">
        <v>10179</v>
      </c>
    </row>
    <row r="3274" spans="1:6" x14ac:dyDescent="0.25">
      <c r="A3274" s="16" t="s">
        <v>10180</v>
      </c>
      <c r="B3274" s="17" t="s">
        <v>10181</v>
      </c>
      <c r="C3274" s="17" t="s">
        <v>11</v>
      </c>
      <c r="D3274" s="17" t="s">
        <v>12</v>
      </c>
      <c r="E3274" s="17" t="s">
        <v>13</v>
      </c>
      <c r="F3274" s="16" t="s">
        <v>10182</v>
      </c>
    </row>
    <row r="3275" spans="1:6" x14ac:dyDescent="0.25">
      <c r="A3275" s="16" t="s">
        <v>10183</v>
      </c>
      <c r="B3275" s="17" t="s">
        <v>10184</v>
      </c>
      <c r="C3275" s="17" t="s">
        <v>11</v>
      </c>
      <c r="D3275" s="17" t="s">
        <v>12</v>
      </c>
      <c r="E3275" s="17" t="s">
        <v>13</v>
      </c>
      <c r="F3275" s="16" t="s">
        <v>10185</v>
      </c>
    </row>
    <row r="3276" spans="1:6" x14ac:dyDescent="0.25">
      <c r="A3276" s="16" t="s">
        <v>10186</v>
      </c>
      <c r="B3276" s="17" t="s">
        <v>10187</v>
      </c>
      <c r="C3276" s="17" t="s">
        <v>11</v>
      </c>
      <c r="D3276" s="17" t="s">
        <v>12</v>
      </c>
      <c r="E3276" s="17" t="s">
        <v>13</v>
      </c>
      <c r="F3276" s="16" t="s">
        <v>10188</v>
      </c>
    </row>
    <row r="3277" spans="1:6" x14ac:dyDescent="0.25">
      <c r="A3277" s="16" t="s">
        <v>10189</v>
      </c>
      <c r="B3277" s="17" t="s">
        <v>10190</v>
      </c>
      <c r="C3277" s="17" t="s">
        <v>11</v>
      </c>
      <c r="D3277" s="17" t="s">
        <v>59</v>
      </c>
      <c r="E3277" s="17" t="s">
        <v>13</v>
      </c>
      <c r="F3277" s="16" t="s">
        <v>10191</v>
      </c>
    </row>
    <row r="3278" spans="1:6" x14ac:dyDescent="0.25">
      <c r="A3278" s="16" t="s">
        <v>10192</v>
      </c>
      <c r="B3278" s="17" t="s">
        <v>10193</v>
      </c>
      <c r="C3278" s="17" t="s">
        <v>11</v>
      </c>
      <c r="D3278" s="17" t="s">
        <v>12</v>
      </c>
      <c r="E3278" s="17" t="s">
        <v>13</v>
      </c>
      <c r="F3278" s="16" t="s">
        <v>10194</v>
      </c>
    </row>
    <row r="3279" spans="1:6" x14ac:dyDescent="0.25">
      <c r="A3279" s="16" t="s">
        <v>10195</v>
      </c>
      <c r="B3279" s="17" t="s">
        <v>10196</v>
      </c>
      <c r="C3279" s="17" t="s">
        <v>11</v>
      </c>
      <c r="D3279" s="17" t="s">
        <v>12</v>
      </c>
      <c r="E3279" s="17" t="s">
        <v>13</v>
      </c>
      <c r="F3279" s="16" t="s">
        <v>10197</v>
      </c>
    </row>
    <row r="3280" spans="1:6" x14ac:dyDescent="0.25">
      <c r="A3280" s="16" t="s">
        <v>10198</v>
      </c>
      <c r="B3280" s="17" t="s">
        <v>10199</v>
      </c>
      <c r="C3280" s="17" t="s">
        <v>11</v>
      </c>
      <c r="D3280" s="17" t="s">
        <v>59</v>
      </c>
      <c r="E3280" s="17" t="s">
        <v>13</v>
      </c>
      <c r="F3280" s="16" t="s">
        <v>10200</v>
      </c>
    </row>
    <row r="3281" spans="1:6" x14ac:dyDescent="0.25">
      <c r="A3281" s="16" t="s">
        <v>10201</v>
      </c>
      <c r="B3281" s="17" t="s">
        <v>10202</v>
      </c>
      <c r="C3281" s="17" t="s">
        <v>11</v>
      </c>
      <c r="D3281" s="17" t="s">
        <v>12</v>
      </c>
      <c r="E3281" s="17" t="s">
        <v>13</v>
      </c>
      <c r="F3281" s="16" t="s">
        <v>10203</v>
      </c>
    </row>
    <row r="3282" spans="1:6" x14ac:dyDescent="0.25">
      <c r="A3282" s="16" t="s">
        <v>10204</v>
      </c>
      <c r="B3282" s="17" t="s">
        <v>10205</v>
      </c>
      <c r="C3282" s="17" t="s">
        <v>11</v>
      </c>
      <c r="D3282" s="17" t="s">
        <v>12</v>
      </c>
      <c r="E3282" s="17" t="s">
        <v>13</v>
      </c>
      <c r="F3282" s="16" t="s">
        <v>10206</v>
      </c>
    </row>
    <row r="3283" spans="1:6" x14ac:dyDescent="0.25">
      <c r="A3283" s="16" t="s">
        <v>10207</v>
      </c>
      <c r="B3283" s="17" t="s">
        <v>10208</v>
      </c>
      <c r="C3283" s="17" t="s">
        <v>11</v>
      </c>
      <c r="D3283" s="17" t="s">
        <v>12</v>
      </c>
      <c r="E3283" s="17" t="s">
        <v>13</v>
      </c>
      <c r="F3283" s="16" t="s">
        <v>10209</v>
      </c>
    </row>
    <row r="3284" spans="1:6" x14ac:dyDescent="0.25">
      <c r="A3284" s="16" t="s">
        <v>10210</v>
      </c>
      <c r="B3284" s="17" t="s">
        <v>10211</v>
      </c>
      <c r="C3284" s="17" t="s">
        <v>11</v>
      </c>
      <c r="D3284" s="17" t="s">
        <v>250</v>
      </c>
      <c r="E3284" s="17" t="s">
        <v>20</v>
      </c>
      <c r="F3284" s="16" t="s">
        <v>10212</v>
      </c>
    </row>
    <row r="3285" spans="1:6" x14ac:dyDescent="0.25">
      <c r="A3285" s="16" t="s">
        <v>10213</v>
      </c>
      <c r="B3285" s="17" t="s">
        <v>10214</v>
      </c>
      <c r="C3285" s="17" t="s">
        <v>11</v>
      </c>
      <c r="D3285" s="17" t="s">
        <v>12</v>
      </c>
      <c r="E3285" s="17" t="s">
        <v>13</v>
      </c>
      <c r="F3285" s="16" t="s">
        <v>10215</v>
      </c>
    </row>
    <row r="3286" spans="1:6" x14ac:dyDescent="0.25">
      <c r="A3286" s="16" t="s">
        <v>10216</v>
      </c>
      <c r="B3286" s="17" t="s">
        <v>10217</v>
      </c>
      <c r="C3286" s="17" t="s">
        <v>11</v>
      </c>
      <c r="D3286" s="17" t="s">
        <v>12</v>
      </c>
      <c r="E3286" s="17" t="s">
        <v>13</v>
      </c>
      <c r="F3286" s="16" t="s">
        <v>10218</v>
      </c>
    </row>
    <row r="3287" spans="1:6" x14ac:dyDescent="0.25">
      <c r="A3287" s="16" t="s">
        <v>10219</v>
      </c>
      <c r="B3287" s="17" t="s">
        <v>10220</v>
      </c>
      <c r="C3287" s="17" t="s">
        <v>11</v>
      </c>
      <c r="D3287" s="17" t="s">
        <v>12</v>
      </c>
      <c r="E3287" s="17" t="s">
        <v>13</v>
      </c>
      <c r="F3287" s="16" t="s">
        <v>10221</v>
      </c>
    </row>
    <row r="3288" spans="1:6" x14ac:dyDescent="0.25">
      <c r="A3288" s="16" t="s">
        <v>10222</v>
      </c>
      <c r="B3288" s="17" t="s">
        <v>10223</v>
      </c>
      <c r="C3288" s="17" t="s">
        <v>11</v>
      </c>
      <c r="D3288" s="17" t="s">
        <v>12</v>
      </c>
      <c r="E3288" s="17" t="s">
        <v>13</v>
      </c>
      <c r="F3288" s="16" t="s">
        <v>10224</v>
      </c>
    </row>
    <row r="3289" spans="1:6" x14ac:dyDescent="0.25">
      <c r="A3289" s="16" t="s">
        <v>10225</v>
      </c>
      <c r="B3289" s="17" t="s">
        <v>10226</v>
      </c>
      <c r="C3289" s="17" t="s">
        <v>11</v>
      </c>
      <c r="D3289" s="17" t="s">
        <v>80</v>
      </c>
      <c r="E3289" s="17" t="s">
        <v>20</v>
      </c>
      <c r="F3289" s="16" t="s">
        <v>10227</v>
      </c>
    </row>
    <row r="3290" spans="1:6" x14ac:dyDescent="0.25">
      <c r="A3290" s="16" t="s">
        <v>10228</v>
      </c>
      <c r="B3290" s="17" t="s">
        <v>10229</v>
      </c>
      <c r="C3290" s="17" t="s">
        <v>11</v>
      </c>
      <c r="D3290" s="17" t="s">
        <v>12</v>
      </c>
      <c r="E3290" s="17" t="s">
        <v>13</v>
      </c>
      <c r="F3290" s="16" t="s">
        <v>10230</v>
      </c>
    </row>
    <row r="3291" spans="1:6" x14ac:dyDescent="0.25">
      <c r="A3291" s="16" t="s">
        <v>10231</v>
      </c>
      <c r="B3291" s="17" t="s">
        <v>10232</v>
      </c>
      <c r="C3291" s="17" t="s">
        <v>11</v>
      </c>
      <c r="D3291" s="17" t="s">
        <v>12</v>
      </c>
      <c r="E3291" s="17" t="s">
        <v>13</v>
      </c>
      <c r="F3291" s="16" t="s">
        <v>10233</v>
      </c>
    </row>
    <row r="3292" spans="1:6" x14ac:dyDescent="0.25">
      <c r="A3292" s="16" t="s">
        <v>10234</v>
      </c>
      <c r="B3292" s="17" t="s">
        <v>10235</v>
      </c>
      <c r="C3292" s="17" t="s">
        <v>11</v>
      </c>
      <c r="D3292" s="17" t="s">
        <v>74</v>
      </c>
      <c r="E3292" s="17" t="s">
        <v>20</v>
      </c>
      <c r="F3292" s="16" t="s">
        <v>10236</v>
      </c>
    </row>
    <row r="3293" spans="1:6" x14ac:dyDescent="0.25">
      <c r="A3293" s="16" t="s">
        <v>10237</v>
      </c>
      <c r="B3293" s="17" t="s">
        <v>10238</v>
      </c>
      <c r="C3293" s="17" t="s">
        <v>11</v>
      </c>
      <c r="D3293" s="17" t="s">
        <v>89</v>
      </c>
      <c r="E3293" s="17" t="s">
        <v>20</v>
      </c>
      <c r="F3293" s="16" t="s">
        <v>10239</v>
      </c>
    </row>
    <row r="3294" spans="1:6" x14ac:dyDescent="0.25">
      <c r="A3294" s="16" t="s">
        <v>10240</v>
      </c>
      <c r="B3294" s="17" t="s">
        <v>10241</v>
      </c>
      <c r="C3294" s="17" t="s">
        <v>11</v>
      </c>
      <c r="D3294" s="17" t="s">
        <v>12</v>
      </c>
      <c r="E3294" s="17" t="s">
        <v>13</v>
      </c>
      <c r="F3294" s="16" t="s">
        <v>10242</v>
      </c>
    </row>
    <row r="3295" spans="1:6" x14ac:dyDescent="0.25">
      <c r="A3295" s="16" t="s">
        <v>10243</v>
      </c>
      <c r="B3295" s="17" t="s">
        <v>10244</v>
      </c>
      <c r="C3295" s="17" t="s">
        <v>11</v>
      </c>
      <c r="D3295" s="17" t="s">
        <v>12</v>
      </c>
      <c r="E3295" s="17" t="s">
        <v>13</v>
      </c>
      <c r="F3295" s="16" t="s">
        <v>10245</v>
      </c>
    </row>
    <row r="3296" spans="1:6" x14ac:dyDescent="0.25">
      <c r="A3296" s="16" t="s">
        <v>10246</v>
      </c>
      <c r="B3296" s="17" t="s">
        <v>10247</v>
      </c>
      <c r="C3296" s="17" t="s">
        <v>11</v>
      </c>
      <c r="D3296" s="17" t="s">
        <v>12</v>
      </c>
      <c r="E3296" s="17" t="s">
        <v>13</v>
      </c>
      <c r="F3296" s="16" t="s">
        <v>10248</v>
      </c>
    </row>
    <row r="3297" spans="1:6" x14ac:dyDescent="0.25">
      <c r="A3297" s="16" t="s">
        <v>10249</v>
      </c>
      <c r="B3297" s="17" t="s">
        <v>10250</v>
      </c>
      <c r="C3297" s="17" t="s">
        <v>11</v>
      </c>
      <c r="D3297" s="17" t="s">
        <v>32</v>
      </c>
      <c r="E3297" s="17" t="s">
        <v>20</v>
      </c>
      <c r="F3297" s="16" t="s">
        <v>10251</v>
      </c>
    </row>
    <row r="3298" spans="1:6" x14ac:dyDescent="0.25">
      <c r="A3298" s="16" t="s">
        <v>10252</v>
      </c>
      <c r="B3298" s="17" t="s">
        <v>10253</v>
      </c>
      <c r="C3298" s="17" t="s">
        <v>11</v>
      </c>
      <c r="D3298" s="17" t="s">
        <v>186</v>
      </c>
      <c r="E3298" s="17" t="s">
        <v>20</v>
      </c>
      <c r="F3298" s="16" t="s">
        <v>10254</v>
      </c>
    </row>
    <row r="3299" spans="1:6" x14ac:dyDescent="0.25">
      <c r="A3299" s="16" t="s">
        <v>10255</v>
      </c>
      <c r="B3299" s="17" t="s">
        <v>10256</v>
      </c>
      <c r="C3299" s="17" t="s">
        <v>11</v>
      </c>
      <c r="D3299" s="17" t="s">
        <v>12</v>
      </c>
      <c r="E3299" s="17" t="s">
        <v>13</v>
      </c>
      <c r="F3299" s="16" t="s">
        <v>10257</v>
      </c>
    </row>
    <row r="3300" spans="1:6" x14ac:dyDescent="0.25">
      <c r="A3300" s="16" t="s">
        <v>10258</v>
      </c>
      <c r="B3300" s="17" t="s">
        <v>10259</v>
      </c>
      <c r="C3300" s="17" t="s">
        <v>11</v>
      </c>
      <c r="D3300" s="17" t="s">
        <v>12</v>
      </c>
      <c r="E3300" s="17" t="s">
        <v>13</v>
      </c>
      <c r="F3300" s="16" t="s">
        <v>10260</v>
      </c>
    </row>
    <row r="3301" spans="1:6" x14ac:dyDescent="0.25">
      <c r="A3301" s="16" t="s">
        <v>10261</v>
      </c>
      <c r="B3301" s="17" t="s">
        <v>10262</v>
      </c>
      <c r="C3301" s="17" t="s">
        <v>11</v>
      </c>
      <c r="D3301" s="17" t="s">
        <v>12</v>
      </c>
      <c r="E3301" s="17" t="s">
        <v>13</v>
      </c>
      <c r="F3301" s="16" t="s">
        <v>10263</v>
      </c>
    </row>
    <row r="3302" spans="1:6" x14ac:dyDescent="0.25">
      <c r="A3302" s="16" t="s">
        <v>10264</v>
      </c>
      <c r="B3302" s="17" t="s">
        <v>10265</v>
      </c>
      <c r="C3302" s="17" t="s">
        <v>11</v>
      </c>
      <c r="D3302" s="17" t="s">
        <v>12</v>
      </c>
      <c r="E3302" s="17" t="s">
        <v>13</v>
      </c>
      <c r="F3302" s="16" t="s">
        <v>10266</v>
      </c>
    </row>
    <row r="3303" spans="1:6" x14ac:dyDescent="0.25">
      <c r="A3303" s="16" t="s">
        <v>10267</v>
      </c>
      <c r="B3303" s="17" t="s">
        <v>10268</v>
      </c>
      <c r="C3303" s="17" t="s">
        <v>11</v>
      </c>
      <c r="D3303" s="17" t="s">
        <v>186</v>
      </c>
      <c r="E3303" s="17" t="s">
        <v>20</v>
      </c>
      <c r="F3303" s="16" t="s">
        <v>10269</v>
      </c>
    </row>
    <row r="3304" spans="1:6" x14ac:dyDescent="0.25">
      <c r="A3304" s="16" t="s">
        <v>10270</v>
      </c>
      <c r="B3304" s="17" t="s">
        <v>10271</v>
      </c>
      <c r="C3304" s="17" t="s">
        <v>11</v>
      </c>
      <c r="D3304" s="17" t="s">
        <v>12</v>
      </c>
      <c r="E3304" s="17" t="s">
        <v>13</v>
      </c>
      <c r="F3304" s="16" t="s">
        <v>10272</v>
      </c>
    </row>
    <row r="3305" spans="1:6" x14ac:dyDescent="0.25">
      <c r="A3305" s="16" t="s">
        <v>10273</v>
      </c>
      <c r="B3305" s="17" t="s">
        <v>10274</v>
      </c>
      <c r="C3305" s="17" t="s">
        <v>11</v>
      </c>
      <c r="D3305" s="17" t="s">
        <v>12</v>
      </c>
      <c r="E3305" s="17" t="s">
        <v>13</v>
      </c>
      <c r="F3305" s="16" t="s">
        <v>10275</v>
      </c>
    </row>
    <row r="3306" spans="1:6" x14ac:dyDescent="0.25">
      <c r="A3306" s="16" t="s">
        <v>10276</v>
      </c>
      <c r="B3306" s="17" t="s">
        <v>10277</v>
      </c>
      <c r="C3306" s="17" t="s">
        <v>11</v>
      </c>
      <c r="D3306" s="17" t="s">
        <v>12</v>
      </c>
      <c r="E3306" s="17" t="s">
        <v>13</v>
      </c>
      <c r="F3306" s="16" t="s">
        <v>10278</v>
      </c>
    </row>
    <row r="3307" spans="1:6" x14ac:dyDescent="0.25">
      <c r="A3307" s="16" t="s">
        <v>10279</v>
      </c>
      <c r="B3307" s="17" t="s">
        <v>10280</v>
      </c>
      <c r="C3307" s="17" t="s">
        <v>11</v>
      </c>
      <c r="D3307" s="17" t="s">
        <v>291</v>
      </c>
      <c r="E3307" s="17" t="s">
        <v>20</v>
      </c>
      <c r="F3307" s="16" t="s">
        <v>10281</v>
      </c>
    </row>
    <row r="3308" spans="1:6" x14ac:dyDescent="0.25">
      <c r="A3308" s="16" t="s">
        <v>10282</v>
      </c>
      <c r="B3308" s="17" t="s">
        <v>10283</v>
      </c>
      <c r="C3308" s="17" t="s">
        <v>11</v>
      </c>
      <c r="D3308" s="17" t="s">
        <v>811</v>
      </c>
      <c r="E3308" s="17" t="s">
        <v>20</v>
      </c>
      <c r="F3308" s="16" t="s">
        <v>10284</v>
      </c>
    </row>
    <row r="3309" spans="1:6" x14ac:dyDescent="0.25">
      <c r="A3309" s="16" t="s">
        <v>10285</v>
      </c>
      <c r="B3309" s="17" t="s">
        <v>10286</v>
      </c>
      <c r="C3309" s="17" t="s">
        <v>11</v>
      </c>
      <c r="D3309" s="17" t="s">
        <v>12</v>
      </c>
      <c r="E3309" s="17" t="s">
        <v>13</v>
      </c>
      <c r="F3309" s="16" t="s">
        <v>10287</v>
      </c>
    </row>
    <row r="3310" spans="1:6" x14ac:dyDescent="0.25">
      <c r="A3310" s="16" t="s">
        <v>10288</v>
      </c>
      <c r="B3310" s="17" t="s">
        <v>10289</v>
      </c>
      <c r="C3310" s="17" t="s">
        <v>11</v>
      </c>
      <c r="D3310" s="17" t="s">
        <v>12</v>
      </c>
      <c r="E3310" s="17" t="s">
        <v>13</v>
      </c>
      <c r="F3310" s="16" t="s">
        <v>10290</v>
      </c>
    </row>
    <row r="3311" spans="1:6" x14ac:dyDescent="0.25">
      <c r="A3311" s="16" t="s">
        <v>10291</v>
      </c>
      <c r="B3311" s="17" t="s">
        <v>10292</v>
      </c>
      <c r="C3311" s="17" t="s">
        <v>11</v>
      </c>
      <c r="D3311" s="17" t="s">
        <v>12</v>
      </c>
      <c r="E3311" s="17" t="s">
        <v>13</v>
      </c>
      <c r="F3311" s="16" t="s">
        <v>10293</v>
      </c>
    </row>
    <row r="3312" spans="1:6" x14ac:dyDescent="0.25">
      <c r="A3312" s="16" t="s">
        <v>10294</v>
      </c>
      <c r="B3312" s="17" t="s">
        <v>10295</v>
      </c>
      <c r="C3312" s="17" t="s">
        <v>11</v>
      </c>
      <c r="D3312" s="17" t="s">
        <v>182</v>
      </c>
      <c r="E3312" s="17" t="s">
        <v>20</v>
      </c>
      <c r="F3312" s="16" t="s">
        <v>10296</v>
      </c>
    </row>
    <row r="3313" spans="1:6" x14ac:dyDescent="0.25">
      <c r="A3313" s="16" t="s">
        <v>10297</v>
      </c>
      <c r="B3313" s="17" t="s">
        <v>10298</v>
      </c>
      <c r="C3313" s="17" t="s">
        <v>11</v>
      </c>
      <c r="D3313" s="17" t="s">
        <v>83</v>
      </c>
      <c r="E3313" s="17" t="s">
        <v>20</v>
      </c>
      <c r="F3313" s="16" t="s">
        <v>10299</v>
      </c>
    </row>
    <row r="3314" spans="1:6" x14ac:dyDescent="0.25">
      <c r="A3314" s="16" t="s">
        <v>10300</v>
      </c>
      <c r="B3314" s="17" t="s">
        <v>10301</v>
      </c>
      <c r="C3314" s="17" t="s">
        <v>11</v>
      </c>
      <c r="D3314" s="17" t="s">
        <v>576</v>
      </c>
      <c r="E3314" s="17" t="s">
        <v>20</v>
      </c>
      <c r="F3314" s="16" t="s">
        <v>10302</v>
      </c>
    </row>
    <row r="3315" spans="1:6" x14ac:dyDescent="0.25">
      <c r="A3315" s="16" t="s">
        <v>10303</v>
      </c>
      <c r="B3315" s="17" t="s">
        <v>10304</v>
      </c>
      <c r="C3315" s="17" t="s">
        <v>11</v>
      </c>
      <c r="D3315" s="17" t="s">
        <v>32</v>
      </c>
      <c r="E3315" s="17" t="s">
        <v>20</v>
      </c>
      <c r="F3315" s="16" t="s">
        <v>10305</v>
      </c>
    </row>
    <row r="3316" spans="1:6" x14ac:dyDescent="0.25">
      <c r="A3316" s="16" t="s">
        <v>10306</v>
      </c>
      <c r="B3316" s="17" t="s">
        <v>10307</v>
      </c>
      <c r="C3316" s="17" t="s">
        <v>11</v>
      </c>
      <c r="D3316" s="17" t="s">
        <v>182</v>
      </c>
      <c r="E3316" s="17" t="s">
        <v>20</v>
      </c>
      <c r="F3316" s="16" t="s">
        <v>10308</v>
      </c>
    </row>
    <row r="3317" spans="1:6" x14ac:dyDescent="0.25">
      <c r="A3317" s="16" t="s">
        <v>10309</v>
      </c>
      <c r="B3317" s="17" t="s">
        <v>10310</v>
      </c>
      <c r="C3317" s="17" t="s">
        <v>11</v>
      </c>
      <c r="D3317" s="17" t="s">
        <v>182</v>
      </c>
      <c r="E3317" s="17" t="s">
        <v>20</v>
      </c>
      <c r="F3317" s="16" t="s">
        <v>10311</v>
      </c>
    </row>
    <row r="3318" spans="1:6" x14ac:dyDescent="0.25">
      <c r="A3318" s="16" t="s">
        <v>10312</v>
      </c>
      <c r="B3318" s="17" t="s">
        <v>10313</v>
      </c>
      <c r="C3318" s="17" t="s">
        <v>11</v>
      </c>
      <c r="D3318" s="17" t="s">
        <v>811</v>
      </c>
      <c r="E3318" s="17" t="s">
        <v>20</v>
      </c>
      <c r="F3318" s="16" t="s">
        <v>10314</v>
      </c>
    </row>
    <row r="3319" spans="1:6" x14ac:dyDescent="0.25">
      <c r="A3319" s="16" t="s">
        <v>10315</v>
      </c>
      <c r="B3319" s="17" t="s">
        <v>10316</v>
      </c>
      <c r="C3319" s="17" t="s">
        <v>11</v>
      </c>
      <c r="D3319" s="17" t="s">
        <v>291</v>
      </c>
      <c r="E3319" s="17" t="s">
        <v>20</v>
      </c>
      <c r="F3319" s="16" t="s">
        <v>10317</v>
      </c>
    </row>
    <row r="3320" spans="1:6" x14ac:dyDescent="0.25">
      <c r="A3320" s="16" t="s">
        <v>10318</v>
      </c>
      <c r="B3320" s="17" t="s">
        <v>10319</v>
      </c>
      <c r="C3320" s="17" t="s">
        <v>11</v>
      </c>
      <c r="D3320" s="17" t="s">
        <v>32</v>
      </c>
      <c r="E3320" s="17" t="s">
        <v>20</v>
      </c>
      <c r="F3320" s="16" t="s">
        <v>10320</v>
      </c>
    </row>
    <row r="3321" spans="1:6" x14ac:dyDescent="0.25">
      <c r="A3321" s="16" t="s">
        <v>10321</v>
      </c>
      <c r="B3321" s="17" t="s">
        <v>10322</v>
      </c>
      <c r="C3321" s="17" t="s">
        <v>11</v>
      </c>
      <c r="D3321" s="17" t="s">
        <v>74</v>
      </c>
      <c r="E3321" s="17" t="s">
        <v>20</v>
      </c>
      <c r="F3321" s="16" t="s">
        <v>10323</v>
      </c>
    </row>
    <row r="3322" spans="1:6" x14ac:dyDescent="0.25">
      <c r="A3322" s="16" t="s">
        <v>10324</v>
      </c>
      <c r="B3322" s="17" t="s">
        <v>10325</v>
      </c>
      <c r="C3322" s="17" t="s">
        <v>11</v>
      </c>
      <c r="D3322" s="17" t="s">
        <v>26</v>
      </c>
      <c r="E3322" s="17" t="s">
        <v>20</v>
      </c>
      <c r="F3322" s="16" t="s">
        <v>10326</v>
      </c>
    </row>
    <row r="3323" spans="1:6" x14ac:dyDescent="0.25">
      <c r="A3323" s="16" t="s">
        <v>10327</v>
      </c>
      <c r="B3323" s="17" t="s">
        <v>10328</v>
      </c>
      <c r="C3323" s="17" t="s">
        <v>11</v>
      </c>
      <c r="D3323" s="17" t="s">
        <v>32</v>
      </c>
      <c r="E3323" s="17" t="s">
        <v>20</v>
      </c>
      <c r="F3323" s="16" t="s">
        <v>10329</v>
      </c>
    </row>
    <row r="3324" spans="1:6" x14ac:dyDescent="0.25">
      <c r="A3324" s="16" t="s">
        <v>10330</v>
      </c>
      <c r="B3324" s="17" t="s">
        <v>10331</v>
      </c>
      <c r="C3324" s="17" t="s">
        <v>11</v>
      </c>
      <c r="D3324" s="17" t="s">
        <v>32</v>
      </c>
      <c r="E3324" s="17" t="s">
        <v>20</v>
      </c>
      <c r="F3324" s="16" t="s">
        <v>10332</v>
      </c>
    </row>
    <row r="3325" spans="1:6" x14ac:dyDescent="0.25">
      <c r="A3325" s="16" t="s">
        <v>10333</v>
      </c>
      <c r="B3325" s="17" t="s">
        <v>10334</v>
      </c>
      <c r="C3325" s="17" t="s">
        <v>11</v>
      </c>
      <c r="D3325" s="17" t="s">
        <v>80</v>
      </c>
      <c r="E3325" s="17" t="s">
        <v>20</v>
      </c>
      <c r="F3325" s="16" t="s">
        <v>10335</v>
      </c>
    </row>
    <row r="3326" spans="1:6" x14ac:dyDescent="0.25">
      <c r="A3326" s="16" t="s">
        <v>10336</v>
      </c>
      <c r="B3326" s="17" t="s">
        <v>10337</v>
      </c>
      <c r="C3326" s="17" t="s">
        <v>11</v>
      </c>
      <c r="D3326" s="17" t="s">
        <v>12</v>
      </c>
      <c r="E3326" s="17" t="s">
        <v>13</v>
      </c>
      <c r="F3326" s="16" t="s">
        <v>10338</v>
      </c>
    </row>
    <row r="3327" spans="1:6" x14ac:dyDescent="0.25">
      <c r="A3327" s="16" t="s">
        <v>10339</v>
      </c>
      <c r="B3327" s="17" t="s">
        <v>10340</v>
      </c>
      <c r="C3327" s="17" t="s">
        <v>11</v>
      </c>
      <c r="D3327" s="17" t="s">
        <v>26</v>
      </c>
      <c r="E3327" s="17" t="s">
        <v>20</v>
      </c>
      <c r="F3327" s="16" t="s">
        <v>10341</v>
      </c>
    </row>
    <row r="3328" spans="1:6" x14ac:dyDescent="0.25">
      <c r="A3328" s="16" t="s">
        <v>10342</v>
      </c>
      <c r="B3328" s="17" t="s">
        <v>10343</v>
      </c>
      <c r="C3328" s="17" t="s">
        <v>11</v>
      </c>
      <c r="D3328" s="17" t="s">
        <v>12</v>
      </c>
      <c r="E3328" s="17" t="s">
        <v>13</v>
      </c>
      <c r="F3328" s="16" t="s">
        <v>10344</v>
      </c>
    </row>
    <row r="3329" spans="1:6" x14ac:dyDescent="0.25">
      <c r="A3329" s="16" t="s">
        <v>10345</v>
      </c>
      <c r="B3329" s="17" t="s">
        <v>10346</v>
      </c>
      <c r="C3329" s="17" t="s">
        <v>11</v>
      </c>
      <c r="D3329" s="17" t="s">
        <v>12</v>
      </c>
      <c r="E3329" s="17" t="s">
        <v>13</v>
      </c>
      <c r="F3329" s="16" t="s">
        <v>10347</v>
      </c>
    </row>
    <row r="3330" spans="1:6" x14ac:dyDescent="0.25">
      <c r="A3330" s="16" t="s">
        <v>10348</v>
      </c>
      <c r="B3330" s="17" t="s">
        <v>10349</v>
      </c>
      <c r="C3330" s="17" t="s">
        <v>11</v>
      </c>
      <c r="D3330" s="17" t="s">
        <v>12</v>
      </c>
      <c r="E3330" s="17" t="s">
        <v>13</v>
      </c>
      <c r="F3330" s="16" t="s">
        <v>10350</v>
      </c>
    </row>
    <row r="3331" spans="1:6" x14ac:dyDescent="0.25">
      <c r="A3331" s="16" t="s">
        <v>10351</v>
      </c>
      <c r="B3331" s="17" t="s">
        <v>10352</v>
      </c>
      <c r="C3331" s="17" t="s">
        <v>11</v>
      </c>
      <c r="D3331" s="17" t="s">
        <v>12</v>
      </c>
      <c r="E3331" s="17" t="s">
        <v>13</v>
      </c>
      <c r="F3331" s="16" t="s">
        <v>10353</v>
      </c>
    </row>
    <row r="3332" spans="1:6" x14ac:dyDescent="0.25">
      <c r="A3332" s="16" t="s">
        <v>10354</v>
      </c>
      <c r="B3332" s="17" t="s">
        <v>10355</v>
      </c>
      <c r="C3332" s="17" t="s">
        <v>11</v>
      </c>
      <c r="D3332" s="17" t="s">
        <v>83</v>
      </c>
      <c r="E3332" s="17" t="s">
        <v>20</v>
      </c>
      <c r="F3332" s="16" t="s">
        <v>10356</v>
      </c>
    </row>
    <row r="3333" spans="1:6" x14ac:dyDescent="0.25">
      <c r="A3333" s="16" t="s">
        <v>10357</v>
      </c>
      <c r="B3333" s="17" t="s">
        <v>10358</v>
      </c>
      <c r="C3333" s="17" t="s">
        <v>11</v>
      </c>
      <c r="D3333" s="17" t="s">
        <v>32</v>
      </c>
      <c r="E3333" s="17" t="s">
        <v>20</v>
      </c>
      <c r="F3333" s="16" t="s">
        <v>10359</v>
      </c>
    </row>
    <row r="3334" spans="1:6" x14ac:dyDescent="0.25">
      <c r="A3334" s="16" t="s">
        <v>10360</v>
      </c>
      <c r="B3334" s="17" t="s">
        <v>10361</v>
      </c>
      <c r="C3334" s="17" t="s">
        <v>214</v>
      </c>
      <c r="D3334" s="17" t="s">
        <v>74</v>
      </c>
      <c r="E3334" s="17" t="s">
        <v>20</v>
      </c>
      <c r="F3334" s="16" t="s">
        <v>10362</v>
      </c>
    </row>
    <row r="3335" spans="1:6" x14ac:dyDescent="0.25">
      <c r="A3335" s="16" t="s">
        <v>10363</v>
      </c>
      <c r="B3335" s="17" t="s">
        <v>10364</v>
      </c>
      <c r="C3335" s="17" t="s">
        <v>11</v>
      </c>
      <c r="D3335" s="17" t="s">
        <v>74</v>
      </c>
      <c r="E3335" s="17" t="s">
        <v>20</v>
      </c>
      <c r="F3335" s="16" t="s">
        <v>10365</v>
      </c>
    </row>
    <row r="3336" spans="1:6" x14ac:dyDescent="0.25">
      <c r="A3336" s="16" t="s">
        <v>10366</v>
      </c>
      <c r="B3336" s="17" t="s">
        <v>10367</v>
      </c>
      <c r="C3336" s="17" t="s">
        <v>11</v>
      </c>
      <c r="D3336" s="17" t="s">
        <v>182</v>
      </c>
      <c r="E3336" s="17" t="s">
        <v>20</v>
      </c>
      <c r="F3336" s="16" t="s">
        <v>10368</v>
      </c>
    </row>
    <row r="3337" spans="1:6" x14ac:dyDescent="0.25">
      <c r="A3337" s="16" t="s">
        <v>10369</v>
      </c>
      <c r="B3337" s="17" t="s">
        <v>10370</v>
      </c>
      <c r="C3337" s="17" t="s">
        <v>11</v>
      </c>
      <c r="D3337" s="17" t="s">
        <v>74</v>
      </c>
      <c r="E3337" s="17" t="s">
        <v>20</v>
      </c>
      <c r="F3337" s="16" t="s">
        <v>10371</v>
      </c>
    </row>
    <row r="3338" spans="1:6" x14ac:dyDescent="0.25">
      <c r="A3338" s="16" t="s">
        <v>10372</v>
      </c>
      <c r="B3338" s="17" t="s">
        <v>10373</v>
      </c>
      <c r="C3338" s="17" t="s">
        <v>11</v>
      </c>
      <c r="D3338" s="17" t="s">
        <v>291</v>
      </c>
      <c r="E3338" s="17" t="s">
        <v>20</v>
      </c>
      <c r="F3338" s="16" t="s">
        <v>10374</v>
      </c>
    </row>
    <row r="3339" spans="1:6" x14ac:dyDescent="0.25">
      <c r="A3339" s="16" t="s">
        <v>10375</v>
      </c>
      <c r="B3339" s="17" t="s">
        <v>10376</v>
      </c>
      <c r="C3339" s="17" t="s">
        <v>11</v>
      </c>
      <c r="D3339" s="17" t="s">
        <v>74</v>
      </c>
      <c r="E3339" s="17" t="s">
        <v>20</v>
      </c>
      <c r="F3339" s="16" t="s">
        <v>10377</v>
      </c>
    </row>
    <row r="3340" spans="1:6" x14ac:dyDescent="0.25">
      <c r="A3340" s="16" t="s">
        <v>10378</v>
      </c>
      <c r="B3340" s="17" t="s">
        <v>10379</v>
      </c>
      <c r="C3340" s="17" t="s">
        <v>11</v>
      </c>
      <c r="D3340" s="17" t="s">
        <v>32</v>
      </c>
      <c r="E3340" s="17" t="s">
        <v>20</v>
      </c>
      <c r="F3340" s="16" t="s">
        <v>10380</v>
      </c>
    </row>
    <row r="3341" spans="1:6" x14ac:dyDescent="0.25">
      <c r="A3341" s="16" t="s">
        <v>10381</v>
      </c>
      <c r="B3341" s="17" t="s">
        <v>10382</v>
      </c>
      <c r="C3341" s="17" t="s">
        <v>11</v>
      </c>
      <c r="D3341" s="17" t="s">
        <v>80</v>
      </c>
      <c r="E3341" s="17" t="s">
        <v>20</v>
      </c>
      <c r="F3341" s="16" t="s">
        <v>10383</v>
      </c>
    </row>
    <row r="3342" spans="1:6" x14ac:dyDescent="0.25">
      <c r="A3342" s="16" t="s">
        <v>10384</v>
      </c>
      <c r="B3342" s="17" t="s">
        <v>10385</v>
      </c>
      <c r="C3342" s="17" t="s">
        <v>11</v>
      </c>
      <c r="D3342" s="17" t="s">
        <v>186</v>
      </c>
      <c r="E3342" s="17" t="s">
        <v>20</v>
      </c>
      <c r="F3342" s="16" t="s">
        <v>10386</v>
      </c>
    </row>
    <row r="3343" spans="1:6" x14ac:dyDescent="0.25">
      <c r="A3343" s="16" t="s">
        <v>10387</v>
      </c>
      <c r="B3343" s="17" t="s">
        <v>10388</v>
      </c>
      <c r="C3343" s="17" t="s">
        <v>11</v>
      </c>
      <c r="D3343" s="17" t="s">
        <v>32</v>
      </c>
      <c r="E3343" s="17" t="s">
        <v>20</v>
      </c>
      <c r="F3343" s="16" t="s">
        <v>10389</v>
      </c>
    </row>
    <row r="3344" spans="1:6" x14ac:dyDescent="0.25">
      <c r="A3344" s="16" t="s">
        <v>10390</v>
      </c>
      <c r="B3344" s="17" t="s">
        <v>10391</v>
      </c>
      <c r="C3344" s="17" t="s">
        <v>11</v>
      </c>
      <c r="D3344" s="17" t="s">
        <v>32</v>
      </c>
      <c r="E3344" s="17" t="s">
        <v>20</v>
      </c>
      <c r="F3344" s="16" t="s">
        <v>10392</v>
      </c>
    </row>
    <row r="3345" spans="1:6" x14ac:dyDescent="0.25">
      <c r="A3345" s="16" t="s">
        <v>10393</v>
      </c>
      <c r="B3345" s="17" t="s">
        <v>10394</v>
      </c>
      <c r="C3345" s="17" t="s">
        <v>11</v>
      </c>
      <c r="D3345" s="17" t="s">
        <v>32</v>
      </c>
      <c r="E3345" s="17" t="s">
        <v>20</v>
      </c>
      <c r="F3345" s="16" t="s">
        <v>10395</v>
      </c>
    </row>
    <row r="3346" spans="1:6" x14ac:dyDescent="0.25">
      <c r="A3346" s="16" t="s">
        <v>10396</v>
      </c>
      <c r="B3346" s="17" t="s">
        <v>10397</v>
      </c>
      <c r="C3346" s="17" t="s">
        <v>11</v>
      </c>
      <c r="D3346" s="17" t="s">
        <v>32</v>
      </c>
      <c r="E3346" s="17" t="s">
        <v>20</v>
      </c>
      <c r="F3346" s="16" t="s">
        <v>10398</v>
      </c>
    </row>
    <row r="3347" spans="1:6" x14ac:dyDescent="0.25">
      <c r="A3347" s="16" t="s">
        <v>10399</v>
      </c>
      <c r="B3347" s="17" t="s">
        <v>10400</v>
      </c>
      <c r="C3347" s="17" t="s">
        <v>11</v>
      </c>
      <c r="D3347" s="17" t="s">
        <v>80</v>
      </c>
      <c r="E3347" s="17" t="s">
        <v>20</v>
      </c>
      <c r="F3347" s="16" t="s">
        <v>10401</v>
      </c>
    </row>
    <row r="3348" spans="1:6" x14ac:dyDescent="0.25">
      <c r="A3348" s="16" t="s">
        <v>10402</v>
      </c>
      <c r="B3348" s="17" t="s">
        <v>10403</v>
      </c>
      <c r="C3348" s="17" t="s">
        <v>11</v>
      </c>
      <c r="D3348" s="17" t="s">
        <v>83</v>
      </c>
      <c r="E3348" s="17" t="s">
        <v>20</v>
      </c>
      <c r="F3348" s="16" t="s">
        <v>10404</v>
      </c>
    </row>
    <row r="3349" spans="1:6" x14ac:dyDescent="0.25">
      <c r="A3349" s="16" t="s">
        <v>10405</v>
      </c>
      <c r="B3349" s="17" t="s">
        <v>10406</v>
      </c>
      <c r="C3349" s="17" t="s">
        <v>11</v>
      </c>
      <c r="D3349" s="17" t="s">
        <v>26</v>
      </c>
      <c r="E3349" s="17" t="s">
        <v>20</v>
      </c>
      <c r="F3349" s="16" t="s">
        <v>10407</v>
      </c>
    </row>
    <row r="3350" spans="1:6" x14ac:dyDescent="0.25">
      <c r="A3350" s="16" t="s">
        <v>10408</v>
      </c>
      <c r="B3350" s="17" t="s">
        <v>10409</v>
      </c>
      <c r="C3350" s="17" t="s">
        <v>11</v>
      </c>
      <c r="D3350" s="17" t="s">
        <v>74</v>
      </c>
      <c r="E3350" s="17" t="s">
        <v>20</v>
      </c>
      <c r="F3350" s="16" t="s">
        <v>10410</v>
      </c>
    </row>
    <row r="3351" spans="1:6" x14ac:dyDescent="0.25">
      <c r="A3351" s="16" t="s">
        <v>10411</v>
      </c>
      <c r="B3351" s="17" t="s">
        <v>10412</v>
      </c>
      <c r="C3351" s="17" t="s">
        <v>11</v>
      </c>
      <c r="D3351" s="17" t="s">
        <v>182</v>
      </c>
      <c r="E3351" s="17" t="s">
        <v>20</v>
      </c>
      <c r="F3351" s="16" t="s">
        <v>10413</v>
      </c>
    </row>
    <row r="3352" spans="1:6" x14ac:dyDescent="0.25">
      <c r="A3352" s="16" t="s">
        <v>10414</v>
      </c>
      <c r="B3352" s="17" t="s">
        <v>10415</v>
      </c>
      <c r="C3352" s="17" t="s">
        <v>11</v>
      </c>
      <c r="D3352" s="17" t="s">
        <v>83</v>
      </c>
      <c r="E3352" s="17" t="s">
        <v>20</v>
      </c>
      <c r="F3352" s="16" t="s">
        <v>10416</v>
      </c>
    </row>
    <row r="3353" spans="1:6" x14ac:dyDescent="0.25">
      <c r="A3353" s="16" t="s">
        <v>10417</v>
      </c>
      <c r="B3353" s="17" t="s">
        <v>10418</v>
      </c>
      <c r="C3353" s="17" t="s">
        <v>11</v>
      </c>
      <c r="D3353" s="17" t="s">
        <v>32</v>
      </c>
      <c r="E3353" s="17" t="s">
        <v>20</v>
      </c>
      <c r="F3353" s="16" t="s">
        <v>10419</v>
      </c>
    </row>
    <row r="3354" spans="1:6" x14ac:dyDescent="0.25">
      <c r="A3354" s="16" t="s">
        <v>10420</v>
      </c>
      <c r="B3354" s="17" t="s">
        <v>10421</v>
      </c>
      <c r="C3354" s="17" t="s">
        <v>11</v>
      </c>
      <c r="D3354" s="17" t="s">
        <v>83</v>
      </c>
      <c r="E3354" s="17" t="s">
        <v>20</v>
      </c>
      <c r="F3354" s="16" t="s">
        <v>10422</v>
      </c>
    </row>
    <row r="3355" spans="1:6" x14ac:dyDescent="0.25">
      <c r="A3355" s="16" t="s">
        <v>10423</v>
      </c>
      <c r="B3355" s="17" t="s">
        <v>10424</v>
      </c>
      <c r="C3355" s="17" t="s">
        <v>11</v>
      </c>
      <c r="D3355" s="17" t="s">
        <v>83</v>
      </c>
      <c r="E3355" s="17" t="s">
        <v>20</v>
      </c>
      <c r="F3355" s="16" t="s">
        <v>10425</v>
      </c>
    </row>
    <row r="3356" spans="1:6" x14ac:dyDescent="0.25">
      <c r="A3356" s="16" t="s">
        <v>10426</v>
      </c>
      <c r="B3356" s="17" t="s">
        <v>10427</v>
      </c>
      <c r="C3356" s="17" t="s">
        <v>11</v>
      </c>
      <c r="D3356" s="17" t="s">
        <v>32</v>
      </c>
      <c r="E3356" s="17" t="s">
        <v>20</v>
      </c>
      <c r="F3356" s="16" t="s">
        <v>10428</v>
      </c>
    </row>
    <row r="3357" spans="1:6" x14ac:dyDescent="0.25">
      <c r="A3357" s="16" t="s">
        <v>10429</v>
      </c>
      <c r="B3357" s="17" t="s">
        <v>10430</v>
      </c>
      <c r="C3357" s="17" t="s">
        <v>11</v>
      </c>
      <c r="D3357" s="17" t="s">
        <v>89</v>
      </c>
      <c r="E3357" s="17" t="s">
        <v>20</v>
      </c>
      <c r="F3357" s="16" t="s">
        <v>10431</v>
      </c>
    </row>
    <row r="3358" spans="1:6" x14ac:dyDescent="0.25">
      <c r="A3358" s="16" t="s">
        <v>10432</v>
      </c>
      <c r="B3358" s="17" t="s">
        <v>10433</v>
      </c>
      <c r="C3358" s="17" t="s">
        <v>11</v>
      </c>
      <c r="D3358" s="17" t="s">
        <v>83</v>
      </c>
      <c r="E3358" s="17" t="s">
        <v>20</v>
      </c>
      <c r="F3358" s="16" t="s">
        <v>10434</v>
      </c>
    </row>
    <row r="3359" spans="1:6" x14ac:dyDescent="0.25">
      <c r="A3359" s="16" t="s">
        <v>10435</v>
      </c>
      <c r="B3359" s="17" t="s">
        <v>10436</v>
      </c>
      <c r="C3359" s="17" t="s">
        <v>11</v>
      </c>
      <c r="D3359" s="17" t="s">
        <v>570</v>
      </c>
      <c r="E3359" s="17" t="s">
        <v>20</v>
      </c>
      <c r="F3359" s="16" t="s">
        <v>10437</v>
      </c>
    </row>
    <row r="3360" spans="1:6" x14ac:dyDescent="0.25">
      <c r="A3360" s="16" t="s">
        <v>10438</v>
      </c>
      <c r="B3360" s="17" t="s">
        <v>10439</v>
      </c>
      <c r="C3360" s="17" t="s">
        <v>11</v>
      </c>
      <c r="D3360" s="17" t="s">
        <v>250</v>
      </c>
      <c r="E3360" s="17" t="s">
        <v>20</v>
      </c>
      <c r="F3360" s="16" t="s">
        <v>10440</v>
      </c>
    </row>
    <row r="3361" spans="1:6" x14ac:dyDescent="0.25">
      <c r="A3361" s="16" t="s">
        <v>10441</v>
      </c>
      <c r="B3361" s="17" t="s">
        <v>10442</v>
      </c>
      <c r="C3361" s="17" t="s">
        <v>11</v>
      </c>
      <c r="D3361" s="17" t="s">
        <v>670</v>
      </c>
      <c r="E3361" s="17" t="s">
        <v>20</v>
      </c>
      <c r="F3361" s="16" t="s">
        <v>10443</v>
      </c>
    </row>
    <row r="3362" spans="1:6" x14ac:dyDescent="0.25">
      <c r="A3362" s="16" t="s">
        <v>10444</v>
      </c>
      <c r="B3362" s="17" t="s">
        <v>10445</v>
      </c>
      <c r="C3362" s="17" t="s">
        <v>11</v>
      </c>
      <c r="D3362" s="17" t="s">
        <v>83</v>
      </c>
      <c r="E3362" s="17" t="s">
        <v>20</v>
      </c>
      <c r="F3362" s="16" t="s">
        <v>10446</v>
      </c>
    </row>
    <row r="3363" spans="1:6" x14ac:dyDescent="0.25">
      <c r="A3363" s="16" t="s">
        <v>10447</v>
      </c>
      <c r="B3363" s="17" t="s">
        <v>10448</v>
      </c>
      <c r="C3363" s="17" t="s">
        <v>11</v>
      </c>
      <c r="D3363" s="17" t="s">
        <v>182</v>
      </c>
      <c r="E3363" s="17" t="s">
        <v>20</v>
      </c>
      <c r="F3363" s="16" t="s">
        <v>10449</v>
      </c>
    </row>
    <row r="3364" spans="1:6" x14ac:dyDescent="0.25">
      <c r="A3364" s="16" t="s">
        <v>10450</v>
      </c>
      <c r="B3364" s="17" t="s">
        <v>10451</v>
      </c>
      <c r="C3364" s="17" t="s">
        <v>11</v>
      </c>
      <c r="D3364" s="17" t="s">
        <v>74</v>
      </c>
      <c r="E3364" s="17" t="s">
        <v>20</v>
      </c>
      <c r="F3364" s="16" t="s">
        <v>10452</v>
      </c>
    </row>
    <row r="3365" spans="1:6" x14ac:dyDescent="0.25">
      <c r="A3365" s="16" t="s">
        <v>10453</v>
      </c>
      <c r="B3365" s="17" t="s">
        <v>10454</v>
      </c>
      <c r="C3365" s="17" t="s">
        <v>11</v>
      </c>
      <c r="D3365" s="17" t="s">
        <v>80</v>
      </c>
      <c r="E3365" s="17" t="s">
        <v>20</v>
      </c>
      <c r="F3365" s="16" t="s">
        <v>10455</v>
      </c>
    </row>
    <row r="3366" spans="1:6" x14ac:dyDescent="0.25">
      <c r="A3366" s="16" t="s">
        <v>10456</v>
      </c>
      <c r="B3366" s="17" t="s">
        <v>10457</v>
      </c>
      <c r="C3366" s="17" t="s">
        <v>11</v>
      </c>
      <c r="D3366" s="17" t="s">
        <v>74</v>
      </c>
      <c r="E3366" s="17" t="s">
        <v>20</v>
      </c>
      <c r="F3366" s="16" t="s">
        <v>10458</v>
      </c>
    </row>
    <row r="3367" spans="1:6" x14ac:dyDescent="0.25">
      <c r="A3367" s="16" t="s">
        <v>10459</v>
      </c>
      <c r="B3367" s="17" t="s">
        <v>10460</v>
      </c>
      <c r="C3367" s="17" t="s">
        <v>11</v>
      </c>
      <c r="D3367" s="17" t="s">
        <v>186</v>
      </c>
      <c r="E3367" s="17" t="s">
        <v>20</v>
      </c>
      <c r="F3367" s="16" t="s">
        <v>10461</v>
      </c>
    </row>
    <row r="3368" spans="1:6" x14ac:dyDescent="0.25">
      <c r="A3368" s="16" t="s">
        <v>10462</v>
      </c>
      <c r="B3368" s="17" t="s">
        <v>10463</v>
      </c>
      <c r="C3368" s="17" t="s">
        <v>11</v>
      </c>
      <c r="D3368" s="17" t="s">
        <v>32</v>
      </c>
      <c r="E3368" s="17" t="s">
        <v>20</v>
      </c>
      <c r="F3368" s="16" t="s">
        <v>10464</v>
      </c>
    </row>
    <row r="3369" spans="1:6" x14ac:dyDescent="0.25">
      <c r="A3369" s="16" t="s">
        <v>10465</v>
      </c>
      <c r="B3369" s="17" t="s">
        <v>10466</v>
      </c>
      <c r="C3369" s="17" t="s">
        <v>11</v>
      </c>
      <c r="D3369" s="17" t="s">
        <v>32</v>
      </c>
      <c r="E3369" s="17" t="s">
        <v>20</v>
      </c>
      <c r="F3369" s="16" t="s">
        <v>10467</v>
      </c>
    </row>
    <row r="3370" spans="1:6" x14ac:dyDescent="0.25">
      <c r="A3370" s="16" t="s">
        <v>10468</v>
      </c>
      <c r="B3370" s="17" t="s">
        <v>10469</v>
      </c>
      <c r="C3370" s="17" t="s">
        <v>11</v>
      </c>
      <c r="D3370" s="17" t="s">
        <v>291</v>
      </c>
      <c r="E3370" s="17" t="s">
        <v>20</v>
      </c>
      <c r="F3370" s="16" t="s">
        <v>10470</v>
      </c>
    </row>
    <row r="3371" spans="1:6" x14ac:dyDescent="0.25">
      <c r="A3371" s="16" t="s">
        <v>10471</v>
      </c>
      <c r="B3371" s="17" t="s">
        <v>10472</v>
      </c>
      <c r="C3371" s="17" t="s">
        <v>11</v>
      </c>
      <c r="D3371" s="17" t="s">
        <v>68</v>
      </c>
      <c r="E3371" s="17" t="s">
        <v>20</v>
      </c>
      <c r="F3371" s="16" t="s">
        <v>10473</v>
      </c>
    </row>
    <row r="3372" spans="1:6" x14ac:dyDescent="0.25">
      <c r="A3372" s="16" t="s">
        <v>10474</v>
      </c>
      <c r="B3372" s="17" t="s">
        <v>10475</v>
      </c>
      <c r="C3372" s="17" t="s">
        <v>11</v>
      </c>
      <c r="D3372" s="17" t="s">
        <v>182</v>
      </c>
      <c r="E3372" s="17" t="s">
        <v>20</v>
      </c>
      <c r="F3372" s="16" t="s">
        <v>10476</v>
      </c>
    </row>
    <row r="3373" spans="1:6" x14ac:dyDescent="0.25">
      <c r="A3373" s="16" t="s">
        <v>10477</v>
      </c>
      <c r="B3373" s="17" t="s">
        <v>10478</v>
      </c>
      <c r="C3373" s="17" t="s">
        <v>11</v>
      </c>
      <c r="D3373" s="17" t="s">
        <v>83</v>
      </c>
      <c r="E3373" s="17" t="s">
        <v>20</v>
      </c>
      <c r="F3373" s="16" t="s">
        <v>10479</v>
      </c>
    </row>
    <row r="3374" spans="1:6" x14ac:dyDescent="0.25">
      <c r="A3374" s="16" t="s">
        <v>10480</v>
      </c>
      <c r="B3374" s="17" t="s">
        <v>10481</v>
      </c>
      <c r="C3374" s="17" t="s">
        <v>11</v>
      </c>
      <c r="D3374" s="17" t="s">
        <v>26</v>
      </c>
      <c r="E3374" s="17" t="s">
        <v>20</v>
      </c>
      <c r="F3374" s="16" t="s">
        <v>10482</v>
      </c>
    </row>
    <row r="3375" spans="1:6" x14ac:dyDescent="0.25">
      <c r="A3375" s="16" t="s">
        <v>10483</v>
      </c>
      <c r="B3375" s="17" t="s">
        <v>10484</v>
      </c>
      <c r="C3375" s="17" t="s">
        <v>11</v>
      </c>
      <c r="D3375" s="17" t="s">
        <v>32</v>
      </c>
      <c r="E3375" s="17" t="s">
        <v>20</v>
      </c>
      <c r="F3375" s="16" t="s">
        <v>10485</v>
      </c>
    </row>
    <row r="3376" spans="1:6" x14ac:dyDescent="0.25">
      <c r="A3376" s="16" t="s">
        <v>10486</v>
      </c>
      <c r="B3376" s="17" t="s">
        <v>10487</v>
      </c>
      <c r="C3376" s="17" t="s">
        <v>11</v>
      </c>
      <c r="D3376" s="17" t="s">
        <v>250</v>
      </c>
      <c r="E3376" s="17" t="s">
        <v>20</v>
      </c>
      <c r="F3376" s="16" t="s">
        <v>10488</v>
      </c>
    </row>
    <row r="3377" spans="1:6" x14ac:dyDescent="0.25">
      <c r="A3377" s="16" t="s">
        <v>10489</v>
      </c>
      <c r="B3377" s="17" t="s">
        <v>10490</v>
      </c>
      <c r="C3377" s="17" t="s">
        <v>11</v>
      </c>
      <c r="D3377" s="17" t="s">
        <v>80</v>
      </c>
      <c r="E3377" s="17" t="s">
        <v>20</v>
      </c>
      <c r="F3377" s="16" t="s">
        <v>10491</v>
      </c>
    </row>
    <row r="3378" spans="1:6" x14ac:dyDescent="0.25">
      <c r="A3378" s="16" t="s">
        <v>10492</v>
      </c>
      <c r="B3378" s="17" t="s">
        <v>10493</v>
      </c>
      <c r="C3378" s="17" t="s">
        <v>11</v>
      </c>
      <c r="D3378" s="17" t="s">
        <v>32</v>
      </c>
      <c r="E3378" s="17" t="s">
        <v>20</v>
      </c>
      <c r="F3378" s="16" t="s">
        <v>10494</v>
      </c>
    </row>
    <row r="3379" spans="1:6" x14ac:dyDescent="0.25">
      <c r="A3379" s="16" t="s">
        <v>10495</v>
      </c>
      <c r="B3379" s="17" t="s">
        <v>10496</v>
      </c>
      <c r="C3379" s="17" t="s">
        <v>11</v>
      </c>
      <c r="D3379" s="17" t="s">
        <v>89</v>
      </c>
      <c r="E3379" s="17" t="s">
        <v>20</v>
      </c>
      <c r="F3379" s="16" t="s">
        <v>10497</v>
      </c>
    </row>
    <row r="3380" spans="1:6" x14ac:dyDescent="0.25">
      <c r="A3380" s="16" t="s">
        <v>10498</v>
      </c>
      <c r="B3380" s="17" t="s">
        <v>10499</v>
      </c>
      <c r="C3380" s="17" t="s">
        <v>11</v>
      </c>
      <c r="D3380" s="17" t="s">
        <v>26</v>
      </c>
      <c r="E3380" s="17" t="s">
        <v>20</v>
      </c>
      <c r="F3380" s="16" t="s">
        <v>10500</v>
      </c>
    </row>
    <row r="3381" spans="1:6" x14ac:dyDescent="0.25">
      <c r="A3381" s="16" t="s">
        <v>10501</v>
      </c>
      <c r="B3381" s="17" t="s">
        <v>10502</v>
      </c>
      <c r="C3381" s="17" t="s">
        <v>11</v>
      </c>
      <c r="D3381" s="17" t="s">
        <v>32</v>
      </c>
      <c r="E3381" s="17" t="s">
        <v>20</v>
      </c>
      <c r="F3381" s="16" t="s">
        <v>10503</v>
      </c>
    </row>
    <row r="3382" spans="1:6" x14ac:dyDescent="0.25">
      <c r="A3382" s="16" t="s">
        <v>10504</v>
      </c>
      <c r="B3382" s="17" t="s">
        <v>10505</v>
      </c>
      <c r="C3382" s="17" t="s">
        <v>11</v>
      </c>
      <c r="D3382" s="17" t="s">
        <v>12</v>
      </c>
      <c r="E3382" s="17" t="s">
        <v>13</v>
      </c>
      <c r="F3382" s="16" t="s">
        <v>10506</v>
      </c>
    </row>
    <row r="3383" spans="1:6" x14ac:dyDescent="0.25">
      <c r="A3383" s="16" t="s">
        <v>10507</v>
      </c>
      <c r="B3383" s="17" t="s">
        <v>10508</v>
      </c>
      <c r="C3383" s="17" t="s">
        <v>11</v>
      </c>
      <c r="D3383" s="17" t="s">
        <v>80</v>
      </c>
      <c r="E3383" s="17" t="s">
        <v>20</v>
      </c>
      <c r="F3383" s="16" t="s">
        <v>10509</v>
      </c>
    </row>
    <row r="3384" spans="1:6" x14ac:dyDescent="0.25">
      <c r="A3384" s="16" t="s">
        <v>10510</v>
      </c>
      <c r="B3384" s="17" t="s">
        <v>10511</v>
      </c>
      <c r="C3384" s="17" t="s">
        <v>11</v>
      </c>
      <c r="D3384" s="17" t="s">
        <v>12</v>
      </c>
      <c r="E3384" s="17" t="s">
        <v>13</v>
      </c>
      <c r="F3384" s="16" t="s">
        <v>10512</v>
      </c>
    </row>
    <row r="3385" spans="1:6" x14ac:dyDescent="0.25">
      <c r="A3385" s="16" t="s">
        <v>10513</v>
      </c>
      <c r="B3385" s="17" t="s">
        <v>10514</v>
      </c>
      <c r="C3385" s="17" t="s">
        <v>11</v>
      </c>
      <c r="D3385" s="17" t="s">
        <v>12</v>
      </c>
      <c r="E3385" s="17" t="s">
        <v>13</v>
      </c>
      <c r="F3385" s="16" t="s">
        <v>10515</v>
      </c>
    </row>
    <row r="3386" spans="1:6" x14ac:dyDescent="0.25">
      <c r="A3386" s="16" t="s">
        <v>10516</v>
      </c>
      <c r="B3386" s="17" t="s">
        <v>10517</v>
      </c>
      <c r="C3386" s="17" t="s">
        <v>11</v>
      </c>
      <c r="D3386" s="17" t="s">
        <v>233</v>
      </c>
      <c r="E3386" s="17" t="s">
        <v>20</v>
      </c>
      <c r="F3386" s="16" t="s">
        <v>10518</v>
      </c>
    </row>
    <row r="3387" spans="1:6" x14ac:dyDescent="0.25">
      <c r="A3387" s="16" t="s">
        <v>10519</v>
      </c>
      <c r="B3387" s="17" t="s">
        <v>10520</v>
      </c>
      <c r="C3387" s="17" t="s">
        <v>11</v>
      </c>
      <c r="D3387" s="17" t="s">
        <v>12</v>
      </c>
      <c r="E3387" s="17" t="s">
        <v>13</v>
      </c>
      <c r="F3387" s="16" t="s">
        <v>10521</v>
      </c>
    </row>
    <row r="3388" spans="1:6" x14ac:dyDescent="0.25">
      <c r="A3388" s="16" t="s">
        <v>10522</v>
      </c>
      <c r="B3388" s="17" t="s">
        <v>10523</v>
      </c>
      <c r="C3388" s="17" t="s">
        <v>11</v>
      </c>
      <c r="D3388" s="17" t="s">
        <v>12</v>
      </c>
      <c r="E3388" s="17" t="s">
        <v>13</v>
      </c>
      <c r="F3388" s="16" t="s">
        <v>10524</v>
      </c>
    </row>
    <row r="3389" spans="1:6" x14ac:dyDescent="0.25">
      <c r="A3389" s="16" t="s">
        <v>10525</v>
      </c>
      <c r="B3389" s="17" t="s">
        <v>10526</v>
      </c>
      <c r="C3389" s="17" t="s">
        <v>11</v>
      </c>
      <c r="D3389" s="17" t="s">
        <v>80</v>
      </c>
      <c r="E3389" s="17" t="s">
        <v>20</v>
      </c>
      <c r="F3389" s="16" t="s">
        <v>10527</v>
      </c>
    </row>
    <row r="3390" spans="1:6" x14ac:dyDescent="0.25">
      <c r="A3390" s="16" t="s">
        <v>10528</v>
      </c>
      <c r="B3390" s="17" t="s">
        <v>10529</v>
      </c>
      <c r="C3390" s="17" t="s">
        <v>11</v>
      </c>
      <c r="D3390" s="17" t="s">
        <v>12</v>
      </c>
      <c r="E3390" s="17" t="s">
        <v>13</v>
      </c>
      <c r="F3390" s="16" t="s">
        <v>10530</v>
      </c>
    </row>
    <row r="3391" spans="1:6" x14ac:dyDescent="0.25">
      <c r="A3391" s="16" t="s">
        <v>10531</v>
      </c>
      <c r="B3391" s="17" t="s">
        <v>10532</v>
      </c>
      <c r="C3391" s="17" t="s">
        <v>11</v>
      </c>
      <c r="D3391" s="17" t="s">
        <v>12</v>
      </c>
      <c r="E3391" s="17" t="s">
        <v>13</v>
      </c>
      <c r="F3391" s="16" t="s">
        <v>10533</v>
      </c>
    </row>
    <row r="3392" spans="1:6" x14ac:dyDescent="0.25">
      <c r="A3392" s="16" t="s">
        <v>10534</v>
      </c>
      <c r="B3392" s="17" t="s">
        <v>10535</v>
      </c>
      <c r="C3392" s="17" t="s">
        <v>11</v>
      </c>
      <c r="D3392" s="17" t="s">
        <v>12</v>
      </c>
      <c r="E3392" s="17" t="s">
        <v>13</v>
      </c>
      <c r="F3392" s="16" t="s">
        <v>10536</v>
      </c>
    </row>
    <row r="3393" spans="1:6" x14ac:dyDescent="0.25">
      <c r="A3393" s="16" t="s">
        <v>10537</v>
      </c>
      <c r="B3393" s="17" t="s">
        <v>10538</v>
      </c>
      <c r="C3393" s="17" t="s">
        <v>11</v>
      </c>
      <c r="D3393" s="17" t="s">
        <v>32</v>
      </c>
      <c r="E3393" s="17" t="s">
        <v>20</v>
      </c>
      <c r="F3393" s="16" t="s">
        <v>10539</v>
      </c>
    </row>
    <row r="3394" spans="1:6" x14ac:dyDescent="0.25">
      <c r="A3394" s="16" t="s">
        <v>10540</v>
      </c>
      <c r="B3394" s="17" t="s">
        <v>10541</v>
      </c>
      <c r="C3394" s="17" t="s">
        <v>11</v>
      </c>
      <c r="D3394" s="17" t="s">
        <v>250</v>
      </c>
      <c r="E3394" s="17" t="s">
        <v>20</v>
      </c>
      <c r="F3394" s="16" t="s">
        <v>10542</v>
      </c>
    </row>
    <row r="3395" spans="1:6" x14ac:dyDescent="0.25">
      <c r="A3395" s="16" t="s">
        <v>10543</v>
      </c>
      <c r="B3395" s="17" t="s">
        <v>10544</v>
      </c>
      <c r="C3395" s="17" t="s">
        <v>11</v>
      </c>
      <c r="D3395" s="17" t="s">
        <v>12</v>
      </c>
      <c r="E3395" s="17" t="s">
        <v>13</v>
      </c>
      <c r="F3395" s="16" t="s">
        <v>10545</v>
      </c>
    </row>
    <row r="3396" spans="1:6" x14ac:dyDescent="0.25">
      <c r="A3396" s="16" t="s">
        <v>10546</v>
      </c>
      <c r="B3396" s="17" t="s">
        <v>10547</v>
      </c>
      <c r="C3396" s="17" t="s">
        <v>11</v>
      </c>
      <c r="D3396" s="17" t="s">
        <v>12</v>
      </c>
      <c r="E3396" s="17" t="s">
        <v>13</v>
      </c>
      <c r="F3396" s="16" t="s">
        <v>10548</v>
      </c>
    </row>
    <row r="3397" spans="1:6" x14ac:dyDescent="0.25">
      <c r="A3397" s="16" t="s">
        <v>10549</v>
      </c>
      <c r="B3397" s="17" t="s">
        <v>10550</v>
      </c>
      <c r="C3397" s="17" t="s">
        <v>11</v>
      </c>
      <c r="D3397" s="17" t="s">
        <v>12</v>
      </c>
      <c r="E3397" s="17" t="s">
        <v>13</v>
      </c>
      <c r="F3397" s="16" t="s">
        <v>10551</v>
      </c>
    </row>
    <row r="3398" spans="1:6" x14ac:dyDescent="0.25">
      <c r="A3398" s="16" t="s">
        <v>10552</v>
      </c>
      <c r="B3398" s="17" t="s">
        <v>10553</v>
      </c>
      <c r="C3398" s="17" t="s">
        <v>11</v>
      </c>
      <c r="D3398" s="17" t="s">
        <v>12</v>
      </c>
      <c r="E3398" s="17" t="s">
        <v>13</v>
      </c>
      <c r="F3398" s="16" t="s">
        <v>10554</v>
      </c>
    </row>
    <row r="3399" spans="1:6" x14ac:dyDescent="0.25">
      <c r="A3399" s="16" t="s">
        <v>10555</v>
      </c>
      <c r="B3399" s="17" t="s">
        <v>10556</v>
      </c>
      <c r="C3399" s="17" t="s">
        <v>11</v>
      </c>
      <c r="D3399" s="17" t="s">
        <v>12</v>
      </c>
      <c r="E3399" s="17" t="s">
        <v>13</v>
      </c>
      <c r="F3399" s="16" t="s">
        <v>10557</v>
      </c>
    </row>
    <row r="3400" spans="1:6" x14ac:dyDescent="0.25">
      <c r="A3400" s="16" t="s">
        <v>10558</v>
      </c>
      <c r="B3400" s="17" t="s">
        <v>10559</v>
      </c>
      <c r="C3400" s="17" t="s">
        <v>11</v>
      </c>
      <c r="D3400" s="17" t="s">
        <v>12</v>
      </c>
      <c r="E3400" s="17" t="s">
        <v>13</v>
      </c>
      <c r="F3400" s="16" t="s">
        <v>10560</v>
      </c>
    </row>
    <row r="3401" spans="1:6" x14ac:dyDescent="0.25">
      <c r="A3401" s="16" t="s">
        <v>10561</v>
      </c>
      <c r="B3401" s="17" t="s">
        <v>10562</v>
      </c>
      <c r="C3401" s="17" t="s">
        <v>11</v>
      </c>
      <c r="D3401" s="17" t="s">
        <v>250</v>
      </c>
      <c r="E3401" s="17" t="s">
        <v>20</v>
      </c>
      <c r="F3401" s="16" t="s">
        <v>10563</v>
      </c>
    </row>
    <row r="3402" spans="1:6" x14ac:dyDescent="0.25">
      <c r="A3402" s="16" t="s">
        <v>10564</v>
      </c>
      <c r="B3402" s="17" t="s">
        <v>10565</v>
      </c>
      <c r="C3402" s="17" t="s">
        <v>11</v>
      </c>
      <c r="D3402" s="17" t="s">
        <v>12</v>
      </c>
      <c r="E3402" s="17" t="s">
        <v>13</v>
      </c>
      <c r="F3402" s="16" t="s">
        <v>10566</v>
      </c>
    </row>
    <row r="3403" spans="1:6" x14ac:dyDescent="0.25">
      <c r="A3403" s="16" t="s">
        <v>10567</v>
      </c>
      <c r="B3403" s="17" t="s">
        <v>10568</v>
      </c>
      <c r="C3403" s="17" t="s">
        <v>11</v>
      </c>
      <c r="D3403" s="17" t="s">
        <v>74</v>
      </c>
      <c r="E3403" s="17" t="s">
        <v>20</v>
      </c>
      <c r="F3403" s="16" t="s">
        <v>10569</v>
      </c>
    </row>
    <row r="3404" spans="1:6" x14ac:dyDescent="0.25">
      <c r="A3404" s="16" t="s">
        <v>10570</v>
      </c>
      <c r="B3404" s="17" t="s">
        <v>10571</v>
      </c>
      <c r="C3404" s="17" t="s">
        <v>11</v>
      </c>
      <c r="D3404" s="17" t="s">
        <v>12</v>
      </c>
      <c r="E3404" s="17" t="s">
        <v>13</v>
      </c>
      <c r="F3404" s="16" t="s">
        <v>10572</v>
      </c>
    </row>
    <row r="3405" spans="1:6" x14ac:dyDescent="0.25">
      <c r="A3405" s="16" t="s">
        <v>10573</v>
      </c>
      <c r="B3405" s="17" t="s">
        <v>10574</v>
      </c>
      <c r="C3405" s="17" t="s">
        <v>11</v>
      </c>
      <c r="D3405" s="17" t="s">
        <v>32</v>
      </c>
      <c r="E3405" s="17" t="s">
        <v>20</v>
      </c>
      <c r="F3405" s="16" t="s">
        <v>10575</v>
      </c>
    </row>
    <row r="3406" spans="1:6" x14ac:dyDescent="0.25">
      <c r="A3406" s="16" t="s">
        <v>10576</v>
      </c>
      <c r="B3406" s="17" t="s">
        <v>10577</v>
      </c>
      <c r="C3406" s="17" t="s">
        <v>11</v>
      </c>
      <c r="D3406" s="17" t="s">
        <v>12</v>
      </c>
      <c r="E3406" s="17" t="s">
        <v>13</v>
      </c>
      <c r="F3406" s="16" t="s">
        <v>10578</v>
      </c>
    </row>
    <row r="3407" spans="1:6" x14ac:dyDescent="0.25">
      <c r="A3407" s="16" t="s">
        <v>10579</v>
      </c>
      <c r="B3407" s="17" t="s">
        <v>10580</v>
      </c>
      <c r="C3407" s="17" t="s">
        <v>11</v>
      </c>
      <c r="D3407" s="17" t="s">
        <v>12</v>
      </c>
      <c r="E3407" s="17" t="s">
        <v>13</v>
      </c>
      <c r="F3407" s="16" t="s">
        <v>10581</v>
      </c>
    </row>
    <row r="3408" spans="1:6" x14ac:dyDescent="0.25">
      <c r="A3408" s="16" t="s">
        <v>10582</v>
      </c>
      <c r="B3408" s="17" t="s">
        <v>10583</v>
      </c>
      <c r="C3408" s="17" t="s">
        <v>11</v>
      </c>
      <c r="D3408" s="17" t="s">
        <v>12</v>
      </c>
      <c r="E3408" s="17" t="s">
        <v>13</v>
      </c>
      <c r="F3408" s="16" t="s">
        <v>10584</v>
      </c>
    </row>
    <row r="3409" spans="1:6" x14ac:dyDescent="0.25">
      <c r="A3409" s="16" t="s">
        <v>10585</v>
      </c>
      <c r="B3409" s="17" t="s">
        <v>10586</v>
      </c>
      <c r="C3409" s="17" t="s">
        <v>11</v>
      </c>
      <c r="D3409" s="17" t="s">
        <v>74</v>
      </c>
      <c r="E3409" s="17" t="s">
        <v>20</v>
      </c>
      <c r="F3409" s="16" t="s">
        <v>10587</v>
      </c>
    </row>
    <row r="3410" spans="1:6" x14ac:dyDescent="0.25">
      <c r="A3410" s="16" t="s">
        <v>10588</v>
      </c>
      <c r="B3410" s="17" t="s">
        <v>10589</v>
      </c>
      <c r="C3410" s="17" t="s">
        <v>11</v>
      </c>
      <c r="D3410" s="17" t="s">
        <v>670</v>
      </c>
      <c r="E3410" s="17" t="s">
        <v>20</v>
      </c>
      <c r="F3410" s="16" t="s">
        <v>10590</v>
      </c>
    </row>
    <row r="3411" spans="1:6" x14ac:dyDescent="0.25">
      <c r="A3411" s="16" t="s">
        <v>10591</v>
      </c>
      <c r="B3411" s="17" t="s">
        <v>10592</v>
      </c>
      <c r="C3411" s="17" t="s">
        <v>11</v>
      </c>
      <c r="D3411" s="17" t="s">
        <v>12</v>
      </c>
      <c r="E3411" s="17" t="s">
        <v>13</v>
      </c>
      <c r="F3411" s="16" t="s">
        <v>10593</v>
      </c>
    </row>
    <row r="3412" spans="1:6" x14ac:dyDescent="0.25">
      <c r="A3412" s="16" t="s">
        <v>10594</v>
      </c>
      <c r="B3412" s="17" t="s">
        <v>10595</v>
      </c>
      <c r="C3412" s="17" t="s">
        <v>11</v>
      </c>
      <c r="D3412" s="17" t="s">
        <v>570</v>
      </c>
      <c r="E3412" s="17" t="s">
        <v>20</v>
      </c>
      <c r="F3412" s="16" t="s">
        <v>10596</v>
      </c>
    </row>
    <row r="3413" spans="1:6" x14ac:dyDescent="0.25">
      <c r="A3413" s="16" t="s">
        <v>10597</v>
      </c>
      <c r="B3413" s="17" t="s">
        <v>10598</v>
      </c>
      <c r="C3413" s="17" t="s">
        <v>11</v>
      </c>
      <c r="D3413" s="17" t="s">
        <v>12</v>
      </c>
      <c r="E3413" s="17" t="s">
        <v>13</v>
      </c>
      <c r="F3413" s="16" t="s">
        <v>10599</v>
      </c>
    </row>
    <row r="3414" spans="1:6" x14ac:dyDescent="0.25">
      <c r="A3414" s="16" t="s">
        <v>10600</v>
      </c>
      <c r="B3414" s="17" t="s">
        <v>10601</v>
      </c>
      <c r="C3414" s="17" t="s">
        <v>11</v>
      </c>
      <c r="D3414" s="17" t="s">
        <v>12</v>
      </c>
      <c r="E3414" s="17" t="s">
        <v>13</v>
      </c>
      <c r="F3414" s="16" t="s">
        <v>10602</v>
      </c>
    </row>
    <row r="3415" spans="1:6" x14ac:dyDescent="0.25">
      <c r="A3415" s="16" t="s">
        <v>10603</v>
      </c>
      <c r="B3415" s="17" t="s">
        <v>10604</v>
      </c>
      <c r="C3415" s="17" t="s">
        <v>11</v>
      </c>
      <c r="D3415" s="17" t="s">
        <v>12</v>
      </c>
      <c r="E3415" s="17" t="s">
        <v>13</v>
      </c>
      <c r="F3415" s="16" t="s">
        <v>10605</v>
      </c>
    </row>
    <row r="3416" spans="1:6" x14ac:dyDescent="0.25">
      <c r="A3416" s="16" t="s">
        <v>10606</v>
      </c>
      <c r="B3416" s="17" t="s">
        <v>10607</v>
      </c>
      <c r="C3416" s="17" t="s">
        <v>11</v>
      </c>
      <c r="D3416" s="17" t="s">
        <v>12</v>
      </c>
      <c r="E3416" s="17" t="s">
        <v>13</v>
      </c>
      <c r="F3416" s="16" t="s">
        <v>10608</v>
      </c>
    </row>
    <row r="3417" spans="1:6" x14ac:dyDescent="0.25">
      <c r="A3417" s="16" t="s">
        <v>10609</v>
      </c>
      <c r="B3417" s="17" t="s">
        <v>10610</v>
      </c>
      <c r="C3417" s="17" t="s">
        <v>11</v>
      </c>
      <c r="D3417" s="17" t="s">
        <v>12</v>
      </c>
      <c r="E3417" s="17" t="s">
        <v>13</v>
      </c>
      <c r="F3417" s="16" t="s">
        <v>10611</v>
      </c>
    </row>
    <row r="3418" spans="1:6" x14ac:dyDescent="0.25">
      <c r="A3418" s="16" t="s">
        <v>10612</v>
      </c>
      <c r="B3418" s="17" t="s">
        <v>10613</v>
      </c>
      <c r="C3418" s="17" t="s">
        <v>11</v>
      </c>
      <c r="D3418" s="17" t="s">
        <v>12</v>
      </c>
      <c r="E3418" s="17" t="s">
        <v>13</v>
      </c>
      <c r="F3418" s="16" t="s">
        <v>10614</v>
      </c>
    </row>
    <row r="3419" spans="1:6" x14ac:dyDescent="0.25">
      <c r="A3419" s="16" t="s">
        <v>10615</v>
      </c>
      <c r="B3419" s="17" t="s">
        <v>10616</v>
      </c>
      <c r="C3419" s="17" t="s">
        <v>11</v>
      </c>
      <c r="D3419" s="17" t="s">
        <v>182</v>
      </c>
      <c r="E3419" s="17" t="s">
        <v>20</v>
      </c>
      <c r="F3419" s="16" t="s">
        <v>10617</v>
      </c>
    </row>
    <row r="3420" spans="1:6" x14ac:dyDescent="0.25">
      <c r="A3420" s="16" t="s">
        <v>10618</v>
      </c>
      <c r="B3420" s="17" t="s">
        <v>10619</v>
      </c>
      <c r="C3420" s="17" t="s">
        <v>11</v>
      </c>
      <c r="D3420" s="17" t="s">
        <v>12</v>
      </c>
      <c r="E3420" s="17" t="s">
        <v>13</v>
      </c>
      <c r="F3420" s="16" t="s">
        <v>10620</v>
      </c>
    </row>
    <row r="3421" spans="1:6" x14ac:dyDescent="0.25">
      <c r="A3421" s="16" t="s">
        <v>10621</v>
      </c>
      <c r="B3421" s="17" t="s">
        <v>10622</v>
      </c>
      <c r="C3421" s="17" t="s">
        <v>11</v>
      </c>
      <c r="D3421" s="17" t="s">
        <v>12</v>
      </c>
      <c r="E3421" s="17" t="s">
        <v>13</v>
      </c>
      <c r="F3421" s="16" t="s">
        <v>10623</v>
      </c>
    </row>
    <row r="3422" spans="1:6" x14ac:dyDescent="0.25">
      <c r="A3422" s="16" t="s">
        <v>10624</v>
      </c>
      <c r="B3422" s="17" t="s">
        <v>10625</v>
      </c>
      <c r="C3422" s="17" t="s">
        <v>11</v>
      </c>
      <c r="D3422" s="17" t="s">
        <v>12</v>
      </c>
      <c r="E3422" s="17" t="s">
        <v>13</v>
      </c>
      <c r="F3422" s="16" t="s">
        <v>10626</v>
      </c>
    </row>
    <row r="3423" spans="1:6" x14ac:dyDescent="0.25">
      <c r="A3423" s="16" t="s">
        <v>10627</v>
      </c>
      <c r="B3423" s="17" t="s">
        <v>10628</v>
      </c>
      <c r="C3423" s="17" t="s">
        <v>11</v>
      </c>
      <c r="D3423" s="17" t="s">
        <v>32</v>
      </c>
      <c r="E3423" s="17" t="s">
        <v>20</v>
      </c>
      <c r="F3423" s="16" t="s">
        <v>10629</v>
      </c>
    </row>
    <row r="3424" spans="1:6" x14ac:dyDescent="0.25">
      <c r="A3424" s="16" t="s">
        <v>10630</v>
      </c>
      <c r="B3424" s="17" t="s">
        <v>10631</v>
      </c>
      <c r="C3424" s="17" t="s">
        <v>11</v>
      </c>
      <c r="D3424" s="17" t="s">
        <v>59</v>
      </c>
      <c r="E3424" s="17" t="s">
        <v>13</v>
      </c>
      <c r="F3424" s="16" t="s">
        <v>10632</v>
      </c>
    </row>
    <row r="3425" spans="1:6" x14ac:dyDescent="0.25">
      <c r="A3425" s="16" t="s">
        <v>10633</v>
      </c>
      <c r="B3425" s="17" t="s">
        <v>10634</v>
      </c>
      <c r="C3425" s="17" t="s">
        <v>11</v>
      </c>
      <c r="D3425" s="17" t="s">
        <v>12</v>
      </c>
      <c r="E3425" s="17" t="s">
        <v>13</v>
      </c>
      <c r="F3425" s="16" t="s">
        <v>10635</v>
      </c>
    </row>
    <row r="3426" spans="1:6" x14ac:dyDescent="0.25">
      <c r="A3426" s="16" t="s">
        <v>10636</v>
      </c>
      <c r="B3426" s="17" t="s">
        <v>10637</v>
      </c>
      <c r="C3426" s="17" t="s">
        <v>11</v>
      </c>
      <c r="D3426" s="17" t="s">
        <v>12</v>
      </c>
      <c r="E3426" s="17" t="s">
        <v>13</v>
      </c>
      <c r="F3426" s="16" t="s">
        <v>10638</v>
      </c>
    </row>
    <row r="3427" spans="1:6" x14ac:dyDescent="0.25">
      <c r="A3427" s="16" t="s">
        <v>10639</v>
      </c>
      <c r="B3427" s="17" t="s">
        <v>10640</v>
      </c>
      <c r="C3427" s="17" t="s">
        <v>11</v>
      </c>
      <c r="D3427" s="17" t="s">
        <v>32</v>
      </c>
      <c r="E3427" s="17" t="s">
        <v>20</v>
      </c>
      <c r="F3427" s="16" t="s">
        <v>10641</v>
      </c>
    </row>
    <row r="3428" spans="1:6" x14ac:dyDescent="0.25">
      <c r="A3428" s="16" t="s">
        <v>10642</v>
      </c>
      <c r="B3428" s="17" t="s">
        <v>10643</v>
      </c>
      <c r="C3428" s="17" t="s">
        <v>11</v>
      </c>
      <c r="D3428" s="17" t="s">
        <v>12</v>
      </c>
      <c r="E3428" s="17" t="s">
        <v>13</v>
      </c>
      <c r="F3428" s="16" t="s">
        <v>10644</v>
      </c>
    </row>
    <row r="3429" spans="1:6" x14ac:dyDescent="0.25">
      <c r="A3429" s="16" t="s">
        <v>10645</v>
      </c>
      <c r="B3429" s="17" t="s">
        <v>10646</v>
      </c>
      <c r="C3429" s="17" t="s">
        <v>11</v>
      </c>
      <c r="D3429" s="17" t="s">
        <v>291</v>
      </c>
      <c r="E3429" s="17" t="s">
        <v>20</v>
      </c>
      <c r="F3429" s="16" t="s">
        <v>10647</v>
      </c>
    </row>
    <row r="3430" spans="1:6" x14ac:dyDescent="0.25">
      <c r="A3430" s="16" t="s">
        <v>10648</v>
      </c>
      <c r="B3430" s="17" t="s">
        <v>10649</v>
      </c>
      <c r="C3430" s="17" t="s">
        <v>11</v>
      </c>
      <c r="D3430" s="17" t="s">
        <v>12</v>
      </c>
      <c r="E3430" s="17" t="s">
        <v>13</v>
      </c>
      <c r="F3430" s="16" t="s">
        <v>10650</v>
      </c>
    </row>
    <row r="3431" spans="1:6" x14ac:dyDescent="0.25">
      <c r="A3431" s="16" t="s">
        <v>10651</v>
      </c>
      <c r="B3431" s="17" t="s">
        <v>10652</v>
      </c>
      <c r="C3431" s="17" t="s">
        <v>11</v>
      </c>
      <c r="D3431" s="17" t="s">
        <v>182</v>
      </c>
      <c r="E3431" s="17" t="s">
        <v>20</v>
      </c>
      <c r="F3431" s="16" t="s">
        <v>10653</v>
      </c>
    </row>
    <row r="3432" spans="1:6" x14ac:dyDescent="0.25">
      <c r="A3432" s="16" t="s">
        <v>10654</v>
      </c>
      <c r="B3432" s="17" t="s">
        <v>10655</v>
      </c>
      <c r="C3432" s="17" t="s">
        <v>11</v>
      </c>
      <c r="D3432" s="17" t="s">
        <v>12</v>
      </c>
      <c r="E3432" s="17" t="s">
        <v>13</v>
      </c>
      <c r="F3432" s="16" t="s">
        <v>10656</v>
      </c>
    </row>
    <row r="3433" spans="1:6" x14ac:dyDescent="0.25">
      <c r="A3433" s="16" t="s">
        <v>10657</v>
      </c>
      <c r="B3433" s="17" t="s">
        <v>10658</v>
      </c>
      <c r="C3433" s="17" t="s">
        <v>11</v>
      </c>
      <c r="D3433" s="17" t="s">
        <v>74</v>
      </c>
      <c r="E3433" s="17" t="s">
        <v>20</v>
      </c>
      <c r="F3433" s="16" t="s">
        <v>10659</v>
      </c>
    </row>
    <row r="3434" spans="1:6" x14ac:dyDescent="0.25">
      <c r="A3434" s="16" t="s">
        <v>10660</v>
      </c>
      <c r="B3434" s="17" t="s">
        <v>10661</v>
      </c>
      <c r="C3434" s="17" t="s">
        <v>11</v>
      </c>
      <c r="D3434" s="17" t="s">
        <v>32</v>
      </c>
      <c r="E3434" s="17" t="s">
        <v>20</v>
      </c>
      <c r="F3434" s="16" t="s">
        <v>10662</v>
      </c>
    </row>
    <row r="3435" spans="1:6" x14ac:dyDescent="0.25">
      <c r="A3435" s="16" t="s">
        <v>10663</v>
      </c>
      <c r="B3435" s="17" t="s">
        <v>10664</v>
      </c>
      <c r="C3435" s="17" t="s">
        <v>11</v>
      </c>
      <c r="D3435" s="17" t="s">
        <v>12</v>
      </c>
      <c r="E3435" s="17" t="s">
        <v>13</v>
      </c>
      <c r="F3435" s="16" t="s">
        <v>10665</v>
      </c>
    </row>
    <row r="3436" spans="1:6" x14ac:dyDescent="0.25">
      <c r="A3436" s="16" t="s">
        <v>10666</v>
      </c>
      <c r="B3436" s="17" t="s">
        <v>10667</v>
      </c>
      <c r="C3436" s="17" t="s">
        <v>11</v>
      </c>
      <c r="D3436" s="17" t="s">
        <v>12</v>
      </c>
      <c r="E3436" s="17" t="s">
        <v>13</v>
      </c>
      <c r="F3436" s="16" t="s">
        <v>10668</v>
      </c>
    </row>
    <row r="3437" spans="1:6" x14ac:dyDescent="0.25">
      <c r="A3437" s="16" t="s">
        <v>10669</v>
      </c>
      <c r="B3437" s="17" t="s">
        <v>10670</v>
      </c>
      <c r="C3437" s="17" t="s">
        <v>11</v>
      </c>
      <c r="D3437" s="17" t="s">
        <v>80</v>
      </c>
      <c r="E3437" s="17" t="s">
        <v>20</v>
      </c>
      <c r="F3437" s="16" t="s">
        <v>10671</v>
      </c>
    </row>
    <row r="3438" spans="1:6" x14ac:dyDescent="0.25">
      <c r="A3438" s="16" t="s">
        <v>10672</v>
      </c>
      <c r="B3438" s="17" t="s">
        <v>10673</v>
      </c>
      <c r="C3438" s="17" t="s">
        <v>11</v>
      </c>
      <c r="D3438" s="17" t="s">
        <v>32</v>
      </c>
      <c r="E3438" s="17" t="s">
        <v>20</v>
      </c>
      <c r="F3438" s="16" t="s">
        <v>10674</v>
      </c>
    </row>
    <row r="3439" spans="1:6" x14ac:dyDescent="0.25">
      <c r="A3439" s="16" t="s">
        <v>10675</v>
      </c>
      <c r="B3439" s="17" t="s">
        <v>10676</v>
      </c>
      <c r="C3439" s="17" t="s">
        <v>11</v>
      </c>
      <c r="D3439" s="17" t="s">
        <v>32</v>
      </c>
      <c r="E3439" s="17" t="s">
        <v>20</v>
      </c>
      <c r="F3439" s="16" t="s">
        <v>10677</v>
      </c>
    </row>
    <row r="3440" spans="1:6" x14ac:dyDescent="0.25">
      <c r="A3440" s="16" t="s">
        <v>10678</v>
      </c>
      <c r="B3440" s="17" t="s">
        <v>10679</v>
      </c>
      <c r="C3440" s="17" t="s">
        <v>11</v>
      </c>
      <c r="D3440" s="17" t="s">
        <v>12</v>
      </c>
      <c r="E3440" s="17" t="s">
        <v>13</v>
      </c>
      <c r="F3440" s="16" t="s">
        <v>10680</v>
      </c>
    </row>
    <row r="3441" spans="1:6" x14ac:dyDescent="0.25">
      <c r="A3441" s="16" t="s">
        <v>10681</v>
      </c>
      <c r="B3441" s="17" t="s">
        <v>10682</v>
      </c>
      <c r="C3441" s="17" t="s">
        <v>11</v>
      </c>
      <c r="D3441" s="17" t="s">
        <v>32</v>
      </c>
      <c r="E3441" s="17" t="s">
        <v>20</v>
      </c>
      <c r="F3441" s="16" t="s">
        <v>10683</v>
      </c>
    </row>
    <row r="3442" spans="1:6" x14ac:dyDescent="0.25">
      <c r="A3442" s="16" t="s">
        <v>10684</v>
      </c>
      <c r="B3442" s="17" t="s">
        <v>10685</v>
      </c>
      <c r="C3442" s="17" t="s">
        <v>11</v>
      </c>
      <c r="D3442" s="17" t="s">
        <v>12</v>
      </c>
      <c r="E3442" s="17" t="s">
        <v>13</v>
      </c>
      <c r="F3442" s="16" t="s">
        <v>10686</v>
      </c>
    </row>
    <row r="3443" spans="1:6" x14ac:dyDescent="0.25">
      <c r="A3443" s="16" t="s">
        <v>10687</v>
      </c>
      <c r="B3443" s="17" t="s">
        <v>10688</v>
      </c>
      <c r="C3443" s="17" t="s">
        <v>11</v>
      </c>
      <c r="D3443" s="17" t="s">
        <v>32</v>
      </c>
      <c r="E3443" s="17" t="s">
        <v>20</v>
      </c>
      <c r="F3443" s="16" t="s">
        <v>10689</v>
      </c>
    </row>
    <row r="3444" spans="1:6" x14ac:dyDescent="0.25">
      <c r="A3444" s="16" t="s">
        <v>10690</v>
      </c>
      <c r="B3444" s="17" t="s">
        <v>10691</v>
      </c>
      <c r="C3444" s="17" t="s">
        <v>11</v>
      </c>
      <c r="D3444" s="17" t="s">
        <v>12</v>
      </c>
      <c r="E3444" s="17" t="s">
        <v>13</v>
      </c>
      <c r="F3444" s="16" t="s">
        <v>10692</v>
      </c>
    </row>
    <row r="3445" spans="1:6" x14ac:dyDescent="0.25">
      <c r="A3445" s="16" t="s">
        <v>10693</v>
      </c>
      <c r="B3445" s="17" t="s">
        <v>10694</v>
      </c>
      <c r="C3445" s="17" t="s">
        <v>11</v>
      </c>
      <c r="D3445" s="17" t="s">
        <v>12</v>
      </c>
      <c r="E3445" s="17" t="s">
        <v>13</v>
      </c>
      <c r="F3445" s="16" t="s">
        <v>10695</v>
      </c>
    </row>
    <row r="3446" spans="1:6" x14ac:dyDescent="0.25">
      <c r="A3446" s="16" t="s">
        <v>10696</v>
      </c>
      <c r="B3446" s="17" t="s">
        <v>10697</v>
      </c>
      <c r="C3446" s="17" t="s">
        <v>11</v>
      </c>
      <c r="D3446" s="17" t="s">
        <v>148</v>
      </c>
      <c r="E3446" s="17" t="s">
        <v>20</v>
      </c>
      <c r="F3446" s="16" t="s">
        <v>10698</v>
      </c>
    </row>
    <row r="3447" spans="1:6" x14ac:dyDescent="0.25">
      <c r="A3447" s="16" t="s">
        <v>10699</v>
      </c>
      <c r="B3447" s="17" t="s">
        <v>10700</v>
      </c>
      <c r="C3447" s="17" t="s">
        <v>11</v>
      </c>
      <c r="D3447" s="17" t="s">
        <v>250</v>
      </c>
      <c r="E3447" s="17" t="s">
        <v>20</v>
      </c>
      <c r="F3447" s="16" t="s">
        <v>10701</v>
      </c>
    </row>
    <row r="3448" spans="1:6" x14ac:dyDescent="0.25">
      <c r="A3448" s="16" t="s">
        <v>10702</v>
      </c>
      <c r="B3448" s="17" t="s">
        <v>10703</v>
      </c>
      <c r="C3448" s="17" t="s">
        <v>11</v>
      </c>
      <c r="D3448" s="17" t="s">
        <v>12</v>
      </c>
      <c r="E3448" s="17" t="s">
        <v>13</v>
      </c>
      <c r="F3448" s="16" t="s">
        <v>10704</v>
      </c>
    </row>
    <row r="3449" spans="1:6" x14ac:dyDescent="0.25">
      <c r="A3449" s="16" t="s">
        <v>10705</v>
      </c>
      <c r="B3449" s="17" t="s">
        <v>10706</v>
      </c>
      <c r="C3449" s="17" t="s">
        <v>11</v>
      </c>
      <c r="D3449" s="17" t="s">
        <v>12</v>
      </c>
      <c r="E3449" s="17" t="s">
        <v>13</v>
      </c>
      <c r="F3449" s="16" t="s">
        <v>10707</v>
      </c>
    </row>
    <row r="3450" spans="1:6" x14ac:dyDescent="0.25">
      <c r="A3450" s="16" t="s">
        <v>10708</v>
      </c>
      <c r="B3450" s="17" t="s">
        <v>10709</v>
      </c>
      <c r="C3450" s="17" t="s">
        <v>11</v>
      </c>
      <c r="D3450" s="17" t="s">
        <v>74</v>
      </c>
      <c r="E3450" s="17" t="s">
        <v>20</v>
      </c>
      <c r="F3450" s="16" t="s">
        <v>10710</v>
      </c>
    </row>
    <row r="3451" spans="1:6" x14ac:dyDescent="0.25">
      <c r="A3451" s="16" t="s">
        <v>10711</v>
      </c>
      <c r="B3451" s="17" t="s">
        <v>10712</v>
      </c>
      <c r="C3451" s="17" t="s">
        <v>11</v>
      </c>
      <c r="D3451" s="17" t="s">
        <v>250</v>
      </c>
      <c r="E3451" s="17" t="s">
        <v>20</v>
      </c>
      <c r="F3451" s="16" t="s">
        <v>10713</v>
      </c>
    </row>
    <row r="3452" spans="1:6" x14ac:dyDescent="0.25">
      <c r="A3452" s="16" t="s">
        <v>10714</v>
      </c>
      <c r="B3452" s="17" t="s">
        <v>10715</v>
      </c>
      <c r="C3452" s="17" t="s">
        <v>11</v>
      </c>
      <c r="D3452" s="17" t="s">
        <v>12</v>
      </c>
      <c r="E3452" s="17" t="s">
        <v>13</v>
      </c>
      <c r="F3452" s="16" t="s">
        <v>10716</v>
      </c>
    </row>
    <row r="3453" spans="1:6" x14ac:dyDescent="0.25">
      <c r="A3453" s="16" t="s">
        <v>10717</v>
      </c>
      <c r="B3453" s="17" t="s">
        <v>10718</v>
      </c>
      <c r="C3453" s="17" t="s">
        <v>11</v>
      </c>
      <c r="D3453" s="17" t="s">
        <v>12</v>
      </c>
      <c r="E3453" s="17" t="s">
        <v>13</v>
      </c>
      <c r="F3453" s="16" t="s">
        <v>10719</v>
      </c>
    </row>
    <row r="3454" spans="1:6" x14ac:dyDescent="0.25">
      <c r="A3454" s="16" t="s">
        <v>10720</v>
      </c>
      <c r="B3454" s="17" t="s">
        <v>10721</v>
      </c>
      <c r="C3454" s="17" t="s">
        <v>11</v>
      </c>
      <c r="D3454" s="17" t="s">
        <v>12</v>
      </c>
      <c r="E3454" s="17" t="s">
        <v>13</v>
      </c>
      <c r="F3454" s="16" t="s">
        <v>10722</v>
      </c>
    </row>
    <row r="3455" spans="1:6" x14ac:dyDescent="0.25">
      <c r="A3455" s="16" t="s">
        <v>10723</v>
      </c>
      <c r="B3455" s="17" t="s">
        <v>10724</v>
      </c>
      <c r="C3455" s="17" t="s">
        <v>11</v>
      </c>
      <c r="D3455" s="17" t="s">
        <v>1318</v>
      </c>
      <c r="E3455" s="17" t="s">
        <v>20</v>
      </c>
      <c r="F3455" s="16" t="s">
        <v>10725</v>
      </c>
    </row>
    <row r="3456" spans="1:6" x14ac:dyDescent="0.25">
      <c r="A3456" s="16" t="s">
        <v>10726</v>
      </c>
      <c r="B3456" s="17" t="s">
        <v>10727</v>
      </c>
      <c r="C3456" s="17" t="s">
        <v>11</v>
      </c>
      <c r="D3456" s="17" t="s">
        <v>12</v>
      </c>
      <c r="E3456" s="17" t="s">
        <v>13</v>
      </c>
      <c r="F3456" s="16" t="s">
        <v>10728</v>
      </c>
    </row>
    <row r="3457" spans="1:6" x14ac:dyDescent="0.25">
      <c r="A3457" s="16" t="s">
        <v>10729</v>
      </c>
      <c r="B3457" s="17" t="s">
        <v>10730</v>
      </c>
      <c r="C3457" s="17" t="s">
        <v>11</v>
      </c>
      <c r="D3457" s="17" t="s">
        <v>32</v>
      </c>
      <c r="E3457" s="17" t="s">
        <v>20</v>
      </c>
      <c r="F3457" s="16" t="s">
        <v>10731</v>
      </c>
    </row>
    <row r="3458" spans="1:6" x14ac:dyDescent="0.25">
      <c r="A3458" s="16" t="s">
        <v>10732</v>
      </c>
      <c r="B3458" s="17" t="s">
        <v>10733</v>
      </c>
      <c r="C3458" s="17" t="s">
        <v>11</v>
      </c>
      <c r="D3458" s="17" t="s">
        <v>182</v>
      </c>
      <c r="E3458" s="17" t="s">
        <v>20</v>
      </c>
      <c r="F3458" s="16" t="s">
        <v>10734</v>
      </c>
    </row>
    <row r="3459" spans="1:6" x14ac:dyDescent="0.25">
      <c r="A3459" s="16" t="s">
        <v>10735</v>
      </c>
      <c r="B3459" s="17" t="s">
        <v>10736</v>
      </c>
      <c r="C3459" s="17" t="s">
        <v>11</v>
      </c>
      <c r="D3459" s="17" t="s">
        <v>12</v>
      </c>
      <c r="E3459" s="17" t="s">
        <v>13</v>
      </c>
      <c r="F3459" s="16" t="s">
        <v>10737</v>
      </c>
    </row>
    <row r="3460" spans="1:6" x14ac:dyDescent="0.25">
      <c r="A3460" s="16" t="s">
        <v>10738</v>
      </c>
      <c r="B3460" s="17" t="s">
        <v>10739</v>
      </c>
      <c r="C3460" s="17" t="s">
        <v>11</v>
      </c>
      <c r="D3460" s="17" t="s">
        <v>811</v>
      </c>
      <c r="E3460" s="17" t="s">
        <v>20</v>
      </c>
      <c r="F3460" s="16" t="s">
        <v>10740</v>
      </c>
    </row>
    <row r="3461" spans="1:6" x14ac:dyDescent="0.25">
      <c r="A3461" s="16" t="s">
        <v>10741</v>
      </c>
      <c r="B3461" s="17" t="s">
        <v>10742</v>
      </c>
      <c r="C3461" s="17" t="s">
        <v>11</v>
      </c>
      <c r="D3461" s="17" t="s">
        <v>74</v>
      </c>
      <c r="E3461" s="17" t="s">
        <v>20</v>
      </c>
      <c r="F3461" s="16" t="s">
        <v>10743</v>
      </c>
    </row>
    <row r="3462" spans="1:6" x14ac:dyDescent="0.25">
      <c r="A3462" s="16" t="s">
        <v>10744</v>
      </c>
      <c r="B3462" s="17" t="s">
        <v>10745</v>
      </c>
      <c r="C3462" s="17" t="s">
        <v>11</v>
      </c>
      <c r="D3462" s="17" t="s">
        <v>250</v>
      </c>
      <c r="E3462" s="17" t="s">
        <v>20</v>
      </c>
      <c r="F3462" s="16" t="s">
        <v>10746</v>
      </c>
    </row>
    <row r="3463" spans="1:6" x14ac:dyDescent="0.25">
      <c r="A3463" s="16" t="s">
        <v>10747</v>
      </c>
      <c r="B3463" s="17" t="s">
        <v>10748</v>
      </c>
      <c r="C3463" s="17" t="s">
        <v>11</v>
      </c>
      <c r="D3463" s="17" t="s">
        <v>83</v>
      </c>
      <c r="E3463" s="17" t="s">
        <v>20</v>
      </c>
      <c r="F3463" s="16" t="s">
        <v>10749</v>
      </c>
    </row>
    <row r="3464" spans="1:6" x14ac:dyDescent="0.25">
      <c r="A3464" s="16" t="s">
        <v>10750</v>
      </c>
      <c r="B3464" s="17" t="s">
        <v>10751</v>
      </c>
      <c r="C3464" s="17" t="s">
        <v>11</v>
      </c>
      <c r="D3464" s="17" t="s">
        <v>12</v>
      </c>
      <c r="E3464" s="17" t="s">
        <v>13</v>
      </c>
      <c r="F3464" s="16" t="s">
        <v>10752</v>
      </c>
    </row>
    <row r="3465" spans="1:6" x14ac:dyDescent="0.25">
      <c r="A3465" s="16" t="s">
        <v>10753</v>
      </c>
      <c r="B3465" s="17" t="s">
        <v>10754</v>
      </c>
      <c r="C3465" s="17" t="s">
        <v>11</v>
      </c>
      <c r="D3465" s="17" t="s">
        <v>12</v>
      </c>
      <c r="E3465" s="17" t="s">
        <v>13</v>
      </c>
      <c r="F3465" s="16" t="s">
        <v>10755</v>
      </c>
    </row>
    <row r="3466" spans="1:6" x14ac:dyDescent="0.25">
      <c r="A3466" s="16" t="s">
        <v>10756</v>
      </c>
      <c r="B3466" s="17" t="s">
        <v>10757</v>
      </c>
      <c r="C3466" s="17" t="s">
        <v>11</v>
      </c>
      <c r="D3466" s="17" t="s">
        <v>12</v>
      </c>
      <c r="E3466" s="17" t="s">
        <v>13</v>
      </c>
      <c r="F3466" s="16" t="s">
        <v>10758</v>
      </c>
    </row>
    <row r="3467" spans="1:6" x14ac:dyDescent="0.25">
      <c r="A3467" s="16" t="s">
        <v>10759</v>
      </c>
      <c r="B3467" s="17" t="s">
        <v>10760</v>
      </c>
      <c r="C3467" s="17" t="s">
        <v>359</v>
      </c>
      <c r="D3467" s="17" t="s">
        <v>83</v>
      </c>
      <c r="E3467" s="17" t="s">
        <v>20</v>
      </c>
      <c r="F3467" s="16" t="s">
        <v>10761</v>
      </c>
    </row>
    <row r="3468" spans="1:6" x14ac:dyDescent="0.25">
      <c r="A3468" s="16" t="s">
        <v>10762</v>
      </c>
      <c r="B3468" s="17" t="s">
        <v>10763</v>
      </c>
      <c r="C3468" s="17" t="s">
        <v>11</v>
      </c>
      <c r="D3468" s="17" t="s">
        <v>233</v>
      </c>
      <c r="E3468" s="17" t="s">
        <v>20</v>
      </c>
      <c r="F3468" s="16" t="s">
        <v>10764</v>
      </c>
    </row>
    <row r="3469" spans="1:6" x14ac:dyDescent="0.25">
      <c r="A3469" s="16" t="s">
        <v>10765</v>
      </c>
      <c r="B3469" s="17" t="s">
        <v>10766</v>
      </c>
      <c r="C3469" s="17" t="s">
        <v>11</v>
      </c>
      <c r="D3469" s="17" t="s">
        <v>32</v>
      </c>
      <c r="E3469" s="17" t="s">
        <v>20</v>
      </c>
      <c r="F3469" s="16" t="s">
        <v>10767</v>
      </c>
    </row>
    <row r="3470" spans="1:6" x14ac:dyDescent="0.25">
      <c r="A3470" s="16" t="s">
        <v>10768</v>
      </c>
      <c r="B3470" s="17" t="s">
        <v>10769</v>
      </c>
      <c r="C3470" s="17" t="s">
        <v>11</v>
      </c>
      <c r="D3470" s="17" t="s">
        <v>83</v>
      </c>
      <c r="E3470" s="17" t="s">
        <v>20</v>
      </c>
      <c r="F3470" s="16" t="s">
        <v>10770</v>
      </c>
    </row>
    <row r="3471" spans="1:6" x14ac:dyDescent="0.25">
      <c r="A3471" s="16" t="s">
        <v>10771</v>
      </c>
      <c r="B3471" s="17" t="s">
        <v>10772</v>
      </c>
      <c r="C3471" s="17" t="s">
        <v>11</v>
      </c>
      <c r="D3471" s="17" t="s">
        <v>182</v>
      </c>
      <c r="E3471" s="17" t="s">
        <v>20</v>
      </c>
      <c r="F3471" s="16" t="s">
        <v>10773</v>
      </c>
    </row>
    <row r="3472" spans="1:6" x14ac:dyDescent="0.25">
      <c r="A3472" s="16" t="s">
        <v>10774</v>
      </c>
      <c r="B3472" s="17" t="s">
        <v>10775</v>
      </c>
      <c r="C3472" s="17" t="s">
        <v>11</v>
      </c>
      <c r="D3472" s="17" t="s">
        <v>1318</v>
      </c>
      <c r="E3472" s="17" t="s">
        <v>20</v>
      </c>
      <c r="F3472" s="16" t="s">
        <v>10776</v>
      </c>
    </row>
    <row r="3473" spans="1:6" x14ac:dyDescent="0.25">
      <c r="A3473" s="16" t="s">
        <v>10777</v>
      </c>
      <c r="B3473" s="17" t="s">
        <v>10778</v>
      </c>
      <c r="C3473" s="17" t="s">
        <v>11</v>
      </c>
      <c r="D3473" s="17" t="s">
        <v>12</v>
      </c>
      <c r="E3473" s="17" t="s">
        <v>13</v>
      </c>
      <c r="F3473" s="16" t="s">
        <v>10779</v>
      </c>
    </row>
    <row r="3474" spans="1:6" x14ac:dyDescent="0.25">
      <c r="A3474" s="16" t="s">
        <v>10780</v>
      </c>
      <c r="B3474" s="17" t="s">
        <v>10781</v>
      </c>
      <c r="C3474" s="17" t="s">
        <v>11</v>
      </c>
      <c r="D3474" s="17" t="s">
        <v>26</v>
      </c>
      <c r="E3474" s="17" t="s">
        <v>20</v>
      </c>
      <c r="F3474" s="16" t="s">
        <v>10782</v>
      </c>
    </row>
    <row r="3475" spans="1:6" x14ac:dyDescent="0.25">
      <c r="A3475" s="16" t="s">
        <v>10783</v>
      </c>
      <c r="B3475" s="17" t="s">
        <v>10784</v>
      </c>
      <c r="C3475" s="17" t="s">
        <v>11</v>
      </c>
      <c r="D3475" s="17" t="s">
        <v>182</v>
      </c>
      <c r="E3475" s="17" t="s">
        <v>20</v>
      </c>
      <c r="F3475" s="16" t="s">
        <v>10785</v>
      </c>
    </row>
    <row r="3476" spans="1:6" x14ac:dyDescent="0.25">
      <c r="A3476" s="16" t="s">
        <v>10786</v>
      </c>
      <c r="B3476" s="17" t="s">
        <v>10787</v>
      </c>
      <c r="C3476" s="17" t="s">
        <v>11</v>
      </c>
      <c r="D3476" s="17" t="s">
        <v>32</v>
      </c>
      <c r="E3476" s="17" t="s">
        <v>20</v>
      </c>
      <c r="F3476" s="16" t="s">
        <v>10788</v>
      </c>
    </row>
    <row r="3477" spans="1:6" x14ac:dyDescent="0.25">
      <c r="A3477" s="16" t="s">
        <v>10789</v>
      </c>
      <c r="B3477" s="17" t="s">
        <v>10790</v>
      </c>
      <c r="C3477" s="17" t="s">
        <v>11</v>
      </c>
      <c r="D3477" s="17" t="s">
        <v>32</v>
      </c>
      <c r="E3477" s="17" t="s">
        <v>20</v>
      </c>
      <c r="F3477" s="16" t="s">
        <v>10791</v>
      </c>
    </row>
    <row r="3478" spans="1:6" x14ac:dyDescent="0.25">
      <c r="A3478" s="16" t="s">
        <v>10792</v>
      </c>
      <c r="B3478" s="17" t="s">
        <v>10793</v>
      </c>
      <c r="C3478" s="17" t="s">
        <v>11</v>
      </c>
      <c r="D3478" s="17" t="s">
        <v>83</v>
      </c>
      <c r="E3478" s="17" t="s">
        <v>20</v>
      </c>
      <c r="F3478" s="16" t="s">
        <v>10794</v>
      </c>
    </row>
    <row r="3479" spans="1:6" x14ac:dyDescent="0.25">
      <c r="A3479" s="16" t="s">
        <v>10795</v>
      </c>
      <c r="B3479" s="17" t="s">
        <v>10796</v>
      </c>
      <c r="C3479" s="17" t="s">
        <v>11</v>
      </c>
      <c r="D3479" s="17" t="s">
        <v>83</v>
      </c>
      <c r="E3479" s="17" t="s">
        <v>20</v>
      </c>
      <c r="F3479" s="16" t="s">
        <v>10797</v>
      </c>
    </row>
    <row r="3480" spans="1:6" x14ac:dyDescent="0.25">
      <c r="A3480" s="16" t="s">
        <v>10798</v>
      </c>
      <c r="B3480" s="17" t="s">
        <v>10799</v>
      </c>
      <c r="C3480" s="17" t="s">
        <v>11</v>
      </c>
      <c r="D3480" s="17" t="s">
        <v>83</v>
      </c>
      <c r="E3480" s="17" t="s">
        <v>20</v>
      </c>
      <c r="F3480" s="16" t="s">
        <v>10800</v>
      </c>
    </row>
    <row r="3481" spans="1:6" x14ac:dyDescent="0.25">
      <c r="A3481" s="16" t="s">
        <v>10801</v>
      </c>
      <c r="B3481" s="17" t="s">
        <v>10802</v>
      </c>
      <c r="C3481" s="17" t="s">
        <v>11</v>
      </c>
      <c r="D3481" s="17" t="s">
        <v>186</v>
      </c>
      <c r="E3481" s="17" t="s">
        <v>20</v>
      </c>
      <c r="F3481" s="16" t="s">
        <v>10803</v>
      </c>
    </row>
    <row r="3482" spans="1:6" x14ac:dyDescent="0.25">
      <c r="A3482" s="16" t="s">
        <v>10804</v>
      </c>
      <c r="B3482" s="17" t="s">
        <v>10805</v>
      </c>
      <c r="C3482" s="17" t="s">
        <v>11</v>
      </c>
      <c r="D3482" s="17" t="s">
        <v>32</v>
      </c>
      <c r="E3482" s="17" t="s">
        <v>20</v>
      </c>
      <c r="F3482" s="16" t="s">
        <v>10806</v>
      </c>
    </row>
    <row r="3483" spans="1:6" x14ac:dyDescent="0.25">
      <c r="A3483" s="16" t="s">
        <v>10807</v>
      </c>
      <c r="B3483" s="17" t="s">
        <v>10808</v>
      </c>
      <c r="C3483" s="17" t="s">
        <v>11</v>
      </c>
      <c r="D3483" s="17" t="s">
        <v>148</v>
      </c>
      <c r="E3483" s="17" t="s">
        <v>20</v>
      </c>
      <c r="F3483" s="16" t="s">
        <v>10809</v>
      </c>
    </row>
    <row r="3484" spans="1:6" x14ac:dyDescent="0.25">
      <c r="A3484" s="16" t="s">
        <v>10810</v>
      </c>
      <c r="B3484" s="17" t="s">
        <v>10811</v>
      </c>
      <c r="C3484" s="17" t="s">
        <v>11</v>
      </c>
      <c r="D3484" s="17" t="s">
        <v>89</v>
      </c>
      <c r="E3484" s="17" t="s">
        <v>20</v>
      </c>
      <c r="F3484" s="16" t="s">
        <v>10812</v>
      </c>
    </row>
    <row r="3485" spans="1:6" x14ac:dyDescent="0.25">
      <c r="A3485" s="16" t="s">
        <v>10813</v>
      </c>
      <c r="B3485" s="17" t="s">
        <v>10814</v>
      </c>
      <c r="C3485" s="17" t="s">
        <v>11</v>
      </c>
      <c r="D3485" s="17" t="s">
        <v>182</v>
      </c>
      <c r="E3485" s="17" t="s">
        <v>20</v>
      </c>
      <c r="F3485" s="16" t="s">
        <v>10815</v>
      </c>
    </row>
    <row r="3486" spans="1:6" x14ac:dyDescent="0.25">
      <c r="A3486" s="16" t="s">
        <v>10816</v>
      </c>
      <c r="B3486" s="17" t="s">
        <v>10817</v>
      </c>
      <c r="C3486" s="17" t="s">
        <v>11</v>
      </c>
      <c r="D3486" s="17" t="s">
        <v>182</v>
      </c>
      <c r="E3486" s="17" t="s">
        <v>20</v>
      </c>
      <c r="F3486" s="16" t="s">
        <v>10818</v>
      </c>
    </row>
    <row r="3487" spans="1:6" x14ac:dyDescent="0.25">
      <c r="A3487" s="16" t="s">
        <v>10819</v>
      </c>
      <c r="B3487" s="17" t="s">
        <v>10820</v>
      </c>
      <c r="C3487" s="17" t="s">
        <v>11</v>
      </c>
      <c r="D3487" s="17" t="s">
        <v>83</v>
      </c>
      <c r="E3487" s="17" t="s">
        <v>20</v>
      </c>
      <c r="F3487" s="16" t="s">
        <v>10821</v>
      </c>
    </row>
    <row r="3488" spans="1:6" x14ac:dyDescent="0.25">
      <c r="A3488" s="16" t="s">
        <v>10822</v>
      </c>
      <c r="B3488" s="17" t="s">
        <v>10823</v>
      </c>
      <c r="C3488" s="17" t="s">
        <v>11</v>
      </c>
      <c r="D3488" s="17" t="s">
        <v>83</v>
      </c>
      <c r="E3488" s="17" t="s">
        <v>20</v>
      </c>
      <c r="F3488" s="16" t="s">
        <v>10824</v>
      </c>
    </row>
    <row r="3489" spans="1:6" x14ac:dyDescent="0.25">
      <c r="A3489" s="16" t="s">
        <v>10825</v>
      </c>
      <c r="B3489" s="17" t="s">
        <v>10826</v>
      </c>
      <c r="C3489" s="17" t="s">
        <v>11</v>
      </c>
      <c r="D3489" s="17" t="s">
        <v>32</v>
      </c>
      <c r="E3489" s="17" t="s">
        <v>20</v>
      </c>
      <c r="F3489" s="16" t="s">
        <v>10827</v>
      </c>
    </row>
    <row r="3490" spans="1:6" x14ac:dyDescent="0.25">
      <c r="A3490" s="16" t="s">
        <v>10828</v>
      </c>
      <c r="B3490" s="17" t="s">
        <v>10829</v>
      </c>
      <c r="C3490" s="17" t="s">
        <v>11</v>
      </c>
      <c r="D3490" s="17" t="s">
        <v>32</v>
      </c>
      <c r="E3490" s="17" t="s">
        <v>20</v>
      </c>
      <c r="F3490" s="16" t="s">
        <v>10830</v>
      </c>
    </row>
    <row r="3491" spans="1:6" x14ac:dyDescent="0.25">
      <c r="A3491" s="16" t="s">
        <v>10831</v>
      </c>
      <c r="B3491" s="17" t="s">
        <v>10832</v>
      </c>
      <c r="C3491" s="17" t="s">
        <v>11</v>
      </c>
      <c r="D3491" s="17" t="s">
        <v>670</v>
      </c>
      <c r="E3491" s="17" t="s">
        <v>20</v>
      </c>
      <c r="F3491" s="16" t="s">
        <v>10833</v>
      </c>
    </row>
    <row r="3492" spans="1:6" x14ac:dyDescent="0.25">
      <c r="A3492" s="16" t="s">
        <v>10834</v>
      </c>
      <c r="B3492" s="17" t="s">
        <v>10835</v>
      </c>
      <c r="C3492" s="17" t="s">
        <v>11</v>
      </c>
      <c r="D3492" s="17" t="s">
        <v>74</v>
      </c>
      <c r="E3492" s="17" t="s">
        <v>20</v>
      </c>
      <c r="F3492" s="16" t="s">
        <v>10836</v>
      </c>
    </row>
    <row r="3493" spans="1:6" x14ac:dyDescent="0.25">
      <c r="A3493" s="16" t="s">
        <v>10837</v>
      </c>
      <c r="B3493" s="17" t="s">
        <v>10838</v>
      </c>
      <c r="C3493" s="17" t="s">
        <v>11</v>
      </c>
      <c r="D3493" s="17" t="s">
        <v>250</v>
      </c>
      <c r="E3493" s="17" t="s">
        <v>20</v>
      </c>
      <c r="F3493" s="16" t="s">
        <v>10839</v>
      </c>
    </row>
    <row r="3494" spans="1:6" x14ac:dyDescent="0.25">
      <c r="A3494" s="16" t="s">
        <v>10840</v>
      </c>
      <c r="B3494" s="17" t="s">
        <v>10841</v>
      </c>
      <c r="C3494" s="17" t="s">
        <v>11</v>
      </c>
      <c r="D3494" s="17" t="s">
        <v>32</v>
      </c>
      <c r="E3494" s="17" t="s">
        <v>20</v>
      </c>
      <c r="F3494" s="16" t="s">
        <v>10842</v>
      </c>
    </row>
    <row r="3495" spans="1:6" x14ac:dyDescent="0.25">
      <c r="A3495" s="16" t="s">
        <v>10843</v>
      </c>
      <c r="B3495" s="17" t="s">
        <v>10844</v>
      </c>
      <c r="C3495" s="17" t="s">
        <v>11</v>
      </c>
      <c r="D3495" s="17" t="s">
        <v>83</v>
      </c>
      <c r="E3495" s="17" t="s">
        <v>20</v>
      </c>
      <c r="F3495" s="16" t="s">
        <v>10845</v>
      </c>
    </row>
    <row r="3496" spans="1:6" x14ac:dyDescent="0.25">
      <c r="A3496" s="16" t="s">
        <v>10846</v>
      </c>
      <c r="B3496" s="17" t="s">
        <v>10847</v>
      </c>
      <c r="C3496" s="17" t="s">
        <v>11</v>
      </c>
      <c r="D3496" s="17" t="s">
        <v>19</v>
      </c>
      <c r="E3496" s="17" t="s">
        <v>20</v>
      </c>
      <c r="F3496" s="16" t="s">
        <v>10848</v>
      </c>
    </row>
    <row r="3497" spans="1:6" x14ac:dyDescent="0.25">
      <c r="A3497" s="16" t="s">
        <v>10849</v>
      </c>
      <c r="B3497" s="17" t="s">
        <v>10850</v>
      </c>
      <c r="C3497" s="17" t="s">
        <v>11</v>
      </c>
      <c r="D3497" s="17" t="s">
        <v>26</v>
      </c>
      <c r="E3497" s="17" t="s">
        <v>20</v>
      </c>
      <c r="F3497" s="16" t="s">
        <v>10851</v>
      </c>
    </row>
    <row r="3498" spans="1:6" x14ac:dyDescent="0.25">
      <c r="A3498" s="16" t="s">
        <v>10852</v>
      </c>
      <c r="B3498" s="17" t="s">
        <v>10853</v>
      </c>
      <c r="C3498" s="17" t="s">
        <v>11</v>
      </c>
      <c r="D3498" s="17" t="s">
        <v>32</v>
      </c>
      <c r="E3498" s="17" t="s">
        <v>20</v>
      </c>
      <c r="F3498" s="16" t="s">
        <v>10854</v>
      </c>
    </row>
    <row r="3499" spans="1:6" x14ac:dyDescent="0.25">
      <c r="A3499" s="16" t="s">
        <v>10855</v>
      </c>
      <c r="B3499" s="17" t="s">
        <v>10856</v>
      </c>
      <c r="C3499" s="17" t="s">
        <v>11</v>
      </c>
      <c r="D3499" s="17" t="s">
        <v>83</v>
      </c>
      <c r="E3499" s="17" t="s">
        <v>20</v>
      </c>
      <c r="F3499" s="16" t="s">
        <v>10857</v>
      </c>
    </row>
    <row r="3500" spans="1:6" x14ac:dyDescent="0.25">
      <c r="A3500" s="16" t="s">
        <v>10858</v>
      </c>
      <c r="B3500" s="17" t="s">
        <v>10859</v>
      </c>
      <c r="C3500" s="17" t="s">
        <v>1235</v>
      </c>
      <c r="D3500" s="17" t="s">
        <v>10860</v>
      </c>
      <c r="E3500" s="17" t="s">
        <v>1237</v>
      </c>
      <c r="F3500" s="16" t="s">
        <v>10861</v>
      </c>
    </row>
    <row r="3501" spans="1:6" x14ac:dyDescent="0.25">
      <c r="A3501" s="16" t="s">
        <v>10862</v>
      </c>
      <c r="B3501" s="17" t="s">
        <v>10863</v>
      </c>
      <c r="C3501" s="17" t="s">
        <v>11</v>
      </c>
      <c r="D3501" s="17" t="s">
        <v>32</v>
      </c>
      <c r="E3501" s="17" t="s">
        <v>20</v>
      </c>
      <c r="F3501" s="16" t="s">
        <v>10864</v>
      </c>
    </row>
    <row r="3502" spans="1:6" x14ac:dyDescent="0.25">
      <c r="A3502" s="16" t="s">
        <v>10865</v>
      </c>
      <c r="B3502" s="17" t="s">
        <v>10866</v>
      </c>
      <c r="C3502" s="17" t="s">
        <v>11</v>
      </c>
      <c r="D3502" s="17" t="s">
        <v>32</v>
      </c>
      <c r="E3502" s="17" t="s">
        <v>20</v>
      </c>
      <c r="F3502" s="16" t="s">
        <v>10867</v>
      </c>
    </row>
    <row r="3503" spans="1:6" x14ac:dyDescent="0.25">
      <c r="A3503" s="16" t="s">
        <v>10868</v>
      </c>
      <c r="B3503" s="17" t="s">
        <v>10869</v>
      </c>
      <c r="C3503" s="17" t="s">
        <v>11</v>
      </c>
      <c r="D3503" s="17" t="s">
        <v>26</v>
      </c>
      <c r="E3503" s="17" t="s">
        <v>20</v>
      </c>
      <c r="F3503" s="16" t="s">
        <v>10870</v>
      </c>
    </row>
    <row r="3504" spans="1:6" x14ac:dyDescent="0.25">
      <c r="A3504" s="16" t="s">
        <v>10871</v>
      </c>
      <c r="B3504" s="17" t="s">
        <v>10872</v>
      </c>
      <c r="C3504" s="17" t="s">
        <v>11</v>
      </c>
      <c r="D3504" s="17" t="s">
        <v>74</v>
      </c>
      <c r="E3504" s="17" t="s">
        <v>20</v>
      </c>
      <c r="F3504" s="16" t="s">
        <v>10873</v>
      </c>
    </row>
    <row r="3505" spans="1:6" x14ac:dyDescent="0.25">
      <c r="A3505" s="16" t="s">
        <v>10874</v>
      </c>
      <c r="B3505" s="17" t="s">
        <v>10875</v>
      </c>
      <c r="C3505" s="17" t="s">
        <v>11</v>
      </c>
      <c r="D3505" s="17" t="s">
        <v>32</v>
      </c>
      <c r="E3505" s="17" t="s">
        <v>20</v>
      </c>
      <c r="F3505" s="16" t="s">
        <v>10876</v>
      </c>
    </row>
    <row r="3506" spans="1:6" x14ac:dyDescent="0.25">
      <c r="A3506" s="16" t="s">
        <v>10877</v>
      </c>
      <c r="B3506" s="17" t="s">
        <v>10878</v>
      </c>
      <c r="C3506" s="17" t="s">
        <v>11</v>
      </c>
      <c r="D3506" s="17" t="s">
        <v>32</v>
      </c>
      <c r="E3506" s="17" t="s">
        <v>20</v>
      </c>
      <c r="F3506" s="16" t="s">
        <v>10879</v>
      </c>
    </row>
    <row r="3507" spans="1:6" x14ac:dyDescent="0.25">
      <c r="A3507" s="16" t="s">
        <v>10880</v>
      </c>
      <c r="B3507" s="17" t="s">
        <v>10881</v>
      </c>
      <c r="C3507" s="17" t="s">
        <v>11</v>
      </c>
      <c r="D3507" s="17" t="s">
        <v>12</v>
      </c>
      <c r="E3507" s="17" t="s">
        <v>13</v>
      </c>
      <c r="F3507" s="16" t="s">
        <v>10882</v>
      </c>
    </row>
    <row r="3508" spans="1:6" x14ac:dyDescent="0.25">
      <c r="A3508" s="16" t="s">
        <v>10883</v>
      </c>
      <c r="B3508" s="17" t="s">
        <v>10884</v>
      </c>
      <c r="C3508" s="17" t="s">
        <v>11</v>
      </c>
      <c r="D3508" s="17" t="s">
        <v>12</v>
      </c>
      <c r="E3508" s="17" t="s">
        <v>13</v>
      </c>
      <c r="F3508" s="16" t="s">
        <v>10885</v>
      </c>
    </row>
    <row r="3509" spans="1:6" x14ac:dyDescent="0.25">
      <c r="A3509" s="16" t="s">
        <v>10886</v>
      </c>
      <c r="B3509" s="17" t="s">
        <v>10887</v>
      </c>
      <c r="C3509" s="17" t="s">
        <v>11</v>
      </c>
      <c r="D3509" s="17" t="s">
        <v>12</v>
      </c>
      <c r="E3509" s="17" t="s">
        <v>13</v>
      </c>
      <c r="F3509" s="16" t="s">
        <v>10888</v>
      </c>
    </row>
    <row r="3510" spans="1:6" x14ac:dyDescent="0.25">
      <c r="A3510" s="16" t="s">
        <v>10889</v>
      </c>
      <c r="B3510" s="17" t="s">
        <v>10890</v>
      </c>
      <c r="C3510" s="17" t="s">
        <v>11</v>
      </c>
      <c r="D3510" s="17" t="s">
        <v>12</v>
      </c>
      <c r="E3510" s="17" t="s">
        <v>13</v>
      </c>
      <c r="F3510" s="16" t="s">
        <v>10891</v>
      </c>
    </row>
    <row r="3511" spans="1:6" x14ac:dyDescent="0.25">
      <c r="A3511" s="16" t="s">
        <v>10892</v>
      </c>
      <c r="B3511" s="17" t="s">
        <v>10893</v>
      </c>
      <c r="C3511" s="17" t="s">
        <v>11</v>
      </c>
      <c r="D3511" s="17" t="s">
        <v>12</v>
      </c>
      <c r="E3511" s="17" t="s">
        <v>13</v>
      </c>
      <c r="F3511" s="16" t="s">
        <v>10894</v>
      </c>
    </row>
    <row r="3512" spans="1:6" x14ac:dyDescent="0.25">
      <c r="A3512" s="16" t="s">
        <v>10895</v>
      </c>
      <c r="B3512" s="17" t="s">
        <v>10896</v>
      </c>
      <c r="C3512" s="17" t="s">
        <v>11</v>
      </c>
      <c r="D3512" s="17" t="s">
        <v>186</v>
      </c>
      <c r="E3512" s="17" t="s">
        <v>20</v>
      </c>
      <c r="F3512" s="16" t="s">
        <v>10897</v>
      </c>
    </row>
    <row r="3513" spans="1:6" x14ac:dyDescent="0.25">
      <c r="A3513" s="16" t="s">
        <v>10898</v>
      </c>
      <c r="B3513" s="17" t="s">
        <v>10899</v>
      </c>
      <c r="C3513" s="17" t="s">
        <v>11</v>
      </c>
      <c r="D3513" s="17" t="s">
        <v>12</v>
      </c>
      <c r="E3513" s="17" t="s">
        <v>13</v>
      </c>
      <c r="F3513" s="16" t="s">
        <v>10900</v>
      </c>
    </row>
    <row r="3514" spans="1:6" x14ac:dyDescent="0.25">
      <c r="A3514" s="16" t="s">
        <v>10901</v>
      </c>
      <c r="B3514" s="17" t="s">
        <v>10902</v>
      </c>
      <c r="C3514" s="17" t="s">
        <v>11</v>
      </c>
      <c r="D3514" s="17" t="s">
        <v>12</v>
      </c>
      <c r="E3514" s="17" t="s">
        <v>13</v>
      </c>
      <c r="F3514" s="16" t="s">
        <v>10903</v>
      </c>
    </row>
    <row r="3515" spans="1:6" x14ac:dyDescent="0.25">
      <c r="A3515" s="16" t="s">
        <v>10904</v>
      </c>
      <c r="B3515" s="17" t="s">
        <v>10905</v>
      </c>
      <c r="C3515" s="17" t="s">
        <v>11</v>
      </c>
      <c r="D3515" s="17" t="s">
        <v>12</v>
      </c>
      <c r="E3515" s="17" t="s">
        <v>13</v>
      </c>
      <c r="F3515" s="16" t="s">
        <v>10906</v>
      </c>
    </row>
    <row r="3516" spans="1:6" x14ac:dyDescent="0.25">
      <c r="A3516" s="16" t="s">
        <v>10907</v>
      </c>
      <c r="B3516" s="17" t="s">
        <v>10908</v>
      </c>
      <c r="C3516" s="17" t="s">
        <v>11</v>
      </c>
      <c r="D3516" s="17" t="s">
        <v>74</v>
      </c>
      <c r="E3516" s="17" t="s">
        <v>20</v>
      </c>
      <c r="F3516" s="16" t="s">
        <v>10909</v>
      </c>
    </row>
    <row r="3517" spans="1:6" x14ac:dyDescent="0.25">
      <c r="A3517" s="16" t="s">
        <v>10910</v>
      </c>
      <c r="B3517" s="17" t="s">
        <v>10911</v>
      </c>
      <c r="C3517" s="17" t="s">
        <v>11</v>
      </c>
      <c r="D3517" s="17" t="s">
        <v>12</v>
      </c>
      <c r="E3517" s="17" t="s">
        <v>13</v>
      </c>
      <c r="F3517" s="16" t="s">
        <v>10912</v>
      </c>
    </row>
    <row r="3518" spans="1:6" x14ac:dyDescent="0.25">
      <c r="A3518" s="16" t="s">
        <v>10913</v>
      </c>
      <c r="B3518" s="17" t="s">
        <v>10914</v>
      </c>
      <c r="C3518" s="17" t="s">
        <v>11</v>
      </c>
      <c r="D3518" s="17" t="s">
        <v>32</v>
      </c>
      <c r="E3518" s="17" t="s">
        <v>20</v>
      </c>
      <c r="F3518" s="16" t="s">
        <v>10915</v>
      </c>
    </row>
    <row r="3519" spans="1:6" x14ac:dyDescent="0.25">
      <c r="A3519" s="16" t="s">
        <v>10916</v>
      </c>
      <c r="B3519" s="17" t="s">
        <v>10917</v>
      </c>
      <c r="C3519" s="17" t="s">
        <v>11</v>
      </c>
      <c r="D3519" s="17" t="s">
        <v>12</v>
      </c>
      <c r="E3519" s="17" t="s">
        <v>13</v>
      </c>
      <c r="F3519" s="16" t="s">
        <v>10918</v>
      </c>
    </row>
    <row r="3520" spans="1:6" x14ac:dyDescent="0.25">
      <c r="A3520" s="16" t="s">
        <v>10919</v>
      </c>
      <c r="B3520" s="17" t="s">
        <v>10920</v>
      </c>
      <c r="C3520" s="17" t="s">
        <v>11</v>
      </c>
      <c r="D3520" s="17" t="s">
        <v>32</v>
      </c>
      <c r="E3520" s="17" t="s">
        <v>20</v>
      </c>
      <c r="F3520" s="16" t="s">
        <v>10921</v>
      </c>
    </row>
    <row r="3521" spans="1:6" x14ac:dyDescent="0.25">
      <c r="A3521" s="16" t="s">
        <v>10922</v>
      </c>
      <c r="B3521" s="17" t="s">
        <v>10923</v>
      </c>
      <c r="C3521" s="17" t="s">
        <v>11</v>
      </c>
      <c r="D3521" s="17" t="s">
        <v>12</v>
      </c>
      <c r="E3521" s="17" t="s">
        <v>13</v>
      </c>
      <c r="F3521" s="16" t="s">
        <v>10924</v>
      </c>
    </row>
    <row r="3522" spans="1:6" x14ac:dyDescent="0.25">
      <c r="A3522" s="16" t="s">
        <v>10925</v>
      </c>
      <c r="B3522" s="17" t="s">
        <v>10926</v>
      </c>
      <c r="C3522" s="17" t="s">
        <v>11</v>
      </c>
      <c r="D3522" s="17" t="s">
        <v>83</v>
      </c>
      <c r="E3522" s="17" t="s">
        <v>20</v>
      </c>
      <c r="F3522" s="16" t="s">
        <v>10927</v>
      </c>
    </row>
    <row r="3523" spans="1:6" x14ac:dyDescent="0.25">
      <c r="A3523" s="16" t="s">
        <v>10928</v>
      </c>
      <c r="B3523" s="17" t="s">
        <v>10929</v>
      </c>
      <c r="C3523" s="17" t="s">
        <v>11</v>
      </c>
      <c r="D3523" s="17" t="s">
        <v>32</v>
      </c>
      <c r="E3523" s="17" t="s">
        <v>20</v>
      </c>
      <c r="F3523" s="16" t="s">
        <v>10930</v>
      </c>
    </row>
    <row r="3524" spans="1:6" x14ac:dyDescent="0.25">
      <c r="A3524" s="16" t="s">
        <v>10931</v>
      </c>
      <c r="B3524" s="17" t="s">
        <v>10932</v>
      </c>
      <c r="C3524" s="17" t="s">
        <v>11</v>
      </c>
      <c r="D3524" s="17" t="s">
        <v>186</v>
      </c>
      <c r="E3524" s="17" t="s">
        <v>20</v>
      </c>
      <c r="F3524" s="16" t="s">
        <v>10933</v>
      </c>
    </row>
    <row r="3525" spans="1:6" x14ac:dyDescent="0.25">
      <c r="A3525" s="16" t="s">
        <v>10934</v>
      </c>
      <c r="B3525" s="17" t="s">
        <v>10935</v>
      </c>
      <c r="C3525" s="17" t="s">
        <v>11</v>
      </c>
      <c r="D3525" s="17" t="s">
        <v>12</v>
      </c>
      <c r="E3525" s="17" t="s">
        <v>13</v>
      </c>
      <c r="F3525" s="16" t="s">
        <v>10936</v>
      </c>
    </row>
    <row r="3526" spans="1:6" x14ac:dyDescent="0.25">
      <c r="A3526" s="16" t="s">
        <v>10937</v>
      </c>
      <c r="B3526" s="17" t="s">
        <v>10938</v>
      </c>
      <c r="C3526" s="17" t="s">
        <v>11</v>
      </c>
      <c r="D3526" s="17" t="s">
        <v>12</v>
      </c>
      <c r="E3526" s="17" t="s">
        <v>13</v>
      </c>
      <c r="F3526" s="16" t="s">
        <v>10939</v>
      </c>
    </row>
    <row r="3527" spans="1:6" x14ac:dyDescent="0.25">
      <c r="A3527" s="16" t="s">
        <v>10940</v>
      </c>
      <c r="B3527" s="17" t="s">
        <v>10941</v>
      </c>
      <c r="C3527" s="17" t="s">
        <v>11</v>
      </c>
      <c r="D3527" s="17" t="s">
        <v>12</v>
      </c>
      <c r="E3527" s="17" t="s">
        <v>13</v>
      </c>
      <c r="F3527" s="16" t="s">
        <v>10942</v>
      </c>
    </row>
    <row r="3528" spans="1:6" x14ac:dyDescent="0.25">
      <c r="A3528" s="16" t="s">
        <v>10943</v>
      </c>
      <c r="B3528" s="17" t="s">
        <v>10944</v>
      </c>
      <c r="C3528" s="17" t="s">
        <v>11</v>
      </c>
      <c r="D3528" s="17" t="s">
        <v>83</v>
      </c>
      <c r="E3528" s="17" t="s">
        <v>20</v>
      </c>
      <c r="F3528" s="16" t="s">
        <v>10945</v>
      </c>
    </row>
    <row r="3529" spans="1:6" x14ac:dyDescent="0.25">
      <c r="A3529" s="16" t="s">
        <v>10946</v>
      </c>
      <c r="B3529" s="17" t="s">
        <v>10947</v>
      </c>
      <c r="C3529" s="17" t="s">
        <v>11</v>
      </c>
      <c r="D3529" s="17" t="s">
        <v>12</v>
      </c>
      <c r="E3529" s="17" t="s">
        <v>13</v>
      </c>
      <c r="F3529" s="16" t="s">
        <v>10948</v>
      </c>
    </row>
    <row r="3530" spans="1:6" x14ac:dyDescent="0.25">
      <c r="A3530" s="16" t="s">
        <v>10949</v>
      </c>
      <c r="B3530" s="17" t="s">
        <v>10950</v>
      </c>
      <c r="C3530" s="17" t="s">
        <v>11</v>
      </c>
      <c r="D3530" s="17" t="s">
        <v>59</v>
      </c>
      <c r="E3530" s="17" t="s">
        <v>13</v>
      </c>
      <c r="F3530" s="16" t="s">
        <v>10951</v>
      </c>
    </row>
    <row r="3531" spans="1:6" x14ac:dyDescent="0.25">
      <c r="A3531" s="16" t="s">
        <v>10952</v>
      </c>
      <c r="B3531" s="17" t="s">
        <v>10953</v>
      </c>
      <c r="C3531" s="17" t="s">
        <v>11</v>
      </c>
      <c r="D3531" s="17" t="s">
        <v>12</v>
      </c>
      <c r="E3531" s="17" t="s">
        <v>13</v>
      </c>
      <c r="F3531" s="16" t="s">
        <v>10954</v>
      </c>
    </row>
    <row r="3532" spans="1:6" x14ac:dyDescent="0.25">
      <c r="A3532" s="16" t="s">
        <v>10955</v>
      </c>
      <c r="B3532" s="17" t="s">
        <v>10956</v>
      </c>
      <c r="C3532" s="17" t="s">
        <v>11</v>
      </c>
      <c r="D3532" s="17" t="s">
        <v>32</v>
      </c>
      <c r="E3532" s="17" t="s">
        <v>20</v>
      </c>
      <c r="F3532" s="16" t="s">
        <v>10957</v>
      </c>
    </row>
    <row r="3533" spans="1:6" x14ac:dyDescent="0.25">
      <c r="A3533" s="16" t="s">
        <v>10958</v>
      </c>
      <c r="B3533" s="17" t="s">
        <v>10959</v>
      </c>
      <c r="C3533" s="17" t="s">
        <v>11</v>
      </c>
      <c r="D3533" s="17" t="s">
        <v>12</v>
      </c>
      <c r="E3533" s="17" t="s">
        <v>13</v>
      </c>
      <c r="F3533" s="16" t="s">
        <v>10960</v>
      </c>
    </row>
    <row r="3534" spans="1:6" x14ac:dyDescent="0.25">
      <c r="A3534" s="16" t="s">
        <v>10961</v>
      </c>
      <c r="B3534" s="17" t="s">
        <v>10962</v>
      </c>
      <c r="C3534" s="17" t="s">
        <v>11</v>
      </c>
      <c r="D3534" s="17" t="s">
        <v>12</v>
      </c>
      <c r="E3534" s="17" t="s">
        <v>13</v>
      </c>
      <c r="F3534" s="16" t="s">
        <v>10963</v>
      </c>
    </row>
    <row r="3535" spans="1:6" x14ac:dyDescent="0.25">
      <c r="A3535" s="16" t="s">
        <v>10964</v>
      </c>
      <c r="B3535" s="17" t="s">
        <v>10965</v>
      </c>
      <c r="C3535" s="17" t="s">
        <v>11</v>
      </c>
      <c r="D3535" s="17" t="s">
        <v>12</v>
      </c>
      <c r="E3535" s="17" t="s">
        <v>13</v>
      </c>
      <c r="F3535" s="16" t="s">
        <v>10966</v>
      </c>
    </row>
    <row r="3536" spans="1:6" x14ac:dyDescent="0.25">
      <c r="A3536" s="16" t="s">
        <v>10967</v>
      </c>
      <c r="B3536" s="17" t="s">
        <v>10968</v>
      </c>
      <c r="C3536" s="17" t="s">
        <v>11</v>
      </c>
      <c r="D3536" s="17" t="s">
        <v>12</v>
      </c>
      <c r="E3536" s="17" t="s">
        <v>13</v>
      </c>
      <c r="F3536" s="16" t="s">
        <v>10969</v>
      </c>
    </row>
    <row r="3537" spans="1:6" x14ac:dyDescent="0.25">
      <c r="A3537" s="16" t="s">
        <v>10970</v>
      </c>
      <c r="B3537" s="17" t="s">
        <v>10971</v>
      </c>
      <c r="C3537" s="17" t="s">
        <v>11</v>
      </c>
      <c r="D3537" s="17" t="s">
        <v>12</v>
      </c>
      <c r="E3537" s="17" t="s">
        <v>13</v>
      </c>
      <c r="F3537" s="16" t="s">
        <v>10972</v>
      </c>
    </row>
    <row r="3538" spans="1:6" x14ac:dyDescent="0.25">
      <c r="A3538" s="16" t="s">
        <v>10973</v>
      </c>
      <c r="B3538" s="17" t="s">
        <v>10974</v>
      </c>
      <c r="C3538" s="17" t="s">
        <v>11</v>
      </c>
      <c r="D3538" s="17" t="s">
        <v>59</v>
      </c>
      <c r="E3538" s="17" t="s">
        <v>13</v>
      </c>
      <c r="F3538" s="16" t="s">
        <v>10975</v>
      </c>
    </row>
    <row r="3539" spans="1:6" x14ac:dyDescent="0.25">
      <c r="A3539" s="16" t="s">
        <v>10976</v>
      </c>
      <c r="B3539" s="17" t="s">
        <v>10977</v>
      </c>
      <c r="C3539" s="17" t="s">
        <v>11</v>
      </c>
      <c r="D3539" s="17" t="s">
        <v>12</v>
      </c>
      <c r="E3539" s="17" t="s">
        <v>13</v>
      </c>
      <c r="F3539" s="16" t="s">
        <v>10978</v>
      </c>
    </row>
    <row r="3540" spans="1:6" x14ac:dyDescent="0.25">
      <c r="A3540" s="16" t="s">
        <v>10979</v>
      </c>
      <c r="B3540" s="17" t="s">
        <v>10980</v>
      </c>
      <c r="C3540" s="17" t="s">
        <v>11</v>
      </c>
      <c r="D3540" s="17" t="s">
        <v>12</v>
      </c>
      <c r="E3540" s="17" t="s">
        <v>13</v>
      </c>
      <c r="F3540" s="16" t="s">
        <v>10981</v>
      </c>
    </row>
    <row r="3541" spans="1:6" x14ac:dyDescent="0.25">
      <c r="A3541" s="16" t="s">
        <v>10982</v>
      </c>
      <c r="B3541" s="17" t="s">
        <v>10983</v>
      </c>
      <c r="C3541" s="17" t="s">
        <v>11</v>
      </c>
      <c r="D3541" s="17" t="s">
        <v>59</v>
      </c>
      <c r="E3541" s="17" t="s">
        <v>13</v>
      </c>
      <c r="F3541" s="16" t="s">
        <v>10984</v>
      </c>
    </row>
    <row r="3542" spans="1:6" x14ac:dyDescent="0.25">
      <c r="A3542" s="16" t="s">
        <v>10985</v>
      </c>
      <c r="B3542" s="17" t="s">
        <v>10986</v>
      </c>
      <c r="C3542" s="17" t="s">
        <v>11</v>
      </c>
      <c r="D3542" s="17" t="s">
        <v>12</v>
      </c>
      <c r="E3542" s="17" t="s">
        <v>13</v>
      </c>
      <c r="F3542" s="16" t="s">
        <v>10987</v>
      </c>
    </row>
    <row r="3543" spans="1:6" x14ac:dyDescent="0.25">
      <c r="A3543" s="16" t="s">
        <v>10988</v>
      </c>
      <c r="B3543" s="17" t="s">
        <v>10989</v>
      </c>
      <c r="C3543" s="17" t="s">
        <v>11</v>
      </c>
      <c r="D3543" s="17" t="s">
        <v>12</v>
      </c>
      <c r="E3543" s="17" t="s">
        <v>13</v>
      </c>
      <c r="F3543" s="16" t="s">
        <v>10990</v>
      </c>
    </row>
    <row r="3544" spans="1:6" x14ac:dyDescent="0.25">
      <c r="A3544" s="16" t="s">
        <v>10991</v>
      </c>
      <c r="B3544" s="17" t="s">
        <v>10992</v>
      </c>
      <c r="C3544" s="17" t="s">
        <v>11</v>
      </c>
      <c r="D3544" s="17" t="s">
        <v>12</v>
      </c>
      <c r="E3544" s="17" t="s">
        <v>13</v>
      </c>
      <c r="F3544" s="16" t="s">
        <v>10993</v>
      </c>
    </row>
    <row r="3545" spans="1:6" x14ac:dyDescent="0.25">
      <c r="A3545" s="16" t="s">
        <v>10994</v>
      </c>
      <c r="B3545" s="17" t="s">
        <v>10995</v>
      </c>
      <c r="C3545" s="17" t="s">
        <v>11</v>
      </c>
      <c r="D3545" s="17" t="s">
        <v>182</v>
      </c>
      <c r="E3545" s="17" t="s">
        <v>20</v>
      </c>
      <c r="F3545" s="16" t="s">
        <v>10996</v>
      </c>
    </row>
    <row r="3546" spans="1:6" x14ac:dyDescent="0.25">
      <c r="A3546" s="16" t="s">
        <v>10997</v>
      </c>
      <c r="B3546" s="17" t="s">
        <v>10998</v>
      </c>
      <c r="C3546" s="17" t="s">
        <v>11</v>
      </c>
      <c r="D3546" s="17" t="s">
        <v>12</v>
      </c>
      <c r="E3546" s="17" t="s">
        <v>13</v>
      </c>
      <c r="F3546" s="16" t="s">
        <v>10999</v>
      </c>
    </row>
    <row r="3547" spans="1:6" x14ac:dyDescent="0.25">
      <c r="A3547" s="16" t="s">
        <v>11000</v>
      </c>
      <c r="B3547" s="17" t="s">
        <v>11001</v>
      </c>
      <c r="C3547" s="17" t="s">
        <v>11</v>
      </c>
      <c r="D3547" s="17" t="s">
        <v>12</v>
      </c>
      <c r="E3547" s="17" t="s">
        <v>13</v>
      </c>
      <c r="F3547" s="16" t="s">
        <v>11002</v>
      </c>
    </row>
    <row r="3548" spans="1:6" x14ac:dyDescent="0.25">
      <c r="A3548" s="16" t="s">
        <v>11003</v>
      </c>
      <c r="B3548" s="17" t="s">
        <v>11004</v>
      </c>
      <c r="C3548" s="17" t="s">
        <v>11</v>
      </c>
      <c r="D3548" s="17" t="s">
        <v>12</v>
      </c>
      <c r="E3548" s="17" t="s">
        <v>13</v>
      </c>
      <c r="F3548" s="16" t="s">
        <v>11005</v>
      </c>
    </row>
    <row r="3549" spans="1:6" x14ac:dyDescent="0.25">
      <c r="A3549" s="16" t="s">
        <v>11006</v>
      </c>
      <c r="B3549" s="17" t="s">
        <v>11007</v>
      </c>
      <c r="C3549" s="17" t="s">
        <v>11</v>
      </c>
      <c r="D3549" s="17" t="s">
        <v>12</v>
      </c>
      <c r="E3549" s="17" t="s">
        <v>13</v>
      </c>
      <c r="F3549" s="16" t="s">
        <v>11008</v>
      </c>
    </row>
    <row r="3550" spans="1:6" x14ac:dyDescent="0.25">
      <c r="A3550" s="16" t="s">
        <v>11009</v>
      </c>
      <c r="B3550" s="17" t="s">
        <v>11010</v>
      </c>
      <c r="C3550" s="17" t="s">
        <v>11</v>
      </c>
      <c r="D3550" s="17" t="s">
        <v>12</v>
      </c>
      <c r="E3550" s="17" t="s">
        <v>13</v>
      </c>
      <c r="F3550" s="16" t="s">
        <v>11011</v>
      </c>
    </row>
    <row r="3551" spans="1:6" x14ac:dyDescent="0.25">
      <c r="A3551" s="16" t="s">
        <v>11012</v>
      </c>
      <c r="B3551" s="17" t="s">
        <v>11013</v>
      </c>
      <c r="C3551" s="17" t="s">
        <v>11</v>
      </c>
      <c r="D3551" s="17" t="s">
        <v>32</v>
      </c>
      <c r="E3551" s="17" t="s">
        <v>20</v>
      </c>
      <c r="F3551" s="16" t="s">
        <v>11014</v>
      </c>
    </row>
    <row r="3552" spans="1:6" x14ac:dyDescent="0.25">
      <c r="A3552" s="16" t="s">
        <v>11015</v>
      </c>
      <c r="B3552" s="17" t="s">
        <v>11016</v>
      </c>
      <c r="C3552" s="17" t="s">
        <v>11</v>
      </c>
      <c r="D3552" s="17" t="s">
        <v>12</v>
      </c>
      <c r="E3552" s="17" t="s">
        <v>13</v>
      </c>
      <c r="F3552" s="16" t="s">
        <v>11017</v>
      </c>
    </row>
    <row r="3553" spans="1:6" x14ac:dyDescent="0.25">
      <c r="A3553" s="16" t="s">
        <v>11018</v>
      </c>
      <c r="B3553" s="17" t="s">
        <v>11019</v>
      </c>
      <c r="C3553" s="17" t="s">
        <v>11</v>
      </c>
      <c r="D3553" s="17" t="s">
        <v>12</v>
      </c>
      <c r="E3553" s="17" t="s">
        <v>13</v>
      </c>
      <c r="F3553" s="16" t="s">
        <v>11020</v>
      </c>
    </row>
    <row r="3554" spans="1:6" x14ac:dyDescent="0.25">
      <c r="A3554" s="16" t="s">
        <v>11021</v>
      </c>
      <c r="B3554" s="17" t="s">
        <v>11022</v>
      </c>
      <c r="C3554" s="17" t="s">
        <v>11</v>
      </c>
      <c r="D3554" s="17" t="s">
        <v>1402</v>
      </c>
      <c r="E3554" s="17" t="s">
        <v>13</v>
      </c>
      <c r="F3554" s="16" t="s">
        <v>11023</v>
      </c>
    </row>
    <row r="3555" spans="1:6" x14ac:dyDescent="0.25">
      <c r="A3555" s="16" t="s">
        <v>11024</v>
      </c>
      <c r="B3555" s="17" t="s">
        <v>11025</v>
      </c>
      <c r="C3555" s="17" t="s">
        <v>11</v>
      </c>
      <c r="D3555" s="17" t="s">
        <v>32</v>
      </c>
      <c r="E3555" s="17" t="s">
        <v>20</v>
      </c>
      <c r="F3555" s="16" t="s">
        <v>11026</v>
      </c>
    </row>
    <row r="3556" spans="1:6" x14ac:dyDescent="0.25">
      <c r="A3556" s="16" t="s">
        <v>11027</v>
      </c>
      <c r="B3556" s="17" t="s">
        <v>11028</v>
      </c>
      <c r="C3556" s="17" t="s">
        <v>11</v>
      </c>
      <c r="D3556" s="17" t="s">
        <v>12</v>
      </c>
      <c r="E3556" s="17" t="s">
        <v>13</v>
      </c>
      <c r="F3556" s="16" t="s">
        <v>11029</v>
      </c>
    </row>
    <row r="3557" spans="1:6" x14ac:dyDescent="0.25">
      <c r="A3557" s="16" t="s">
        <v>11030</v>
      </c>
      <c r="B3557" s="17" t="s">
        <v>11031</v>
      </c>
      <c r="C3557" s="17" t="s">
        <v>11</v>
      </c>
      <c r="D3557" s="17" t="s">
        <v>12</v>
      </c>
      <c r="E3557" s="17" t="s">
        <v>13</v>
      </c>
      <c r="F3557" s="16" t="s">
        <v>11032</v>
      </c>
    </row>
    <row r="3558" spans="1:6" x14ac:dyDescent="0.25">
      <c r="A3558" s="16" t="s">
        <v>11033</v>
      </c>
      <c r="B3558" s="17" t="s">
        <v>11034</v>
      </c>
      <c r="C3558" s="17" t="s">
        <v>11</v>
      </c>
      <c r="D3558" s="17" t="s">
        <v>12</v>
      </c>
      <c r="E3558" s="17" t="s">
        <v>13</v>
      </c>
      <c r="F3558" s="16" t="s">
        <v>11035</v>
      </c>
    </row>
    <row r="3559" spans="1:6" x14ac:dyDescent="0.25">
      <c r="A3559" s="16" t="s">
        <v>11036</v>
      </c>
      <c r="B3559" s="17" t="s">
        <v>11037</v>
      </c>
      <c r="C3559" s="17" t="s">
        <v>11</v>
      </c>
      <c r="D3559" s="17" t="s">
        <v>83</v>
      </c>
      <c r="E3559" s="17" t="s">
        <v>20</v>
      </c>
      <c r="F3559" s="16" t="s">
        <v>11038</v>
      </c>
    </row>
    <row r="3560" spans="1:6" x14ac:dyDescent="0.25">
      <c r="A3560" s="16" t="s">
        <v>11039</v>
      </c>
      <c r="B3560" s="17" t="s">
        <v>11040</v>
      </c>
      <c r="C3560" s="17" t="s">
        <v>11</v>
      </c>
      <c r="D3560" s="17" t="s">
        <v>12</v>
      </c>
      <c r="E3560" s="17" t="s">
        <v>13</v>
      </c>
      <c r="F3560" s="16" t="s">
        <v>11041</v>
      </c>
    </row>
    <row r="3561" spans="1:6" x14ac:dyDescent="0.25">
      <c r="A3561" s="16" t="s">
        <v>11042</v>
      </c>
      <c r="B3561" s="17" t="s">
        <v>11043</v>
      </c>
      <c r="C3561" s="17" t="s">
        <v>11</v>
      </c>
      <c r="D3561" s="17" t="s">
        <v>12</v>
      </c>
      <c r="E3561" s="17" t="s">
        <v>13</v>
      </c>
      <c r="F3561" s="16" t="s">
        <v>11044</v>
      </c>
    </row>
    <row r="3562" spans="1:6" x14ac:dyDescent="0.25">
      <c r="A3562" s="16" t="s">
        <v>11045</v>
      </c>
      <c r="B3562" s="17" t="s">
        <v>11046</v>
      </c>
      <c r="C3562" s="17" t="s">
        <v>11</v>
      </c>
      <c r="D3562" s="17" t="s">
        <v>12</v>
      </c>
      <c r="E3562" s="17" t="s">
        <v>13</v>
      </c>
      <c r="F3562" s="16" t="s">
        <v>11047</v>
      </c>
    </row>
    <row r="3563" spans="1:6" x14ac:dyDescent="0.25">
      <c r="A3563" s="16" t="s">
        <v>11048</v>
      </c>
      <c r="B3563" s="17" t="s">
        <v>11049</v>
      </c>
      <c r="C3563" s="17" t="s">
        <v>11</v>
      </c>
      <c r="D3563" s="17" t="s">
        <v>12</v>
      </c>
      <c r="E3563" s="17" t="s">
        <v>13</v>
      </c>
      <c r="F3563" s="16" t="s">
        <v>11050</v>
      </c>
    </row>
    <row r="3564" spans="1:6" x14ac:dyDescent="0.25">
      <c r="A3564" s="16" t="s">
        <v>11051</v>
      </c>
      <c r="B3564" s="17" t="s">
        <v>11052</v>
      </c>
      <c r="C3564" s="17" t="s">
        <v>11</v>
      </c>
      <c r="D3564" s="17" t="s">
        <v>12</v>
      </c>
      <c r="E3564" s="17" t="s">
        <v>13</v>
      </c>
      <c r="F3564" s="16" t="s">
        <v>11053</v>
      </c>
    </row>
    <row r="3565" spans="1:6" x14ac:dyDescent="0.25">
      <c r="A3565" s="16" t="s">
        <v>11054</v>
      </c>
      <c r="B3565" s="17" t="s">
        <v>11055</v>
      </c>
      <c r="C3565" s="17" t="s">
        <v>11</v>
      </c>
      <c r="D3565" s="17" t="s">
        <v>12</v>
      </c>
      <c r="E3565" s="17" t="s">
        <v>13</v>
      </c>
      <c r="F3565" s="16" t="s">
        <v>11056</v>
      </c>
    </row>
    <row r="3566" spans="1:6" x14ac:dyDescent="0.25">
      <c r="A3566" s="16" t="s">
        <v>11057</v>
      </c>
      <c r="B3566" s="17" t="s">
        <v>11058</v>
      </c>
      <c r="C3566" s="17" t="s">
        <v>11</v>
      </c>
      <c r="D3566" s="17" t="s">
        <v>12</v>
      </c>
      <c r="E3566" s="17" t="s">
        <v>13</v>
      </c>
      <c r="F3566" s="16" t="s">
        <v>11059</v>
      </c>
    </row>
    <row r="3567" spans="1:6" x14ac:dyDescent="0.25">
      <c r="A3567" s="16" t="s">
        <v>11060</v>
      </c>
      <c r="B3567" s="17" t="s">
        <v>11061</v>
      </c>
      <c r="C3567" s="17" t="s">
        <v>11</v>
      </c>
      <c r="D3567" s="17" t="s">
        <v>12</v>
      </c>
      <c r="E3567" s="17" t="s">
        <v>13</v>
      </c>
      <c r="F3567" s="16" t="s">
        <v>11062</v>
      </c>
    </row>
    <row r="3568" spans="1:6" x14ac:dyDescent="0.25">
      <c r="A3568" s="16" t="s">
        <v>11063</v>
      </c>
      <c r="B3568" s="17" t="s">
        <v>11064</v>
      </c>
      <c r="C3568" s="17" t="s">
        <v>11</v>
      </c>
      <c r="D3568" s="17" t="s">
        <v>12</v>
      </c>
      <c r="E3568" s="17" t="s">
        <v>13</v>
      </c>
      <c r="F3568" s="16" t="s">
        <v>11065</v>
      </c>
    </row>
    <row r="3569" spans="1:6" x14ac:dyDescent="0.25">
      <c r="A3569" s="16" t="s">
        <v>11066</v>
      </c>
      <c r="B3569" s="17" t="s">
        <v>11067</v>
      </c>
      <c r="C3569" s="17" t="s">
        <v>11</v>
      </c>
      <c r="D3569" s="17" t="s">
        <v>12</v>
      </c>
      <c r="E3569" s="17" t="s">
        <v>13</v>
      </c>
      <c r="F3569" s="16" t="s">
        <v>11068</v>
      </c>
    </row>
    <row r="3570" spans="1:6" x14ac:dyDescent="0.25">
      <c r="A3570" s="16" t="s">
        <v>11069</v>
      </c>
      <c r="B3570" s="17" t="s">
        <v>11070</v>
      </c>
      <c r="C3570" s="17" t="s">
        <v>11</v>
      </c>
      <c r="D3570" s="17" t="s">
        <v>12</v>
      </c>
      <c r="E3570" s="17" t="s">
        <v>13</v>
      </c>
      <c r="F3570" s="16" t="s">
        <v>11071</v>
      </c>
    </row>
    <row r="3571" spans="1:6" x14ac:dyDescent="0.25">
      <c r="A3571" s="16" t="s">
        <v>11072</v>
      </c>
      <c r="B3571" s="17" t="s">
        <v>11073</v>
      </c>
      <c r="C3571" s="17" t="s">
        <v>11</v>
      </c>
      <c r="D3571" s="17" t="s">
        <v>32</v>
      </c>
      <c r="E3571" s="17" t="s">
        <v>20</v>
      </c>
      <c r="F3571" s="16" t="s">
        <v>11074</v>
      </c>
    </row>
    <row r="3572" spans="1:6" x14ac:dyDescent="0.25">
      <c r="A3572" s="16" t="s">
        <v>11075</v>
      </c>
      <c r="B3572" s="17" t="s">
        <v>11076</v>
      </c>
      <c r="C3572" s="17" t="s">
        <v>11</v>
      </c>
      <c r="D3572" s="17" t="s">
        <v>12</v>
      </c>
      <c r="E3572" s="17" t="s">
        <v>13</v>
      </c>
      <c r="F3572" s="16" t="s">
        <v>11077</v>
      </c>
    </row>
    <row r="3573" spans="1:6" x14ac:dyDescent="0.25">
      <c r="A3573" s="16" t="s">
        <v>11078</v>
      </c>
      <c r="B3573" s="17" t="s">
        <v>11079</v>
      </c>
      <c r="C3573" s="17" t="s">
        <v>11</v>
      </c>
      <c r="D3573" s="17" t="s">
        <v>12</v>
      </c>
      <c r="E3573" s="17" t="s">
        <v>13</v>
      </c>
      <c r="F3573" s="16" t="s">
        <v>11080</v>
      </c>
    </row>
    <row r="3574" spans="1:6" x14ac:dyDescent="0.25">
      <c r="A3574" s="16" t="s">
        <v>11081</v>
      </c>
      <c r="B3574" s="17" t="s">
        <v>11082</v>
      </c>
      <c r="C3574" s="17" t="s">
        <v>11</v>
      </c>
      <c r="D3574" s="17" t="s">
        <v>12</v>
      </c>
      <c r="E3574" s="17" t="s">
        <v>13</v>
      </c>
      <c r="F3574" s="16" t="s">
        <v>11083</v>
      </c>
    </row>
    <row r="3575" spans="1:6" x14ac:dyDescent="0.25">
      <c r="A3575" s="16" t="s">
        <v>11084</v>
      </c>
      <c r="B3575" s="17" t="s">
        <v>11085</v>
      </c>
      <c r="C3575" s="17" t="s">
        <v>11</v>
      </c>
      <c r="D3575" s="17" t="s">
        <v>12</v>
      </c>
      <c r="E3575" s="17" t="s">
        <v>13</v>
      </c>
      <c r="F3575" s="16" t="s">
        <v>11086</v>
      </c>
    </row>
    <row r="3576" spans="1:6" x14ac:dyDescent="0.25">
      <c r="A3576" s="16" t="s">
        <v>11087</v>
      </c>
      <c r="B3576" s="17" t="s">
        <v>11088</v>
      </c>
      <c r="C3576" s="17" t="s">
        <v>11</v>
      </c>
      <c r="D3576" s="17" t="s">
        <v>12</v>
      </c>
      <c r="E3576" s="17" t="s">
        <v>13</v>
      </c>
      <c r="F3576" s="16" t="s">
        <v>11089</v>
      </c>
    </row>
    <row r="3577" spans="1:6" x14ac:dyDescent="0.25">
      <c r="A3577" s="16" t="s">
        <v>11090</v>
      </c>
      <c r="B3577" s="17" t="s">
        <v>11091</v>
      </c>
      <c r="C3577" s="17" t="s">
        <v>11</v>
      </c>
      <c r="D3577" s="17" t="s">
        <v>83</v>
      </c>
      <c r="E3577" s="17" t="s">
        <v>20</v>
      </c>
      <c r="F3577" s="16" t="s">
        <v>11092</v>
      </c>
    </row>
    <row r="3578" spans="1:6" x14ac:dyDescent="0.25">
      <c r="A3578" s="16" t="s">
        <v>11093</v>
      </c>
      <c r="B3578" s="17" t="s">
        <v>11094</v>
      </c>
      <c r="C3578" s="17" t="s">
        <v>11</v>
      </c>
      <c r="D3578" s="17" t="s">
        <v>12</v>
      </c>
      <c r="E3578" s="17" t="s">
        <v>13</v>
      </c>
      <c r="F3578" s="16" t="s">
        <v>11095</v>
      </c>
    </row>
    <row r="3579" spans="1:6" x14ac:dyDescent="0.25">
      <c r="A3579" s="16" t="s">
        <v>11096</v>
      </c>
      <c r="B3579" s="17" t="s">
        <v>11097</v>
      </c>
      <c r="C3579" s="17" t="s">
        <v>11</v>
      </c>
      <c r="D3579" s="17" t="s">
        <v>12</v>
      </c>
      <c r="E3579" s="17" t="s">
        <v>13</v>
      </c>
      <c r="F3579" s="16" t="s">
        <v>11098</v>
      </c>
    </row>
    <row r="3580" spans="1:6" x14ac:dyDescent="0.25">
      <c r="A3580" s="16" t="s">
        <v>11099</v>
      </c>
      <c r="B3580" s="17" t="s">
        <v>11100</v>
      </c>
      <c r="C3580" s="17" t="s">
        <v>11</v>
      </c>
      <c r="D3580" s="17" t="s">
        <v>12</v>
      </c>
      <c r="E3580" s="17" t="s">
        <v>13</v>
      </c>
      <c r="F3580" s="16" t="s">
        <v>11101</v>
      </c>
    </row>
    <row r="3581" spans="1:6" x14ac:dyDescent="0.25">
      <c r="A3581" s="16" t="s">
        <v>11102</v>
      </c>
      <c r="B3581" s="17" t="s">
        <v>11103</v>
      </c>
      <c r="C3581" s="17" t="s">
        <v>11</v>
      </c>
      <c r="D3581" s="17" t="s">
        <v>12</v>
      </c>
      <c r="E3581" s="17" t="s">
        <v>13</v>
      </c>
      <c r="F3581" s="16" t="s">
        <v>11104</v>
      </c>
    </row>
    <row r="3582" spans="1:6" x14ac:dyDescent="0.25">
      <c r="A3582" s="16" t="s">
        <v>11105</v>
      </c>
      <c r="B3582" s="17" t="s">
        <v>11106</v>
      </c>
      <c r="C3582" s="17" t="s">
        <v>11</v>
      </c>
      <c r="D3582" s="17" t="s">
        <v>83</v>
      </c>
      <c r="E3582" s="17" t="s">
        <v>20</v>
      </c>
      <c r="F3582" s="16" t="s">
        <v>11107</v>
      </c>
    </row>
    <row r="3583" spans="1:6" x14ac:dyDescent="0.25">
      <c r="A3583" s="16" t="s">
        <v>11108</v>
      </c>
      <c r="B3583" s="17" t="s">
        <v>11109</v>
      </c>
      <c r="C3583" s="17" t="s">
        <v>11</v>
      </c>
      <c r="D3583" s="17" t="s">
        <v>12</v>
      </c>
      <c r="E3583" s="17" t="s">
        <v>13</v>
      </c>
      <c r="F3583" s="16" t="s">
        <v>11110</v>
      </c>
    </row>
    <row r="3584" spans="1:6" x14ac:dyDescent="0.25">
      <c r="A3584" s="16" t="s">
        <v>11111</v>
      </c>
      <c r="B3584" s="17" t="s">
        <v>11112</v>
      </c>
      <c r="C3584" s="17" t="s">
        <v>11</v>
      </c>
      <c r="D3584" s="17" t="s">
        <v>12</v>
      </c>
      <c r="E3584" s="17" t="s">
        <v>13</v>
      </c>
      <c r="F3584" s="16" t="s">
        <v>11113</v>
      </c>
    </row>
    <row r="3585" spans="1:6" x14ac:dyDescent="0.25">
      <c r="A3585" s="16" t="s">
        <v>11114</v>
      </c>
      <c r="B3585" s="17" t="s">
        <v>11115</v>
      </c>
      <c r="C3585" s="17" t="s">
        <v>11</v>
      </c>
      <c r="D3585" s="17" t="s">
        <v>12</v>
      </c>
      <c r="E3585" s="17" t="s">
        <v>13</v>
      </c>
      <c r="F3585" s="16" t="s">
        <v>11116</v>
      </c>
    </row>
    <row r="3586" spans="1:6" x14ac:dyDescent="0.25">
      <c r="A3586" s="16" t="s">
        <v>11117</v>
      </c>
      <c r="B3586" s="17" t="s">
        <v>11118</v>
      </c>
      <c r="C3586" s="17" t="s">
        <v>11</v>
      </c>
      <c r="D3586" s="17" t="s">
        <v>12</v>
      </c>
      <c r="E3586" s="17" t="s">
        <v>13</v>
      </c>
      <c r="F3586" s="16" t="s">
        <v>11119</v>
      </c>
    </row>
    <row r="3587" spans="1:6" x14ac:dyDescent="0.25">
      <c r="A3587" s="16" t="s">
        <v>11120</v>
      </c>
      <c r="B3587" s="17" t="s">
        <v>11121</v>
      </c>
      <c r="C3587" s="17" t="s">
        <v>11</v>
      </c>
      <c r="D3587" s="17" t="s">
        <v>26</v>
      </c>
      <c r="E3587" s="17" t="s">
        <v>20</v>
      </c>
      <c r="F3587" s="16" t="s">
        <v>11122</v>
      </c>
    </row>
    <row r="3588" spans="1:6" x14ac:dyDescent="0.25">
      <c r="A3588" s="16" t="s">
        <v>11123</v>
      </c>
      <c r="B3588" s="17" t="s">
        <v>11124</v>
      </c>
      <c r="C3588" s="17" t="s">
        <v>11</v>
      </c>
      <c r="D3588" s="17" t="s">
        <v>12</v>
      </c>
      <c r="E3588" s="17" t="s">
        <v>13</v>
      </c>
      <c r="F3588" s="16" t="s">
        <v>11125</v>
      </c>
    </row>
    <row r="3589" spans="1:6" x14ac:dyDescent="0.25">
      <c r="A3589" s="16" t="s">
        <v>11126</v>
      </c>
      <c r="B3589" s="17" t="s">
        <v>11127</v>
      </c>
      <c r="C3589" s="17" t="s">
        <v>11</v>
      </c>
      <c r="D3589" s="17" t="s">
        <v>12</v>
      </c>
      <c r="E3589" s="17" t="s">
        <v>13</v>
      </c>
      <c r="F3589" s="16" t="s">
        <v>11128</v>
      </c>
    </row>
    <row r="3590" spans="1:6" x14ac:dyDescent="0.25">
      <c r="A3590" s="16" t="s">
        <v>11129</v>
      </c>
      <c r="B3590" s="17" t="s">
        <v>11130</v>
      </c>
      <c r="C3590" s="17" t="s">
        <v>11</v>
      </c>
      <c r="D3590" s="17" t="s">
        <v>12</v>
      </c>
      <c r="E3590" s="17" t="s">
        <v>13</v>
      </c>
      <c r="F3590" s="16" t="s">
        <v>11131</v>
      </c>
    </row>
    <row r="3591" spans="1:6" x14ac:dyDescent="0.25">
      <c r="A3591" s="16" t="s">
        <v>11132</v>
      </c>
      <c r="B3591" s="17" t="s">
        <v>11133</v>
      </c>
      <c r="C3591" s="17" t="s">
        <v>11</v>
      </c>
      <c r="D3591" s="17" t="s">
        <v>186</v>
      </c>
      <c r="E3591" s="17" t="s">
        <v>20</v>
      </c>
      <c r="F3591" s="16" t="s">
        <v>11134</v>
      </c>
    </row>
    <row r="3592" spans="1:6" x14ac:dyDescent="0.25">
      <c r="A3592" s="16" t="s">
        <v>11135</v>
      </c>
      <c r="B3592" s="17" t="s">
        <v>11136</v>
      </c>
      <c r="C3592" s="17" t="s">
        <v>11</v>
      </c>
      <c r="D3592" s="17" t="s">
        <v>12</v>
      </c>
      <c r="E3592" s="17" t="s">
        <v>13</v>
      </c>
      <c r="F3592" s="16" t="s">
        <v>11137</v>
      </c>
    </row>
    <row r="3593" spans="1:6" x14ac:dyDescent="0.25">
      <c r="A3593" s="16" t="s">
        <v>11138</v>
      </c>
      <c r="B3593" s="17" t="s">
        <v>11139</v>
      </c>
      <c r="C3593" s="17" t="s">
        <v>11</v>
      </c>
      <c r="D3593" s="17" t="s">
        <v>80</v>
      </c>
      <c r="E3593" s="17" t="s">
        <v>20</v>
      </c>
      <c r="F3593" s="16" t="s">
        <v>11140</v>
      </c>
    </row>
    <row r="3594" spans="1:6" x14ac:dyDescent="0.25">
      <c r="A3594" s="16" t="s">
        <v>11141</v>
      </c>
      <c r="B3594" s="17" t="s">
        <v>11142</v>
      </c>
      <c r="C3594" s="17" t="s">
        <v>11</v>
      </c>
      <c r="D3594" s="17" t="s">
        <v>12</v>
      </c>
      <c r="E3594" s="17" t="s">
        <v>13</v>
      </c>
      <c r="F3594" s="16" t="s">
        <v>11143</v>
      </c>
    </row>
    <row r="3595" spans="1:6" x14ac:dyDescent="0.25">
      <c r="A3595" s="16" t="s">
        <v>11144</v>
      </c>
      <c r="B3595" s="17" t="s">
        <v>11145</v>
      </c>
      <c r="C3595" s="17" t="s">
        <v>11</v>
      </c>
      <c r="D3595" s="17" t="s">
        <v>12</v>
      </c>
      <c r="E3595" s="17" t="s">
        <v>13</v>
      </c>
      <c r="F3595" s="16" t="s">
        <v>11146</v>
      </c>
    </row>
    <row r="3596" spans="1:6" x14ac:dyDescent="0.25">
      <c r="A3596" s="16" t="s">
        <v>11147</v>
      </c>
      <c r="B3596" s="17" t="s">
        <v>11148</v>
      </c>
      <c r="C3596" s="17" t="s">
        <v>11</v>
      </c>
      <c r="D3596" s="17" t="s">
        <v>83</v>
      </c>
      <c r="E3596" s="17" t="s">
        <v>20</v>
      </c>
      <c r="F3596" s="16" t="s">
        <v>11149</v>
      </c>
    </row>
    <row r="3597" spans="1:6" x14ac:dyDescent="0.25">
      <c r="A3597" s="16" t="s">
        <v>11150</v>
      </c>
      <c r="B3597" s="17" t="s">
        <v>11151</v>
      </c>
      <c r="C3597" s="17" t="s">
        <v>11</v>
      </c>
      <c r="D3597" s="17" t="s">
        <v>80</v>
      </c>
      <c r="E3597" s="17" t="s">
        <v>20</v>
      </c>
      <c r="F3597" s="16" t="s">
        <v>11152</v>
      </c>
    </row>
    <row r="3598" spans="1:6" x14ac:dyDescent="0.25">
      <c r="A3598" s="16" t="s">
        <v>11153</v>
      </c>
      <c r="B3598" s="17" t="s">
        <v>11154</v>
      </c>
      <c r="C3598" s="17" t="s">
        <v>11</v>
      </c>
      <c r="D3598" s="17" t="s">
        <v>12</v>
      </c>
      <c r="E3598" s="17" t="s">
        <v>13</v>
      </c>
      <c r="F3598" s="16" t="s">
        <v>11155</v>
      </c>
    </row>
    <row r="3599" spans="1:6" x14ac:dyDescent="0.25">
      <c r="A3599" s="16" t="s">
        <v>11156</v>
      </c>
      <c r="B3599" s="17" t="s">
        <v>11157</v>
      </c>
      <c r="C3599" s="17" t="s">
        <v>11</v>
      </c>
      <c r="D3599" s="17" t="s">
        <v>12</v>
      </c>
      <c r="E3599" s="17" t="s">
        <v>13</v>
      </c>
      <c r="F3599" s="16" t="s">
        <v>11158</v>
      </c>
    </row>
    <row r="3600" spans="1:6" x14ac:dyDescent="0.25">
      <c r="A3600" s="16" t="s">
        <v>11159</v>
      </c>
      <c r="B3600" s="17" t="s">
        <v>11160</v>
      </c>
      <c r="C3600" s="17" t="s">
        <v>11</v>
      </c>
      <c r="D3600" s="17" t="s">
        <v>12</v>
      </c>
      <c r="E3600" s="17" t="s">
        <v>13</v>
      </c>
      <c r="F3600" s="16" t="s">
        <v>11161</v>
      </c>
    </row>
    <row r="3601" spans="1:6" x14ac:dyDescent="0.25">
      <c r="A3601" s="16" t="s">
        <v>11162</v>
      </c>
      <c r="B3601" s="17" t="s">
        <v>11163</v>
      </c>
      <c r="C3601" s="17" t="s">
        <v>11</v>
      </c>
      <c r="D3601" s="17" t="s">
        <v>12</v>
      </c>
      <c r="E3601" s="17" t="s">
        <v>13</v>
      </c>
      <c r="F3601" s="16" t="s">
        <v>11164</v>
      </c>
    </row>
    <row r="3602" spans="1:6" x14ac:dyDescent="0.25">
      <c r="A3602" s="16" t="s">
        <v>11165</v>
      </c>
      <c r="B3602" s="17" t="s">
        <v>11166</v>
      </c>
      <c r="C3602" s="17" t="s">
        <v>11</v>
      </c>
      <c r="D3602" s="17" t="s">
        <v>32</v>
      </c>
      <c r="E3602" s="17" t="s">
        <v>20</v>
      </c>
      <c r="F3602" s="16" t="s">
        <v>11167</v>
      </c>
    </row>
    <row r="3603" spans="1:6" x14ac:dyDescent="0.25">
      <c r="A3603" s="16" t="s">
        <v>11168</v>
      </c>
      <c r="B3603" s="17" t="s">
        <v>11169</v>
      </c>
      <c r="C3603" s="17" t="s">
        <v>11</v>
      </c>
      <c r="D3603" s="17" t="s">
        <v>59</v>
      </c>
      <c r="E3603" s="17" t="s">
        <v>13</v>
      </c>
      <c r="F3603" s="16" t="s">
        <v>11170</v>
      </c>
    </row>
    <row r="3604" spans="1:6" x14ac:dyDescent="0.25">
      <c r="A3604" s="16" t="s">
        <v>11171</v>
      </c>
      <c r="B3604" s="17" t="s">
        <v>11172</v>
      </c>
      <c r="C3604" s="17" t="s">
        <v>11</v>
      </c>
      <c r="D3604" s="17" t="s">
        <v>12</v>
      </c>
      <c r="E3604" s="17" t="s">
        <v>13</v>
      </c>
      <c r="F3604" s="16" t="s">
        <v>11173</v>
      </c>
    </row>
    <row r="3605" spans="1:6" x14ac:dyDescent="0.25">
      <c r="A3605" s="16" t="s">
        <v>11174</v>
      </c>
      <c r="B3605" s="17" t="s">
        <v>11175</v>
      </c>
      <c r="C3605" s="17" t="s">
        <v>11</v>
      </c>
      <c r="D3605" s="17" t="s">
        <v>233</v>
      </c>
      <c r="E3605" s="17" t="s">
        <v>20</v>
      </c>
      <c r="F3605" s="16" t="s">
        <v>11176</v>
      </c>
    </row>
    <row r="3606" spans="1:6" x14ac:dyDescent="0.25">
      <c r="A3606" s="16" t="s">
        <v>11177</v>
      </c>
      <c r="B3606" s="17" t="s">
        <v>11178</v>
      </c>
      <c r="C3606" s="17" t="s">
        <v>11</v>
      </c>
      <c r="D3606" s="17" t="s">
        <v>12</v>
      </c>
      <c r="E3606" s="17" t="s">
        <v>13</v>
      </c>
      <c r="F3606" s="16" t="s">
        <v>11179</v>
      </c>
    </row>
    <row r="3607" spans="1:6" x14ac:dyDescent="0.25">
      <c r="A3607" s="16" t="s">
        <v>11180</v>
      </c>
      <c r="B3607" s="17" t="s">
        <v>11181</v>
      </c>
      <c r="C3607" s="17" t="s">
        <v>11</v>
      </c>
      <c r="D3607" s="17" t="s">
        <v>83</v>
      </c>
      <c r="E3607" s="17" t="s">
        <v>20</v>
      </c>
      <c r="F3607" s="16" t="s">
        <v>11182</v>
      </c>
    </row>
    <row r="3608" spans="1:6" x14ac:dyDescent="0.25">
      <c r="A3608" s="16" t="s">
        <v>11183</v>
      </c>
      <c r="B3608" s="17" t="s">
        <v>11184</v>
      </c>
      <c r="C3608" s="17" t="s">
        <v>11</v>
      </c>
      <c r="D3608" s="17" t="s">
        <v>12</v>
      </c>
      <c r="E3608" s="17" t="s">
        <v>13</v>
      </c>
      <c r="F3608" s="16" t="s">
        <v>11185</v>
      </c>
    </row>
    <row r="3609" spans="1:6" x14ac:dyDescent="0.25">
      <c r="A3609" s="16" t="s">
        <v>11186</v>
      </c>
      <c r="B3609" s="17" t="s">
        <v>11187</v>
      </c>
      <c r="C3609" s="17" t="s">
        <v>11</v>
      </c>
      <c r="D3609" s="17" t="s">
        <v>12</v>
      </c>
      <c r="E3609" s="17" t="s">
        <v>13</v>
      </c>
      <c r="F3609" s="16" t="s">
        <v>11188</v>
      </c>
    </row>
    <row r="3610" spans="1:6" x14ac:dyDescent="0.25">
      <c r="A3610" s="16" t="s">
        <v>11189</v>
      </c>
      <c r="B3610" s="17" t="s">
        <v>11190</v>
      </c>
      <c r="C3610" s="17" t="s">
        <v>11</v>
      </c>
      <c r="D3610" s="17" t="s">
        <v>32</v>
      </c>
      <c r="E3610" s="17" t="s">
        <v>20</v>
      </c>
      <c r="F3610" s="16" t="s">
        <v>11191</v>
      </c>
    </row>
    <row r="3611" spans="1:6" x14ac:dyDescent="0.25">
      <c r="A3611" s="16" t="s">
        <v>11192</v>
      </c>
      <c r="B3611" s="17" t="s">
        <v>11193</v>
      </c>
      <c r="C3611" s="17" t="s">
        <v>11</v>
      </c>
      <c r="D3611" s="17" t="s">
        <v>12</v>
      </c>
      <c r="E3611" s="17" t="s">
        <v>13</v>
      </c>
      <c r="F3611" s="16" t="s">
        <v>11194</v>
      </c>
    </row>
    <row r="3612" spans="1:6" x14ac:dyDescent="0.25">
      <c r="A3612" s="16" t="s">
        <v>11195</v>
      </c>
      <c r="B3612" s="17" t="s">
        <v>11196</v>
      </c>
      <c r="C3612" s="17" t="s">
        <v>11</v>
      </c>
      <c r="D3612" s="17" t="s">
        <v>12</v>
      </c>
      <c r="E3612" s="17" t="s">
        <v>13</v>
      </c>
      <c r="F3612" s="16" t="s">
        <v>11197</v>
      </c>
    </row>
    <row r="3613" spans="1:6" x14ac:dyDescent="0.25">
      <c r="A3613" s="16" t="s">
        <v>11198</v>
      </c>
      <c r="B3613" s="17" t="s">
        <v>11199</v>
      </c>
      <c r="C3613" s="17" t="s">
        <v>11</v>
      </c>
      <c r="D3613" s="17" t="s">
        <v>12</v>
      </c>
      <c r="E3613" s="17" t="s">
        <v>13</v>
      </c>
      <c r="F3613" s="16" t="s">
        <v>11200</v>
      </c>
    </row>
    <row r="3614" spans="1:6" x14ac:dyDescent="0.25">
      <c r="A3614" s="16" t="s">
        <v>11201</v>
      </c>
      <c r="B3614" s="17" t="s">
        <v>11202</v>
      </c>
      <c r="C3614" s="17" t="s">
        <v>11</v>
      </c>
      <c r="D3614" s="17" t="s">
        <v>83</v>
      </c>
      <c r="E3614" s="17" t="s">
        <v>20</v>
      </c>
      <c r="F3614" s="16" t="s">
        <v>11203</v>
      </c>
    </row>
    <row r="3615" spans="1:6" x14ac:dyDescent="0.25">
      <c r="A3615" s="16" t="s">
        <v>11204</v>
      </c>
      <c r="B3615" s="17" t="s">
        <v>11205</v>
      </c>
      <c r="C3615" s="17" t="s">
        <v>11</v>
      </c>
      <c r="D3615" s="17" t="s">
        <v>12</v>
      </c>
      <c r="E3615" s="17" t="s">
        <v>13</v>
      </c>
      <c r="F3615" s="16" t="s">
        <v>11206</v>
      </c>
    </row>
    <row r="3616" spans="1:6" x14ac:dyDescent="0.25">
      <c r="A3616" s="16" t="s">
        <v>11207</v>
      </c>
      <c r="B3616" s="17" t="s">
        <v>11208</v>
      </c>
      <c r="C3616" s="17" t="s">
        <v>11</v>
      </c>
      <c r="D3616" s="17" t="s">
        <v>12</v>
      </c>
      <c r="E3616" s="17" t="s">
        <v>13</v>
      </c>
      <c r="F3616" s="16" t="s">
        <v>11209</v>
      </c>
    </row>
    <row r="3617" spans="1:6" x14ac:dyDescent="0.25">
      <c r="A3617" s="16" t="s">
        <v>11210</v>
      </c>
      <c r="B3617" s="17" t="s">
        <v>11211</v>
      </c>
      <c r="C3617" s="17" t="s">
        <v>11</v>
      </c>
      <c r="D3617" s="17" t="s">
        <v>171</v>
      </c>
      <c r="E3617" s="17" t="s">
        <v>13</v>
      </c>
      <c r="F3617" s="16" t="s">
        <v>11212</v>
      </c>
    </row>
    <row r="3618" spans="1:6" x14ac:dyDescent="0.25">
      <c r="A3618" s="16" t="s">
        <v>11213</v>
      </c>
      <c r="B3618" s="17" t="s">
        <v>11214</v>
      </c>
      <c r="C3618" s="17" t="s">
        <v>11</v>
      </c>
      <c r="D3618" s="17" t="s">
        <v>80</v>
      </c>
      <c r="E3618" s="17" t="s">
        <v>20</v>
      </c>
      <c r="F3618" s="16" t="s">
        <v>11215</v>
      </c>
    </row>
    <row r="3619" spans="1:6" x14ac:dyDescent="0.25">
      <c r="A3619" s="16" t="s">
        <v>11216</v>
      </c>
      <c r="B3619" s="17" t="s">
        <v>11217</v>
      </c>
      <c r="C3619" s="17" t="s">
        <v>11</v>
      </c>
      <c r="D3619" s="17" t="s">
        <v>12</v>
      </c>
      <c r="E3619" s="17" t="s">
        <v>13</v>
      </c>
      <c r="F3619" s="16" t="s">
        <v>11218</v>
      </c>
    </row>
    <row r="3620" spans="1:6" x14ac:dyDescent="0.25">
      <c r="A3620" s="16" t="s">
        <v>11219</v>
      </c>
      <c r="B3620" s="17" t="s">
        <v>11220</v>
      </c>
      <c r="C3620" s="17" t="s">
        <v>11</v>
      </c>
      <c r="D3620" s="17" t="s">
        <v>12</v>
      </c>
      <c r="E3620" s="17" t="s">
        <v>13</v>
      </c>
      <c r="F3620" s="16" t="s">
        <v>11221</v>
      </c>
    </row>
    <row r="3621" spans="1:6" x14ac:dyDescent="0.25">
      <c r="A3621" s="16" t="s">
        <v>11222</v>
      </c>
      <c r="B3621" s="17" t="s">
        <v>11223</v>
      </c>
      <c r="C3621" s="17" t="s">
        <v>11</v>
      </c>
      <c r="D3621" s="17" t="s">
        <v>12</v>
      </c>
      <c r="E3621" s="17" t="s">
        <v>13</v>
      </c>
      <c r="F3621" s="16" t="s">
        <v>11224</v>
      </c>
    </row>
    <row r="3622" spans="1:6" x14ac:dyDescent="0.25">
      <c r="A3622" s="16" t="s">
        <v>11225</v>
      </c>
      <c r="B3622" s="17" t="s">
        <v>11226</v>
      </c>
      <c r="C3622" s="17" t="s">
        <v>11</v>
      </c>
      <c r="D3622" s="17" t="s">
        <v>32</v>
      </c>
      <c r="E3622" s="17" t="s">
        <v>20</v>
      </c>
      <c r="F3622" s="16" t="s">
        <v>11227</v>
      </c>
    </row>
    <row r="3623" spans="1:6" x14ac:dyDescent="0.25">
      <c r="A3623" s="16" t="s">
        <v>11228</v>
      </c>
      <c r="B3623" s="17" t="s">
        <v>11229</v>
      </c>
      <c r="C3623" s="17" t="s">
        <v>11</v>
      </c>
      <c r="D3623" s="17" t="s">
        <v>32</v>
      </c>
      <c r="E3623" s="17" t="s">
        <v>20</v>
      </c>
      <c r="F3623" s="16" t="s">
        <v>11230</v>
      </c>
    </row>
    <row r="3624" spans="1:6" x14ac:dyDescent="0.25">
      <c r="A3624" s="16" t="s">
        <v>11231</v>
      </c>
      <c r="B3624" s="17" t="s">
        <v>11232</v>
      </c>
      <c r="C3624" s="17" t="s">
        <v>11</v>
      </c>
      <c r="D3624" s="17" t="s">
        <v>12</v>
      </c>
      <c r="E3624" s="17" t="s">
        <v>13</v>
      </c>
      <c r="F3624" s="16" t="s">
        <v>11233</v>
      </c>
    </row>
    <row r="3625" spans="1:6" x14ac:dyDescent="0.25">
      <c r="A3625" s="16" t="s">
        <v>11234</v>
      </c>
      <c r="B3625" s="17" t="s">
        <v>11235</v>
      </c>
      <c r="C3625" s="17" t="s">
        <v>11</v>
      </c>
      <c r="D3625" s="17" t="s">
        <v>12</v>
      </c>
      <c r="E3625" s="17" t="s">
        <v>13</v>
      </c>
      <c r="F3625" s="16" t="s">
        <v>11236</v>
      </c>
    </row>
    <row r="3626" spans="1:6" x14ac:dyDescent="0.25">
      <c r="A3626" s="16" t="s">
        <v>11237</v>
      </c>
      <c r="B3626" s="17" t="s">
        <v>11238</v>
      </c>
      <c r="C3626" s="17" t="s">
        <v>11</v>
      </c>
      <c r="D3626" s="17" t="s">
        <v>12</v>
      </c>
      <c r="E3626" s="17" t="s">
        <v>13</v>
      </c>
      <c r="F3626" s="16" t="s">
        <v>11239</v>
      </c>
    </row>
    <row r="3627" spans="1:6" x14ac:dyDescent="0.25">
      <c r="A3627" s="16" t="s">
        <v>11240</v>
      </c>
      <c r="B3627" s="17" t="s">
        <v>11241</v>
      </c>
      <c r="C3627" s="17" t="s">
        <v>11</v>
      </c>
      <c r="D3627" s="17" t="s">
        <v>83</v>
      </c>
      <c r="E3627" s="17" t="s">
        <v>20</v>
      </c>
      <c r="F3627" s="16" t="s">
        <v>11242</v>
      </c>
    </row>
    <row r="3628" spans="1:6" x14ac:dyDescent="0.25">
      <c r="A3628" s="16" t="s">
        <v>11243</v>
      </c>
      <c r="B3628" s="17" t="s">
        <v>11244</v>
      </c>
      <c r="C3628" s="17" t="s">
        <v>11</v>
      </c>
      <c r="D3628" s="17" t="s">
        <v>59</v>
      </c>
      <c r="E3628" s="17" t="s">
        <v>13</v>
      </c>
      <c r="F3628" s="16" t="s">
        <v>11245</v>
      </c>
    </row>
    <row r="3629" spans="1:6" x14ac:dyDescent="0.25">
      <c r="A3629" s="16" t="s">
        <v>11246</v>
      </c>
      <c r="B3629" s="17" t="s">
        <v>11247</v>
      </c>
      <c r="C3629" s="17" t="s">
        <v>11</v>
      </c>
      <c r="D3629" s="17" t="s">
        <v>32</v>
      </c>
      <c r="E3629" s="17" t="s">
        <v>20</v>
      </c>
      <c r="F3629" s="16" t="s">
        <v>11248</v>
      </c>
    </row>
    <row r="3630" spans="1:6" x14ac:dyDescent="0.25">
      <c r="A3630" s="16" t="s">
        <v>11249</v>
      </c>
      <c r="B3630" s="17" t="s">
        <v>11250</v>
      </c>
      <c r="C3630" s="17" t="s">
        <v>11</v>
      </c>
      <c r="D3630" s="17" t="s">
        <v>12</v>
      </c>
      <c r="E3630" s="17" t="s">
        <v>13</v>
      </c>
      <c r="F3630" s="16" t="s">
        <v>11251</v>
      </c>
    </row>
    <row r="3631" spans="1:6" x14ac:dyDescent="0.25">
      <c r="A3631" s="16" t="s">
        <v>11252</v>
      </c>
      <c r="B3631" s="17" t="s">
        <v>11253</v>
      </c>
      <c r="C3631" s="17" t="s">
        <v>11</v>
      </c>
      <c r="D3631" s="17" t="s">
        <v>12</v>
      </c>
      <c r="E3631" s="17" t="s">
        <v>13</v>
      </c>
      <c r="F3631" s="16" t="s">
        <v>11254</v>
      </c>
    </row>
    <row r="3632" spans="1:6" x14ac:dyDescent="0.25">
      <c r="A3632" s="16" t="s">
        <v>11255</v>
      </c>
      <c r="B3632" s="17" t="s">
        <v>11256</v>
      </c>
      <c r="C3632" s="17" t="s">
        <v>11</v>
      </c>
      <c r="D3632" s="17" t="s">
        <v>12</v>
      </c>
      <c r="E3632" s="17" t="s">
        <v>13</v>
      </c>
      <c r="F3632" s="16" t="s">
        <v>11257</v>
      </c>
    </row>
    <row r="3633" spans="1:6" x14ac:dyDescent="0.25">
      <c r="A3633" s="16" t="s">
        <v>11258</v>
      </c>
      <c r="B3633" s="17" t="s">
        <v>11259</v>
      </c>
      <c r="C3633" s="17" t="s">
        <v>11</v>
      </c>
      <c r="D3633" s="17" t="s">
        <v>12</v>
      </c>
      <c r="E3633" s="17" t="s">
        <v>13</v>
      </c>
      <c r="F3633" s="16" t="s">
        <v>11260</v>
      </c>
    </row>
    <row r="3634" spans="1:6" x14ac:dyDescent="0.25">
      <c r="A3634" s="16" t="s">
        <v>11261</v>
      </c>
      <c r="B3634" s="17" t="s">
        <v>11262</v>
      </c>
      <c r="C3634" s="17" t="s">
        <v>11</v>
      </c>
      <c r="D3634" s="17" t="s">
        <v>12</v>
      </c>
      <c r="E3634" s="17" t="s">
        <v>13</v>
      </c>
      <c r="F3634" s="16" t="s">
        <v>11263</v>
      </c>
    </row>
    <row r="3635" spans="1:6" x14ac:dyDescent="0.25">
      <c r="A3635" s="16" t="s">
        <v>11264</v>
      </c>
      <c r="B3635" s="17" t="s">
        <v>11265</v>
      </c>
      <c r="C3635" s="17" t="s">
        <v>11</v>
      </c>
      <c r="D3635" s="17" t="s">
        <v>12</v>
      </c>
      <c r="E3635" s="17" t="s">
        <v>13</v>
      </c>
      <c r="F3635" s="16" t="s">
        <v>11266</v>
      </c>
    </row>
    <row r="3636" spans="1:6" x14ac:dyDescent="0.25">
      <c r="A3636" s="16" t="s">
        <v>11267</v>
      </c>
      <c r="B3636" s="17" t="s">
        <v>11268</v>
      </c>
      <c r="C3636" s="17" t="s">
        <v>11</v>
      </c>
      <c r="D3636" s="17" t="s">
        <v>12</v>
      </c>
      <c r="E3636" s="17" t="s">
        <v>13</v>
      </c>
      <c r="F3636" s="16" t="s">
        <v>11269</v>
      </c>
    </row>
    <row r="3637" spans="1:6" x14ac:dyDescent="0.25">
      <c r="A3637" s="16" t="s">
        <v>11270</v>
      </c>
      <c r="B3637" s="17" t="s">
        <v>11271</v>
      </c>
      <c r="C3637" s="17" t="s">
        <v>11</v>
      </c>
      <c r="D3637" s="17" t="s">
        <v>12</v>
      </c>
      <c r="E3637" s="17" t="s">
        <v>13</v>
      </c>
      <c r="F3637" s="16" t="s">
        <v>11272</v>
      </c>
    </row>
    <row r="3638" spans="1:6" x14ac:dyDescent="0.25">
      <c r="A3638" s="16" t="s">
        <v>11273</v>
      </c>
      <c r="B3638" s="17" t="s">
        <v>11274</v>
      </c>
      <c r="C3638" s="17" t="s">
        <v>11</v>
      </c>
      <c r="D3638" s="17" t="s">
        <v>59</v>
      </c>
      <c r="E3638" s="17" t="s">
        <v>13</v>
      </c>
      <c r="F3638" s="16" t="s">
        <v>11275</v>
      </c>
    </row>
    <row r="3639" spans="1:6" x14ac:dyDescent="0.25">
      <c r="A3639" s="16" t="s">
        <v>11276</v>
      </c>
      <c r="B3639" s="17" t="s">
        <v>11277</v>
      </c>
      <c r="C3639" s="17" t="s">
        <v>11</v>
      </c>
      <c r="D3639" s="17" t="s">
        <v>83</v>
      </c>
      <c r="E3639" s="17" t="s">
        <v>20</v>
      </c>
      <c r="F3639" s="16" t="s">
        <v>11278</v>
      </c>
    </row>
    <row r="3640" spans="1:6" x14ac:dyDescent="0.25">
      <c r="A3640" s="16" t="s">
        <v>11279</v>
      </c>
      <c r="B3640" s="17" t="s">
        <v>11280</v>
      </c>
      <c r="C3640" s="17" t="s">
        <v>11</v>
      </c>
      <c r="D3640" s="17" t="s">
        <v>83</v>
      </c>
      <c r="E3640" s="17" t="s">
        <v>20</v>
      </c>
      <c r="F3640" s="16" t="s">
        <v>11281</v>
      </c>
    </row>
    <row r="3641" spans="1:6" x14ac:dyDescent="0.25">
      <c r="A3641" s="16" t="s">
        <v>11282</v>
      </c>
      <c r="B3641" s="17" t="s">
        <v>11283</v>
      </c>
      <c r="C3641" s="17" t="s">
        <v>11</v>
      </c>
      <c r="D3641" s="17" t="s">
        <v>32</v>
      </c>
      <c r="E3641" s="17" t="s">
        <v>20</v>
      </c>
      <c r="F3641" s="16" t="s">
        <v>11284</v>
      </c>
    </row>
    <row r="3642" spans="1:6" x14ac:dyDescent="0.25">
      <c r="A3642" s="16" t="s">
        <v>11285</v>
      </c>
      <c r="B3642" s="17" t="s">
        <v>11286</v>
      </c>
      <c r="C3642" s="17" t="s">
        <v>11</v>
      </c>
      <c r="D3642" s="17" t="s">
        <v>233</v>
      </c>
      <c r="E3642" s="17" t="s">
        <v>20</v>
      </c>
      <c r="F3642" s="16" t="s">
        <v>11287</v>
      </c>
    </row>
    <row r="3643" spans="1:6" x14ac:dyDescent="0.25">
      <c r="A3643" s="16" t="s">
        <v>11288</v>
      </c>
      <c r="B3643" s="17" t="s">
        <v>11289</v>
      </c>
      <c r="C3643" s="17" t="s">
        <v>11</v>
      </c>
      <c r="D3643" s="17" t="s">
        <v>83</v>
      </c>
      <c r="E3643" s="17" t="s">
        <v>20</v>
      </c>
      <c r="F3643" s="16" t="s">
        <v>11290</v>
      </c>
    </row>
    <row r="3644" spans="1:6" x14ac:dyDescent="0.25">
      <c r="A3644" s="16" t="s">
        <v>11291</v>
      </c>
      <c r="B3644" s="17" t="s">
        <v>11292</v>
      </c>
      <c r="C3644" s="17" t="s">
        <v>11</v>
      </c>
      <c r="D3644" s="17" t="s">
        <v>12</v>
      </c>
      <c r="E3644" s="17" t="s">
        <v>13</v>
      </c>
      <c r="F3644" s="16" t="s">
        <v>11293</v>
      </c>
    </row>
    <row r="3645" spans="1:6" x14ac:dyDescent="0.25">
      <c r="A3645" s="16" t="s">
        <v>11294</v>
      </c>
      <c r="B3645" s="17" t="s">
        <v>11295</v>
      </c>
      <c r="C3645" s="17" t="s">
        <v>11</v>
      </c>
      <c r="D3645" s="17" t="s">
        <v>12</v>
      </c>
      <c r="E3645" s="17" t="s">
        <v>13</v>
      </c>
      <c r="F3645" s="16" t="s">
        <v>11296</v>
      </c>
    </row>
    <row r="3646" spans="1:6" x14ac:dyDescent="0.25">
      <c r="A3646" s="16" t="s">
        <v>11297</v>
      </c>
      <c r="B3646" s="17" t="s">
        <v>11298</v>
      </c>
      <c r="C3646" s="17" t="s">
        <v>11</v>
      </c>
      <c r="D3646" s="17" t="s">
        <v>32</v>
      </c>
      <c r="E3646" s="17" t="s">
        <v>20</v>
      </c>
      <c r="F3646" s="16" t="s">
        <v>11299</v>
      </c>
    </row>
    <row r="3647" spans="1:6" x14ac:dyDescent="0.25">
      <c r="A3647" s="16" t="s">
        <v>11300</v>
      </c>
      <c r="B3647" s="17" t="s">
        <v>11301</v>
      </c>
      <c r="C3647" s="17" t="s">
        <v>11</v>
      </c>
      <c r="D3647" s="17" t="s">
        <v>12</v>
      </c>
      <c r="E3647" s="17" t="s">
        <v>13</v>
      </c>
      <c r="F3647" s="16" t="s">
        <v>11302</v>
      </c>
    </row>
    <row r="3648" spans="1:6" x14ac:dyDescent="0.25">
      <c r="A3648" s="16" t="s">
        <v>11303</v>
      </c>
      <c r="B3648" s="17" t="s">
        <v>11304</v>
      </c>
      <c r="C3648" s="17" t="s">
        <v>11</v>
      </c>
      <c r="D3648" s="17" t="s">
        <v>12</v>
      </c>
      <c r="E3648" s="17" t="s">
        <v>13</v>
      </c>
      <c r="F3648" s="16" t="s">
        <v>11305</v>
      </c>
    </row>
    <row r="3649" spans="1:6" x14ac:dyDescent="0.25">
      <c r="A3649" s="16" t="s">
        <v>11306</v>
      </c>
      <c r="B3649" s="17" t="s">
        <v>11307</v>
      </c>
      <c r="C3649" s="17" t="s">
        <v>11</v>
      </c>
      <c r="D3649" s="17" t="s">
        <v>32</v>
      </c>
      <c r="E3649" s="17" t="s">
        <v>20</v>
      </c>
      <c r="F3649" s="16" t="s">
        <v>11308</v>
      </c>
    </row>
    <row r="3650" spans="1:6" x14ac:dyDescent="0.25">
      <c r="A3650" s="16" t="s">
        <v>11309</v>
      </c>
      <c r="B3650" s="17" t="s">
        <v>11310</v>
      </c>
      <c r="C3650" s="17" t="s">
        <v>11</v>
      </c>
      <c r="D3650" s="17" t="s">
        <v>12</v>
      </c>
      <c r="E3650" s="17" t="s">
        <v>13</v>
      </c>
      <c r="F3650" s="16" t="s">
        <v>11311</v>
      </c>
    </row>
    <row r="3651" spans="1:6" x14ac:dyDescent="0.25">
      <c r="A3651" s="16" t="s">
        <v>11312</v>
      </c>
      <c r="B3651" s="17" t="s">
        <v>11313</v>
      </c>
      <c r="C3651" s="17" t="s">
        <v>11</v>
      </c>
      <c r="D3651" s="17" t="s">
        <v>12</v>
      </c>
      <c r="E3651" s="17" t="s">
        <v>13</v>
      </c>
      <c r="F3651" s="16" t="s">
        <v>11314</v>
      </c>
    </row>
    <row r="3652" spans="1:6" x14ac:dyDescent="0.25">
      <c r="A3652" s="16" t="s">
        <v>11315</v>
      </c>
      <c r="B3652" s="17" t="s">
        <v>11316</v>
      </c>
      <c r="C3652" s="17" t="s">
        <v>11</v>
      </c>
      <c r="D3652" s="17" t="s">
        <v>12</v>
      </c>
      <c r="E3652" s="17" t="s">
        <v>13</v>
      </c>
      <c r="F3652" s="16" t="s">
        <v>11317</v>
      </c>
    </row>
    <row r="3653" spans="1:6" x14ac:dyDescent="0.25">
      <c r="A3653" s="16" t="s">
        <v>11318</v>
      </c>
      <c r="B3653" s="17" t="s">
        <v>11319</v>
      </c>
      <c r="C3653" s="17" t="s">
        <v>11</v>
      </c>
      <c r="D3653" s="17" t="s">
        <v>12</v>
      </c>
      <c r="E3653" s="17" t="s">
        <v>13</v>
      </c>
      <c r="F3653" s="16" t="s">
        <v>11320</v>
      </c>
    </row>
    <row r="3654" spans="1:6" x14ac:dyDescent="0.25">
      <c r="A3654" s="16" t="s">
        <v>11321</v>
      </c>
      <c r="B3654" s="17" t="s">
        <v>11322</v>
      </c>
      <c r="C3654" s="17" t="s">
        <v>11</v>
      </c>
      <c r="D3654" s="17" t="s">
        <v>32</v>
      </c>
      <c r="E3654" s="17" t="s">
        <v>20</v>
      </c>
      <c r="F3654" s="16" t="s">
        <v>11323</v>
      </c>
    </row>
    <row r="3655" spans="1:6" x14ac:dyDescent="0.25">
      <c r="A3655" s="16" t="s">
        <v>11324</v>
      </c>
      <c r="B3655" s="17" t="s">
        <v>11325</v>
      </c>
      <c r="C3655" s="17" t="s">
        <v>11</v>
      </c>
      <c r="D3655" s="17" t="s">
        <v>12</v>
      </c>
      <c r="E3655" s="17" t="s">
        <v>13</v>
      </c>
      <c r="F3655" s="16" t="s">
        <v>11326</v>
      </c>
    </row>
    <row r="3656" spans="1:6" x14ac:dyDescent="0.25">
      <c r="A3656" s="16" t="s">
        <v>11327</v>
      </c>
      <c r="B3656" s="17" t="s">
        <v>11328</v>
      </c>
      <c r="C3656" s="17" t="s">
        <v>214</v>
      </c>
      <c r="D3656" s="17" t="s">
        <v>3346</v>
      </c>
      <c r="E3656" s="17" t="s">
        <v>20</v>
      </c>
      <c r="F3656" s="16" t="s">
        <v>11329</v>
      </c>
    </row>
    <row r="3657" spans="1:6" x14ac:dyDescent="0.25">
      <c r="A3657" s="16" t="s">
        <v>11330</v>
      </c>
      <c r="B3657" s="17" t="s">
        <v>11331</v>
      </c>
      <c r="C3657" s="17" t="s">
        <v>11</v>
      </c>
      <c r="D3657" s="17" t="s">
        <v>250</v>
      </c>
      <c r="E3657" s="17" t="s">
        <v>20</v>
      </c>
      <c r="F3657" s="16" t="s">
        <v>11332</v>
      </c>
    </row>
    <row r="3658" spans="1:6" x14ac:dyDescent="0.25">
      <c r="A3658" s="16" t="s">
        <v>11333</v>
      </c>
      <c r="B3658" s="17" t="s">
        <v>11334</v>
      </c>
      <c r="C3658" s="17" t="s">
        <v>11</v>
      </c>
      <c r="D3658" s="17" t="s">
        <v>32</v>
      </c>
      <c r="E3658" s="17" t="s">
        <v>20</v>
      </c>
      <c r="F3658" s="16" t="s">
        <v>11335</v>
      </c>
    </row>
    <row r="3659" spans="1:6" x14ac:dyDescent="0.25">
      <c r="A3659" s="16" t="s">
        <v>11336</v>
      </c>
      <c r="B3659" s="17" t="s">
        <v>11337</v>
      </c>
      <c r="C3659" s="17" t="s">
        <v>11</v>
      </c>
      <c r="D3659" s="17" t="s">
        <v>32</v>
      </c>
      <c r="E3659" s="17" t="s">
        <v>20</v>
      </c>
      <c r="F3659" s="16" t="s">
        <v>11338</v>
      </c>
    </row>
    <row r="3660" spans="1:6" x14ac:dyDescent="0.25">
      <c r="A3660" s="16" t="s">
        <v>11339</v>
      </c>
      <c r="B3660" s="17" t="s">
        <v>11340</v>
      </c>
      <c r="C3660" s="17" t="s">
        <v>11</v>
      </c>
      <c r="D3660" s="17" t="s">
        <v>12</v>
      </c>
      <c r="E3660" s="17" t="s">
        <v>13</v>
      </c>
      <c r="F3660" s="16" t="s">
        <v>11341</v>
      </c>
    </row>
    <row r="3661" spans="1:6" x14ac:dyDescent="0.25">
      <c r="A3661" s="16" t="s">
        <v>11342</v>
      </c>
      <c r="B3661" s="17" t="s">
        <v>11343</v>
      </c>
      <c r="C3661" s="17" t="s">
        <v>11</v>
      </c>
      <c r="D3661" s="17" t="s">
        <v>12</v>
      </c>
      <c r="E3661" s="17" t="s">
        <v>13</v>
      </c>
      <c r="F3661" s="16" t="s">
        <v>11344</v>
      </c>
    </row>
    <row r="3662" spans="1:6" x14ac:dyDescent="0.25">
      <c r="A3662" s="16" t="s">
        <v>11345</v>
      </c>
      <c r="B3662" s="17" t="s">
        <v>11346</v>
      </c>
      <c r="C3662" s="17" t="s">
        <v>11</v>
      </c>
      <c r="D3662" s="17" t="s">
        <v>32</v>
      </c>
      <c r="E3662" s="17" t="s">
        <v>20</v>
      </c>
      <c r="F3662" s="16" t="s">
        <v>11347</v>
      </c>
    </row>
    <row r="3663" spans="1:6" x14ac:dyDescent="0.25">
      <c r="A3663" s="16" t="s">
        <v>11348</v>
      </c>
      <c r="B3663" s="17" t="s">
        <v>11349</v>
      </c>
      <c r="C3663" s="17" t="s">
        <v>11</v>
      </c>
      <c r="D3663" s="17" t="s">
        <v>12</v>
      </c>
      <c r="E3663" s="17" t="s">
        <v>13</v>
      </c>
      <c r="F3663" s="16" t="s">
        <v>11350</v>
      </c>
    </row>
    <row r="3664" spans="1:6" x14ac:dyDescent="0.25">
      <c r="A3664" s="16" t="s">
        <v>11351</v>
      </c>
      <c r="B3664" s="17" t="s">
        <v>11352</v>
      </c>
      <c r="C3664" s="17" t="s">
        <v>11</v>
      </c>
      <c r="D3664" s="17" t="s">
        <v>12</v>
      </c>
      <c r="E3664" s="17" t="s">
        <v>13</v>
      </c>
      <c r="F3664" s="16" t="s">
        <v>11353</v>
      </c>
    </row>
    <row r="3665" spans="1:6" x14ac:dyDescent="0.25">
      <c r="A3665" s="16" t="s">
        <v>11354</v>
      </c>
      <c r="B3665" s="17" t="s">
        <v>11355</v>
      </c>
      <c r="C3665" s="17" t="s">
        <v>11</v>
      </c>
      <c r="D3665" s="17" t="s">
        <v>182</v>
      </c>
      <c r="E3665" s="17" t="s">
        <v>20</v>
      </c>
      <c r="F3665" s="16" t="s">
        <v>11356</v>
      </c>
    </row>
    <row r="3666" spans="1:6" x14ac:dyDescent="0.25">
      <c r="A3666" s="16" t="s">
        <v>11357</v>
      </c>
      <c r="B3666" s="17" t="s">
        <v>11358</v>
      </c>
      <c r="C3666" s="17" t="s">
        <v>11</v>
      </c>
      <c r="D3666" s="17" t="s">
        <v>12</v>
      </c>
      <c r="E3666" s="17" t="s">
        <v>13</v>
      </c>
      <c r="F3666" s="16" t="s">
        <v>11359</v>
      </c>
    </row>
    <row r="3667" spans="1:6" x14ac:dyDescent="0.25">
      <c r="A3667" s="16" t="s">
        <v>11360</v>
      </c>
      <c r="B3667" s="17" t="s">
        <v>11361</v>
      </c>
      <c r="C3667" s="17" t="s">
        <v>11</v>
      </c>
      <c r="D3667" s="17" t="s">
        <v>32</v>
      </c>
      <c r="E3667" s="17" t="s">
        <v>20</v>
      </c>
      <c r="F3667" s="16" t="s">
        <v>11362</v>
      </c>
    </row>
    <row r="3668" spans="1:6" x14ac:dyDescent="0.25">
      <c r="A3668" s="16" t="s">
        <v>11363</v>
      </c>
      <c r="B3668" s="17" t="s">
        <v>11364</v>
      </c>
      <c r="C3668" s="17" t="s">
        <v>11</v>
      </c>
      <c r="D3668" s="17" t="s">
        <v>12</v>
      </c>
      <c r="E3668" s="17" t="s">
        <v>13</v>
      </c>
      <c r="F3668" s="16" t="s">
        <v>11365</v>
      </c>
    </row>
    <row r="3669" spans="1:6" x14ac:dyDescent="0.25">
      <c r="A3669" s="16" t="s">
        <v>11366</v>
      </c>
      <c r="B3669" s="17" t="s">
        <v>11367</v>
      </c>
      <c r="C3669" s="17" t="s">
        <v>11</v>
      </c>
      <c r="D3669" s="17" t="s">
        <v>32</v>
      </c>
      <c r="E3669" s="17" t="s">
        <v>20</v>
      </c>
      <c r="F3669" s="16" t="s">
        <v>11368</v>
      </c>
    </row>
    <row r="3670" spans="1:6" x14ac:dyDescent="0.25">
      <c r="A3670" s="16" t="s">
        <v>11369</v>
      </c>
      <c r="B3670" s="17" t="s">
        <v>11370</v>
      </c>
      <c r="C3670" s="17" t="s">
        <v>11</v>
      </c>
      <c r="D3670" s="17" t="s">
        <v>12</v>
      </c>
      <c r="E3670" s="17" t="s">
        <v>13</v>
      </c>
      <c r="F3670" s="16" t="s">
        <v>11371</v>
      </c>
    </row>
    <row r="3671" spans="1:6" x14ac:dyDescent="0.25">
      <c r="A3671" s="16" t="s">
        <v>11372</v>
      </c>
      <c r="B3671" s="17" t="s">
        <v>11373</v>
      </c>
      <c r="C3671" s="17" t="s">
        <v>11</v>
      </c>
      <c r="D3671" s="17" t="s">
        <v>83</v>
      </c>
      <c r="E3671" s="17" t="s">
        <v>20</v>
      </c>
      <c r="F3671" s="16" t="s">
        <v>11374</v>
      </c>
    </row>
    <row r="3672" spans="1:6" x14ac:dyDescent="0.25">
      <c r="A3672" s="16" t="s">
        <v>11375</v>
      </c>
      <c r="B3672" s="17" t="s">
        <v>11376</v>
      </c>
      <c r="C3672" s="17" t="s">
        <v>11</v>
      </c>
      <c r="D3672" s="17" t="s">
        <v>32</v>
      </c>
      <c r="E3672" s="17" t="s">
        <v>20</v>
      </c>
      <c r="F3672" s="16" t="s">
        <v>11377</v>
      </c>
    </row>
    <row r="3673" spans="1:6" x14ac:dyDescent="0.25">
      <c r="A3673" s="16" t="s">
        <v>11378</v>
      </c>
      <c r="B3673" s="17" t="s">
        <v>11379</v>
      </c>
      <c r="C3673" s="17" t="s">
        <v>11</v>
      </c>
      <c r="D3673" s="17" t="s">
        <v>12</v>
      </c>
      <c r="E3673" s="17" t="s">
        <v>13</v>
      </c>
      <c r="F3673" s="16" t="s">
        <v>11380</v>
      </c>
    </row>
    <row r="3674" spans="1:6" x14ac:dyDescent="0.25">
      <c r="A3674" s="16" t="s">
        <v>11381</v>
      </c>
      <c r="B3674" s="17" t="s">
        <v>11382</v>
      </c>
      <c r="C3674" s="17" t="s">
        <v>11</v>
      </c>
      <c r="D3674" s="17" t="s">
        <v>59</v>
      </c>
      <c r="E3674" s="17" t="s">
        <v>13</v>
      </c>
      <c r="F3674" s="16" t="s">
        <v>11383</v>
      </c>
    </row>
    <row r="3675" spans="1:6" x14ac:dyDescent="0.25">
      <c r="A3675" s="16" t="s">
        <v>11384</v>
      </c>
      <c r="B3675" s="17" t="s">
        <v>11385</v>
      </c>
      <c r="C3675" s="17" t="s">
        <v>11</v>
      </c>
      <c r="D3675" s="17" t="s">
        <v>12</v>
      </c>
      <c r="E3675" s="17" t="s">
        <v>13</v>
      </c>
      <c r="F3675" s="16" t="s">
        <v>11386</v>
      </c>
    </row>
    <row r="3676" spans="1:6" x14ac:dyDescent="0.25">
      <c r="A3676" s="16" t="s">
        <v>11387</v>
      </c>
      <c r="B3676" s="17" t="s">
        <v>11388</v>
      </c>
      <c r="C3676" s="17" t="s">
        <v>11</v>
      </c>
      <c r="D3676" s="17" t="s">
        <v>83</v>
      </c>
      <c r="E3676" s="17" t="s">
        <v>20</v>
      </c>
      <c r="F3676" s="16" t="s">
        <v>11389</v>
      </c>
    </row>
    <row r="3677" spans="1:6" x14ac:dyDescent="0.25">
      <c r="A3677" s="16" t="s">
        <v>11390</v>
      </c>
      <c r="B3677" s="17" t="s">
        <v>11391</v>
      </c>
      <c r="C3677" s="17" t="s">
        <v>11</v>
      </c>
      <c r="D3677" s="17" t="s">
        <v>59</v>
      </c>
      <c r="E3677" s="17" t="s">
        <v>13</v>
      </c>
      <c r="F3677" s="16" t="s">
        <v>11392</v>
      </c>
    </row>
    <row r="3678" spans="1:6" x14ac:dyDescent="0.25">
      <c r="A3678" s="16" t="s">
        <v>11393</v>
      </c>
      <c r="B3678" s="17" t="s">
        <v>11394</v>
      </c>
      <c r="C3678" s="17" t="s">
        <v>11</v>
      </c>
      <c r="D3678" s="17" t="s">
        <v>32</v>
      </c>
      <c r="E3678" s="17" t="s">
        <v>20</v>
      </c>
      <c r="F3678" s="16" t="s">
        <v>11395</v>
      </c>
    </row>
    <row r="3679" spans="1:6" x14ac:dyDescent="0.25">
      <c r="A3679" s="16" t="s">
        <v>11396</v>
      </c>
      <c r="B3679" s="17" t="s">
        <v>11397</v>
      </c>
      <c r="C3679" s="17" t="s">
        <v>11</v>
      </c>
      <c r="D3679" s="17" t="s">
        <v>12</v>
      </c>
      <c r="E3679" s="17" t="s">
        <v>13</v>
      </c>
      <c r="F3679" s="16" t="s">
        <v>11398</v>
      </c>
    </row>
    <row r="3680" spans="1:6" x14ac:dyDescent="0.25">
      <c r="A3680" s="16" t="s">
        <v>11399</v>
      </c>
      <c r="B3680" s="17" t="s">
        <v>11400</v>
      </c>
      <c r="C3680" s="17" t="s">
        <v>11</v>
      </c>
      <c r="D3680" s="17" t="s">
        <v>59</v>
      </c>
      <c r="E3680" s="17" t="s">
        <v>13</v>
      </c>
      <c r="F3680" s="16" t="s">
        <v>11401</v>
      </c>
    </row>
    <row r="3681" spans="1:6" x14ac:dyDescent="0.25">
      <c r="A3681" s="16" t="s">
        <v>11402</v>
      </c>
      <c r="B3681" s="17" t="s">
        <v>11403</v>
      </c>
      <c r="C3681" s="17" t="s">
        <v>11</v>
      </c>
      <c r="D3681" s="17" t="s">
        <v>12</v>
      </c>
      <c r="E3681" s="17" t="s">
        <v>13</v>
      </c>
      <c r="F3681" s="16" t="s">
        <v>11404</v>
      </c>
    </row>
    <row r="3682" spans="1:6" x14ac:dyDescent="0.25">
      <c r="A3682" s="16" t="s">
        <v>11405</v>
      </c>
      <c r="B3682" s="17" t="s">
        <v>11406</v>
      </c>
      <c r="C3682" s="17" t="s">
        <v>11</v>
      </c>
      <c r="D3682" s="17" t="s">
        <v>12</v>
      </c>
      <c r="E3682" s="17" t="s">
        <v>13</v>
      </c>
      <c r="F3682" s="16" t="s">
        <v>11407</v>
      </c>
    </row>
    <row r="3683" spans="1:6" x14ac:dyDescent="0.25">
      <c r="A3683" s="16" t="s">
        <v>11408</v>
      </c>
      <c r="B3683" s="17" t="s">
        <v>11409</v>
      </c>
      <c r="C3683" s="17" t="s">
        <v>11</v>
      </c>
      <c r="D3683" s="17" t="s">
        <v>12</v>
      </c>
      <c r="E3683" s="17" t="s">
        <v>13</v>
      </c>
      <c r="F3683" s="16" t="s">
        <v>11410</v>
      </c>
    </row>
    <row r="3684" spans="1:6" x14ac:dyDescent="0.25">
      <c r="A3684" s="16" t="s">
        <v>11411</v>
      </c>
      <c r="B3684" s="17" t="s">
        <v>11412</v>
      </c>
      <c r="C3684" s="17" t="s">
        <v>11</v>
      </c>
      <c r="D3684" s="17" t="s">
        <v>80</v>
      </c>
      <c r="E3684" s="17" t="s">
        <v>20</v>
      </c>
      <c r="F3684" s="16" t="s">
        <v>11413</v>
      </c>
    </row>
    <row r="3685" spans="1:6" x14ac:dyDescent="0.25">
      <c r="A3685" s="16" t="s">
        <v>11414</v>
      </c>
      <c r="B3685" s="17" t="s">
        <v>11415</v>
      </c>
      <c r="C3685" s="17" t="s">
        <v>11</v>
      </c>
      <c r="D3685" s="17" t="s">
        <v>32</v>
      </c>
      <c r="E3685" s="17" t="s">
        <v>20</v>
      </c>
      <c r="F3685" s="16" t="s">
        <v>11416</v>
      </c>
    </row>
    <row r="3686" spans="1:6" x14ac:dyDescent="0.25">
      <c r="A3686" s="16" t="s">
        <v>11417</v>
      </c>
      <c r="B3686" s="17" t="s">
        <v>11418</v>
      </c>
      <c r="C3686" s="17" t="s">
        <v>11</v>
      </c>
      <c r="D3686" s="17" t="s">
        <v>32</v>
      </c>
      <c r="E3686" s="17" t="s">
        <v>20</v>
      </c>
      <c r="F3686" s="16" t="s">
        <v>11419</v>
      </c>
    </row>
    <row r="3687" spans="1:6" x14ac:dyDescent="0.25">
      <c r="A3687" s="16" t="s">
        <v>11420</v>
      </c>
      <c r="B3687" s="17" t="s">
        <v>11421</v>
      </c>
      <c r="C3687" s="17" t="s">
        <v>11</v>
      </c>
      <c r="D3687" s="17" t="s">
        <v>12</v>
      </c>
      <c r="E3687" s="17" t="s">
        <v>13</v>
      </c>
      <c r="F3687" s="16" t="s">
        <v>11422</v>
      </c>
    </row>
    <row r="3688" spans="1:6" x14ac:dyDescent="0.25">
      <c r="A3688" s="16" t="s">
        <v>11423</v>
      </c>
      <c r="B3688" s="17" t="s">
        <v>11424</v>
      </c>
      <c r="C3688" s="17" t="s">
        <v>11</v>
      </c>
      <c r="D3688" s="17" t="s">
        <v>12</v>
      </c>
      <c r="E3688" s="17" t="s">
        <v>13</v>
      </c>
      <c r="F3688" s="16" t="s">
        <v>11425</v>
      </c>
    </row>
    <row r="3689" spans="1:6" x14ac:dyDescent="0.25">
      <c r="A3689" s="16" t="s">
        <v>11426</v>
      </c>
      <c r="B3689" s="17" t="s">
        <v>11427</v>
      </c>
      <c r="C3689" s="17" t="s">
        <v>11</v>
      </c>
      <c r="D3689" s="17" t="s">
        <v>83</v>
      </c>
      <c r="E3689" s="17" t="s">
        <v>20</v>
      </c>
      <c r="F3689" s="16" t="s">
        <v>11428</v>
      </c>
    </row>
    <row r="3690" spans="1:6" x14ac:dyDescent="0.25">
      <c r="A3690" s="16" t="s">
        <v>11429</v>
      </c>
      <c r="B3690" s="17" t="s">
        <v>11430</v>
      </c>
      <c r="C3690" s="17" t="s">
        <v>11</v>
      </c>
      <c r="D3690" s="17" t="s">
        <v>186</v>
      </c>
      <c r="E3690" s="17" t="s">
        <v>20</v>
      </c>
      <c r="F3690" s="16" t="s">
        <v>11431</v>
      </c>
    </row>
    <row r="3691" spans="1:6" x14ac:dyDescent="0.25">
      <c r="A3691" s="16" t="s">
        <v>11432</v>
      </c>
      <c r="B3691" s="17" t="s">
        <v>11433</v>
      </c>
      <c r="C3691" s="17" t="s">
        <v>11</v>
      </c>
      <c r="D3691" s="17" t="s">
        <v>12</v>
      </c>
      <c r="E3691" s="17" t="s">
        <v>13</v>
      </c>
      <c r="F3691" s="16" t="s">
        <v>11434</v>
      </c>
    </row>
    <row r="3692" spans="1:6" x14ac:dyDescent="0.25">
      <c r="A3692" s="16" t="s">
        <v>11435</v>
      </c>
      <c r="B3692" s="17" t="s">
        <v>11436</v>
      </c>
      <c r="C3692" s="17" t="s">
        <v>11</v>
      </c>
      <c r="D3692" s="17" t="s">
        <v>26</v>
      </c>
      <c r="E3692" s="17" t="s">
        <v>20</v>
      </c>
      <c r="F3692" s="16" t="s">
        <v>11437</v>
      </c>
    </row>
    <row r="3693" spans="1:6" x14ac:dyDescent="0.25">
      <c r="A3693" s="16" t="s">
        <v>11438</v>
      </c>
      <c r="B3693" s="17" t="s">
        <v>11439</v>
      </c>
      <c r="C3693" s="17" t="s">
        <v>11</v>
      </c>
      <c r="D3693" s="17" t="s">
        <v>59</v>
      </c>
      <c r="E3693" s="17" t="s">
        <v>13</v>
      </c>
      <c r="F3693" s="16" t="s">
        <v>11440</v>
      </c>
    </row>
    <row r="3694" spans="1:6" x14ac:dyDescent="0.25">
      <c r="A3694" s="16" t="s">
        <v>11441</v>
      </c>
      <c r="B3694" s="17" t="s">
        <v>11442</v>
      </c>
      <c r="C3694" s="17" t="s">
        <v>11</v>
      </c>
      <c r="D3694" s="17" t="s">
        <v>59</v>
      </c>
      <c r="E3694" s="17" t="s">
        <v>13</v>
      </c>
      <c r="F3694" s="16" t="s">
        <v>11443</v>
      </c>
    </row>
    <row r="3695" spans="1:6" x14ac:dyDescent="0.25">
      <c r="A3695" s="16" t="s">
        <v>11444</v>
      </c>
      <c r="B3695" s="17" t="s">
        <v>11445</v>
      </c>
      <c r="C3695" s="17" t="s">
        <v>11</v>
      </c>
      <c r="D3695" s="17" t="s">
        <v>12</v>
      </c>
      <c r="E3695" s="17" t="s">
        <v>13</v>
      </c>
      <c r="F3695" s="16" t="s">
        <v>11446</v>
      </c>
    </row>
    <row r="3696" spans="1:6" x14ac:dyDescent="0.25">
      <c r="A3696" s="16" t="s">
        <v>11447</v>
      </c>
      <c r="B3696" s="17" t="s">
        <v>11448</v>
      </c>
      <c r="C3696" s="17" t="s">
        <v>11</v>
      </c>
      <c r="D3696" s="17" t="s">
        <v>12</v>
      </c>
      <c r="E3696" s="17" t="s">
        <v>13</v>
      </c>
      <c r="F3696" s="16" t="s">
        <v>11449</v>
      </c>
    </row>
    <row r="3697" spans="1:6" x14ac:dyDescent="0.25">
      <c r="A3697" s="16" t="s">
        <v>11450</v>
      </c>
      <c r="B3697" s="17" t="s">
        <v>11451</v>
      </c>
      <c r="C3697" s="17" t="s">
        <v>11</v>
      </c>
      <c r="D3697" s="17" t="s">
        <v>80</v>
      </c>
      <c r="E3697" s="17" t="s">
        <v>20</v>
      </c>
      <c r="F3697" s="16" t="s">
        <v>11452</v>
      </c>
    </row>
    <row r="3698" spans="1:6" x14ac:dyDescent="0.25">
      <c r="A3698" s="16" t="s">
        <v>11453</v>
      </c>
      <c r="B3698" s="17" t="s">
        <v>11454</v>
      </c>
      <c r="C3698" s="17" t="s">
        <v>11</v>
      </c>
      <c r="D3698" s="17" t="s">
        <v>83</v>
      </c>
      <c r="E3698" s="17" t="s">
        <v>20</v>
      </c>
      <c r="F3698" s="16" t="s">
        <v>11455</v>
      </c>
    </row>
    <row r="3699" spans="1:6" x14ac:dyDescent="0.25">
      <c r="A3699" s="16" t="s">
        <v>11456</v>
      </c>
      <c r="B3699" s="17" t="s">
        <v>11457</v>
      </c>
      <c r="C3699" s="17" t="s">
        <v>11</v>
      </c>
      <c r="D3699" s="17" t="s">
        <v>12</v>
      </c>
      <c r="E3699" s="17" t="s">
        <v>13</v>
      </c>
      <c r="F3699" s="16" t="s">
        <v>11458</v>
      </c>
    </row>
    <row r="3700" spans="1:6" x14ac:dyDescent="0.25">
      <c r="A3700" s="16" t="s">
        <v>11459</v>
      </c>
      <c r="B3700" s="17" t="s">
        <v>11460</v>
      </c>
      <c r="C3700" s="17" t="s">
        <v>11</v>
      </c>
      <c r="D3700" s="17" t="s">
        <v>32</v>
      </c>
      <c r="E3700" s="17" t="s">
        <v>20</v>
      </c>
      <c r="F3700" s="16" t="s">
        <v>11461</v>
      </c>
    </row>
    <row r="3701" spans="1:6" x14ac:dyDescent="0.25">
      <c r="A3701" s="16" t="s">
        <v>11462</v>
      </c>
      <c r="B3701" s="17" t="s">
        <v>11463</v>
      </c>
      <c r="C3701" s="17" t="s">
        <v>11</v>
      </c>
      <c r="D3701" s="17" t="s">
        <v>182</v>
      </c>
      <c r="E3701" s="17" t="s">
        <v>20</v>
      </c>
      <c r="F3701" s="16" t="s">
        <v>11464</v>
      </c>
    </row>
    <row r="3702" spans="1:6" x14ac:dyDescent="0.25">
      <c r="A3702" s="16" t="s">
        <v>11465</v>
      </c>
      <c r="B3702" s="17" t="s">
        <v>11466</v>
      </c>
      <c r="C3702" s="17" t="s">
        <v>11</v>
      </c>
      <c r="D3702" s="17" t="s">
        <v>32</v>
      </c>
      <c r="E3702" s="17" t="s">
        <v>20</v>
      </c>
      <c r="F3702" s="16" t="s">
        <v>11467</v>
      </c>
    </row>
    <row r="3703" spans="1:6" x14ac:dyDescent="0.25">
      <c r="A3703" s="16" t="s">
        <v>11468</v>
      </c>
      <c r="B3703" s="17" t="s">
        <v>11469</v>
      </c>
      <c r="C3703" s="17" t="s">
        <v>11</v>
      </c>
      <c r="D3703" s="17" t="s">
        <v>12</v>
      </c>
      <c r="E3703" s="17" t="s">
        <v>13</v>
      </c>
      <c r="F3703" s="16" t="s">
        <v>11470</v>
      </c>
    </row>
    <row r="3704" spans="1:6" x14ac:dyDescent="0.25">
      <c r="A3704" s="16" t="s">
        <v>11471</v>
      </c>
      <c r="B3704" s="17" t="s">
        <v>11472</v>
      </c>
      <c r="C3704" s="17" t="s">
        <v>11</v>
      </c>
      <c r="D3704" s="17" t="s">
        <v>12</v>
      </c>
      <c r="E3704" s="17" t="s">
        <v>13</v>
      </c>
      <c r="F3704" s="16" t="s">
        <v>11473</v>
      </c>
    </row>
    <row r="3705" spans="1:6" x14ac:dyDescent="0.25">
      <c r="A3705" s="16" t="s">
        <v>11474</v>
      </c>
      <c r="B3705" s="17" t="s">
        <v>11475</v>
      </c>
      <c r="C3705" s="17" t="s">
        <v>11</v>
      </c>
      <c r="D3705" s="17" t="s">
        <v>12</v>
      </c>
      <c r="E3705" s="17" t="s">
        <v>13</v>
      </c>
      <c r="F3705" s="16" t="s">
        <v>11476</v>
      </c>
    </row>
    <row r="3706" spans="1:6" x14ac:dyDescent="0.25">
      <c r="A3706" s="16" t="s">
        <v>11477</v>
      </c>
      <c r="B3706" s="17" t="s">
        <v>11478</v>
      </c>
      <c r="C3706" s="17" t="s">
        <v>11</v>
      </c>
      <c r="D3706" s="17" t="s">
        <v>12</v>
      </c>
      <c r="E3706" s="17" t="s">
        <v>13</v>
      </c>
      <c r="F3706" s="16" t="s">
        <v>11479</v>
      </c>
    </row>
    <row r="3707" spans="1:6" x14ac:dyDescent="0.25">
      <c r="A3707" s="16" t="s">
        <v>11480</v>
      </c>
      <c r="B3707" s="17" t="s">
        <v>11481</v>
      </c>
      <c r="C3707" s="17" t="s">
        <v>11</v>
      </c>
      <c r="D3707" s="17" t="s">
        <v>12</v>
      </c>
      <c r="E3707" s="17" t="s">
        <v>13</v>
      </c>
      <c r="F3707" s="16" t="s">
        <v>11482</v>
      </c>
    </row>
    <row r="3708" spans="1:6" x14ac:dyDescent="0.25">
      <c r="A3708" s="16" t="s">
        <v>11483</v>
      </c>
      <c r="B3708" s="17" t="s">
        <v>11484</v>
      </c>
      <c r="C3708" s="17" t="s">
        <v>11</v>
      </c>
      <c r="D3708" s="17" t="s">
        <v>12</v>
      </c>
      <c r="E3708" s="17" t="s">
        <v>13</v>
      </c>
      <c r="F3708" s="16" t="s">
        <v>11485</v>
      </c>
    </row>
    <row r="3709" spans="1:6" x14ac:dyDescent="0.25">
      <c r="A3709" s="16" t="s">
        <v>11486</v>
      </c>
      <c r="B3709" s="17" t="s">
        <v>11487</v>
      </c>
      <c r="C3709" s="17" t="s">
        <v>11</v>
      </c>
      <c r="D3709" s="17" t="s">
        <v>12</v>
      </c>
      <c r="E3709" s="17" t="s">
        <v>13</v>
      </c>
      <c r="F3709" s="16" t="s">
        <v>11488</v>
      </c>
    </row>
    <row r="3710" spans="1:6" x14ac:dyDescent="0.25">
      <c r="A3710" s="16" t="s">
        <v>11489</v>
      </c>
      <c r="B3710" s="17" t="s">
        <v>11490</v>
      </c>
      <c r="C3710" s="17" t="s">
        <v>214</v>
      </c>
      <c r="D3710" s="17" t="s">
        <v>74</v>
      </c>
      <c r="E3710" s="17" t="s">
        <v>20</v>
      </c>
      <c r="F3710" s="16" t="s">
        <v>11491</v>
      </c>
    </row>
    <row r="3711" spans="1:6" x14ac:dyDescent="0.25">
      <c r="A3711" s="16" t="s">
        <v>11492</v>
      </c>
      <c r="B3711" s="17" t="s">
        <v>11493</v>
      </c>
      <c r="C3711" s="17" t="s">
        <v>11</v>
      </c>
      <c r="D3711" s="17" t="s">
        <v>12</v>
      </c>
      <c r="E3711" s="17" t="s">
        <v>13</v>
      </c>
      <c r="F3711" s="16" t="s">
        <v>11494</v>
      </c>
    </row>
    <row r="3712" spans="1:6" x14ac:dyDescent="0.25">
      <c r="A3712" s="16" t="s">
        <v>11495</v>
      </c>
      <c r="B3712" s="17" t="s">
        <v>11496</v>
      </c>
      <c r="C3712" s="17" t="s">
        <v>11</v>
      </c>
      <c r="D3712" s="17" t="s">
        <v>74</v>
      </c>
      <c r="E3712" s="17" t="s">
        <v>20</v>
      </c>
      <c r="F3712" s="16" t="s">
        <v>11497</v>
      </c>
    </row>
    <row r="3713" spans="1:6" x14ac:dyDescent="0.25">
      <c r="A3713" s="16" t="s">
        <v>11498</v>
      </c>
      <c r="B3713" s="17" t="s">
        <v>11499</v>
      </c>
      <c r="C3713" s="17" t="s">
        <v>11</v>
      </c>
      <c r="D3713" s="17" t="s">
        <v>32</v>
      </c>
      <c r="E3713" s="17" t="s">
        <v>20</v>
      </c>
      <c r="F3713" s="16" t="s">
        <v>11500</v>
      </c>
    </row>
    <row r="3714" spans="1:6" x14ac:dyDescent="0.25">
      <c r="A3714" s="16" t="s">
        <v>11501</v>
      </c>
      <c r="B3714" s="17" t="s">
        <v>11502</v>
      </c>
      <c r="C3714" s="17" t="s">
        <v>11</v>
      </c>
      <c r="D3714" s="17" t="s">
        <v>12</v>
      </c>
      <c r="E3714" s="17" t="s">
        <v>13</v>
      </c>
      <c r="F3714" s="16" t="s">
        <v>11503</v>
      </c>
    </row>
    <row r="3715" spans="1:6" x14ac:dyDescent="0.25">
      <c r="A3715" s="16" t="s">
        <v>11504</v>
      </c>
      <c r="B3715" s="17" t="s">
        <v>11505</v>
      </c>
      <c r="C3715" s="17" t="s">
        <v>11</v>
      </c>
      <c r="D3715" s="17" t="s">
        <v>32</v>
      </c>
      <c r="E3715" s="17" t="s">
        <v>20</v>
      </c>
      <c r="F3715" s="16" t="s">
        <v>11506</v>
      </c>
    </row>
    <row r="3716" spans="1:6" x14ac:dyDescent="0.25">
      <c r="A3716" s="16" t="s">
        <v>11507</v>
      </c>
      <c r="B3716" s="17" t="s">
        <v>11508</v>
      </c>
      <c r="C3716" s="17" t="s">
        <v>11</v>
      </c>
      <c r="D3716" s="17" t="s">
        <v>83</v>
      </c>
      <c r="E3716" s="17" t="s">
        <v>20</v>
      </c>
      <c r="F3716" s="16" t="s">
        <v>11509</v>
      </c>
    </row>
    <row r="3717" spans="1:6" x14ac:dyDescent="0.25">
      <c r="A3717" s="16" t="s">
        <v>11510</v>
      </c>
      <c r="B3717" s="17" t="s">
        <v>11511</v>
      </c>
      <c r="C3717" s="17" t="s">
        <v>11</v>
      </c>
      <c r="D3717" s="17" t="s">
        <v>89</v>
      </c>
      <c r="E3717" s="17" t="s">
        <v>20</v>
      </c>
      <c r="F3717" s="16" t="s">
        <v>11512</v>
      </c>
    </row>
    <row r="3718" spans="1:6" x14ac:dyDescent="0.25">
      <c r="A3718" s="16" t="s">
        <v>11513</v>
      </c>
      <c r="B3718" s="17" t="s">
        <v>11514</v>
      </c>
      <c r="C3718" s="17" t="s">
        <v>11</v>
      </c>
      <c r="D3718" s="17" t="s">
        <v>59</v>
      </c>
      <c r="E3718" s="17" t="s">
        <v>13</v>
      </c>
      <c r="F3718" s="16" t="s">
        <v>11515</v>
      </c>
    </row>
    <row r="3719" spans="1:6" x14ac:dyDescent="0.25">
      <c r="A3719" s="16" t="s">
        <v>11516</v>
      </c>
      <c r="B3719" s="17" t="s">
        <v>11517</v>
      </c>
      <c r="C3719" s="17" t="s">
        <v>11</v>
      </c>
      <c r="D3719" s="17" t="s">
        <v>32</v>
      </c>
      <c r="E3719" s="17" t="s">
        <v>20</v>
      </c>
      <c r="F3719" s="16" t="s">
        <v>11518</v>
      </c>
    </row>
    <row r="3720" spans="1:6" x14ac:dyDescent="0.25">
      <c r="A3720" s="16" t="s">
        <v>11519</v>
      </c>
      <c r="B3720" s="17" t="s">
        <v>11520</v>
      </c>
      <c r="C3720" s="17" t="s">
        <v>11</v>
      </c>
      <c r="D3720" s="17" t="s">
        <v>186</v>
      </c>
      <c r="E3720" s="17" t="s">
        <v>20</v>
      </c>
      <c r="F3720" s="16" t="s">
        <v>11521</v>
      </c>
    </row>
    <row r="3721" spans="1:6" x14ac:dyDescent="0.25">
      <c r="A3721" s="16" t="s">
        <v>11522</v>
      </c>
      <c r="B3721" s="17" t="s">
        <v>11523</v>
      </c>
      <c r="C3721" s="17" t="s">
        <v>11</v>
      </c>
      <c r="D3721" s="17" t="s">
        <v>32</v>
      </c>
      <c r="E3721" s="17" t="s">
        <v>20</v>
      </c>
      <c r="F3721" s="16" t="s">
        <v>11524</v>
      </c>
    </row>
    <row r="3722" spans="1:6" x14ac:dyDescent="0.25">
      <c r="A3722" s="16" t="s">
        <v>11525</v>
      </c>
      <c r="B3722" s="17" t="s">
        <v>11526</v>
      </c>
      <c r="C3722" s="17" t="s">
        <v>11</v>
      </c>
      <c r="D3722" s="17" t="s">
        <v>182</v>
      </c>
      <c r="E3722" s="17" t="s">
        <v>20</v>
      </c>
      <c r="F3722" s="16" t="s">
        <v>11527</v>
      </c>
    </row>
    <row r="3723" spans="1:6" x14ac:dyDescent="0.25">
      <c r="A3723" s="16" t="s">
        <v>11528</v>
      </c>
      <c r="B3723" s="17" t="s">
        <v>11529</v>
      </c>
      <c r="C3723" s="17" t="s">
        <v>11</v>
      </c>
      <c r="D3723" s="17" t="s">
        <v>182</v>
      </c>
      <c r="E3723" s="17" t="s">
        <v>20</v>
      </c>
      <c r="F3723" s="16" t="s">
        <v>11530</v>
      </c>
    </row>
    <row r="3724" spans="1:6" x14ac:dyDescent="0.25">
      <c r="A3724" s="16" t="s">
        <v>11531</v>
      </c>
      <c r="B3724" s="17" t="s">
        <v>11532</v>
      </c>
      <c r="C3724" s="17" t="s">
        <v>11</v>
      </c>
      <c r="D3724" s="17" t="s">
        <v>12</v>
      </c>
      <c r="E3724" s="17" t="s">
        <v>13</v>
      </c>
      <c r="F3724" s="16" t="s">
        <v>11533</v>
      </c>
    </row>
    <row r="3725" spans="1:6" x14ac:dyDescent="0.25">
      <c r="A3725" s="16" t="s">
        <v>11534</v>
      </c>
      <c r="B3725" s="17" t="s">
        <v>11535</v>
      </c>
      <c r="C3725" s="17" t="s">
        <v>11</v>
      </c>
      <c r="D3725" s="17" t="s">
        <v>32</v>
      </c>
      <c r="E3725" s="17" t="s">
        <v>20</v>
      </c>
      <c r="F3725" s="16" t="s">
        <v>11536</v>
      </c>
    </row>
    <row r="3726" spans="1:6" x14ac:dyDescent="0.25">
      <c r="A3726" s="16" t="s">
        <v>11537</v>
      </c>
      <c r="B3726" s="17" t="s">
        <v>11538</v>
      </c>
      <c r="C3726" s="17" t="s">
        <v>11</v>
      </c>
      <c r="D3726" s="17" t="s">
        <v>12</v>
      </c>
      <c r="E3726" s="17" t="s">
        <v>13</v>
      </c>
      <c r="F3726" s="16" t="s">
        <v>11539</v>
      </c>
    </row>
    <row r="3727" spans="1:6" x14ac:dyDescent="0.25">
      <c r="A3727" s="16" t="s">
        <v>11540</v>
      </c>
      <c r="B3727" s="17" t="s">
        <v>11541</v>
      </c>
      <c r="C3727" s="17" t="s">
        <v>11</v>
      </c>
      <c r="D3727" s="17" t="s">
        <v>32</v>
      </c>
      <c r="E3727" s="17" t="s">
        <v>20</v>
      </c>
      <c r="F3727" s="16" t="s">
        <v>11542</v>
      </c>
    </row>
    <row r="3728" spans="1:6" x14ac:dyDescent="0.25">
      <c r="A3728" s="16" t="s">
        <v>11543</v>
      </c>
      <c r="B3728" s="17" t="s">
        <v>11544</v>
      </c>
      <c r="C3728" s="17" t="s">
        <v>11</v>
      </c>
      <c r="D3728" s="17" t="s">
        <v>80</v>
      </c>
      <c r="E3728" s="17" t="s">
        <v>20</v>
      </c>
      <c r="F3728" s="16" t="s">
        <v>11545</v>
      </c>
    </row>
    <row r="3729" spans="1:6" x14ac:dyDescent="0.25">
      <c r="A3729" s="16" t="s">
        <v>11546</v>
      </c>
      <c r="B3729" s="17" t="s">
        <v>11547</v>
      </c>
      <c r="C3729" s="17" t="s">
        <v>11</v>
      </c>
      <c r="D3729" s="17" t="s">
        <v>570</v>
      </c>
      <c r="E3729" s="17" t="s">
        <v>20</v>
      </c>
      <c r="F3729" s="16" t="s">
        <v>11548</v>
      </c>
    </row>
    <row r="3730" spans="1:6" x14ac:dyDescent="0.25">
      <c r="A3730" s="16" t="s">
        <v>11549</v>
      </c>
      <c r="B3730" s="17" t="s">
        <v>11550</v>
      </c>
      <c r="C3730" s="17" t="s">
        <v>11</v>
      </c>
      <c r="D3730" s="17" t="s">
        <v>12</v>
      </c>
      <c r="E3730" s="17" t="s">
        <v>13</v>
      </c>
      <c r="F3730" s="16" t="s">
        <v>11551</v>
      </c>
    </row>
    <row r="3731" spans="1:6" x14ac:dyDescent="0.25">
      <c r="A3731" s="16" t="s">
        <v>11552</v>
      </c>
      <c r="B3731" s="17" t="s">
        <v>11553</v>
      </c>
      <c r="C3731" s="17" t="s">
        <v>11</v>
      </c>
      <c r="D3731" s="17" t="s">
        <v>83</v>
      </c>
      <c r="E3731" s="17" t="s">
        <v>20</v>
      </c>
      <c r="F3731" s="16" t="s">
        <v>11554</v>
      </c>
    </row>
    <row r="3732" spans="1:6" x14ac:dyDescent="0.25">
      <c r="A3732" s="16" t="s">
        <v>11555</v>
      </c>
      <c r="B3732" s="17" t="s">
        <v>11556</v>
      </c>
      <c r="C3732" s="17" t="s">
        <v>11</v>
      </c>
      <c r="D3732" s="17" t="s">
        <v>83</v>
      </c>
      <c r="E3732" s="17" t="s">
        <v>20</v>
      </c>
      <c r="F3732" s="16" t="s">
        <v>11557</v>
      </c>
    </row>
    <row r="3733" spans="1:6" x14ac:dyDescent="0.25">
      <c r="A3733" s="16" t="s">
        <v>11558</v>
      </c>
      <c r="B3733" s="17" t="s">
        <v>11559</v>
      </c>
      <c r="C3733" s="17" t="s">
        <v>11</v>
      </c>
      <c r="D3733" s="17" t="s">
        <v>12</v>
      </c>
      <c r="E3733" s="17" t="s">
        <v>13</v>
      </c>
      <c r="F3733" s="16" t="s">
        <v>11560</v>
      </c>
    </row>
    <row r="3734" spans="1:6" x14ac:dyDescent="0.25">
      <c r="A3734" s="16" t="s">
        <v>11561</v>
      </c>
      <c r="B3734" s="17" t="s">
        <v>11562</v>
      </c>
      <c r="C3734" s="17" t="s">
        <v>11</v>
      </c>
      <c r="D3734" s="17" t="s">
        <v>12</v>
      </c>
      <c r="E3734" s="17" t="s">
        <v>13</v>
      </c>
      <c r="F3734" s="16" t="s">
        <v>11563</v>
      </c>
    </row>
    <row r="3735" spans="1:6" x14ac:dyDescent="0.25">
      <c r="A3735" s="16" t="s">
        <v>11564</v>
      </c>
      <c r="B3735" s="17" t="s">
        <v>11565</v>
      </c>
      <c r="C3735" s="17" t="s">
        <v>11</v>
      </c>
      <c r="D3735" s="17" t="s">
        <v>182</v>
      </c>
      <c r="E3735" s="17" t="s">
        <v>20</v>
      </c>
      <c r="F3735" s="16" t="s">
        <v>11566</v>
      </c>
    </row>
    <row r="3736" spans="1:6" x14ac:dyDescent="0.25">
      <c r="A3736" s="16" t="s">
        <v>11567</v>
      </c>
      <c r="B3736" s="17" t="s">
        <v>11568</v>
      </c>
      <c r="C3736" s="17" t="s">
        <v>11</v>
      </c>
      <c r="D3736" s="17" t="s">
        <v>148</v>
      </c>
      <c r="E3736" s="17" t="s">
        <v>20</v>
      </c>
      <c r="F3736" s="16" t="s">
        <v>11569</v>
      </c>
    </row>
    <row r="3737" spans="1:6" x14ac:dyDescent="0.25">
      <c r="A3737" s="16" t="s">
        <v>11570</v>
      </c>
      <c r="B3737" s="17" t="s">
        <v>11571</v>
      </c>
      <c r="C3737" s="17" t="s">
        <v>11</v>
      </c>
      <c r="D3737" s="17" t="s">
        <v>182</v>
      </c>
      <c r="E3737" s="17" t="s">
        <v>20</v>
      </c>
      <c r="F3737" s="16" t="s">
        <v>11572</v>
      </c>
    </row>
    <row r="3738" spans="1:6" x14ac:dyDescent="0.25">
      <c r="A3738" s="16" t="s">
        <v>11573</v>
      </c>
      <c r="B3738" s="17" t="s">
        <v>11574</v>
      </c>
      <c r="C3738" s="17" t="s">
        <v>11</v>
      </c>
      <c r="D3738" s="17" t="s">
        <v>83</v>
      </c>
      <c r="E3738" s="17" t="s">
        <v>20</v>
      </c>
      <c r="F3738" s="16" t="s">
        <v>11575</v>
      </c>
    </row>
    <row r="3739" spans="1:6" x14ac:dyDescent="0.25">
      <c r="A3739" s="16" t="s">
        <v>11576</v>
      </c>
      <c r="B3739" s="17" t="s">
        <v>11577</v>
      </c>
      <c r="C3739" s="17" t="s">
        <v>11</v>
      </c>
      <c r="D3739" s="17" t="s">
        <v>32</v>
      </c>
      <c r="E3739" s="17" t="s">
        <v>20</v>
      </c>
      <c r="F3739" s="16" t="s">
        <v>11578</v>
      </c>
    </row>
    <row r="3740" spans="1:6" x14ac:dyDescent="0.25">
      <c r="A3740" s="16" t="s">
        <v>11579</v>
      </c>
      <c r="B3740" s="17" t="s">
        <v>11580</v>
      </c>
      <c r="C3740" s="17" t="s">
        <v>11</v>
      </c>
      <c r="D3740" s="17" t="s">
        <v>83</v>
      </c>
      <c r="E3740" s="17" t="s">
        <v>20</v>
      </c>
      <c r="F3740" s="16" t="s">
        <v>11581</v>
      </c>
    </row>
    <row r="3741" spans="1:6" x14ac:dyDescent="0.25">
      <c r="A3741" s="16" t="s">
        <v>11582</v>
      </c>
      <c r="B3741" s="17" t="s">
        <v>11583</v>
      </c>
      <c r="C3741" s="17" t="s">
        <v>11</v>
      </c>
      <c r="D3741" s="17" t="s">
        <v>74</v>
      </c>
      <c r="E3741" s="17" t="s">
        <v>20</v>
      </c>
      <c r="F3741" s="16" t="s">
        <v>11584</v>
      </c>
    </row>
    <row r="3742" spans="1:6" x14ac:dyDescent="0.25">
      <c r="A3742" s="16" t="s">
        <v>11585</v>
      </c>
      <c r="B3742" s="17" t="s">
        <v>11586</v>
      </c>
      <c r="C3742" s="17" t="s">
        <v>11</v>
      </c>
      <c r="D3742" s="17" t="s">
        <v>12</v>
      </c>
      <c r="E3742" s="17" t="s">
        <v>13</v>
      </c>
      <c r="F3742" s="16" t="s">
        <v>11587</v>
      </c>
    </row>
    <row r="3743" spans="1:6" x14ac:dyDescent="0.25">
      <c r="A3743" s="16" t="s">
        <v>11588</v>
      </c>
      <c r="B3743" s="17" t="s">
        <v>11589</v>
      </c>
      <c r="C3743" s="17" t="s">
        <v>11</v>
      </c>
      <c r="D3743" s="17" t="s">
        <v>3346</v>
      </c>
      <c r="E3743" s="17" t="s">
        <v>20</v>
      </c>
      <c r="F3743" s="16" t="s">
        <v>11590</v>
      </c>
    </row>
    <row r="3744" spans="1:6" x14ac:dyDescent="0.25">
      <c r="A3744" s="16" t="s">
        <v>11591</v>
      </c>
      <c r="B3744" s="17" t="s">
        <v>11592</v>
      </c>
      <c r="C3744" s="17" t="s">
        <v>11</v>
      </c>
      <c r="D3744" s="17" t="s">
        <v>186</v>
      </c>
      <c r="E3744" s="17" t="s">
        <v>20</v>
      </c>
      <c r="F3744" s="16" t="s">
        <v>11593</v>
      </c>
    </row>
    <row r="3745" spans="1:6" x14ac:dyDescent="0.25">
      <c r="A3745" s="16" t="s">
        <v>11594</v>
      </c>
      <c r="B3745" s="17" t="s">
        <v>11595</v>
      </c>
      <c r="C3745" s="17" t="s">
        <v>11</v>
      </c>
      <c r="D3745" s="17" t="s">
        <v>12</v>
      </c>
      <c r="E3745" s="17" t="s">
        <v>13</v>
      </c>
      <c r="F3745" s="16" t="s">
        <v>11596</v>
      </c>
    </row>
    <row r="3746" spans="1:6" x14ac:dyDescent="0.25">
      <c r="A3746" s="16" t="s">
        <v>11597</v>
      </c>
      <c r="B3746" s="17" t="s">
        <v>11598</v>
      </c>
      <c r="C3746" s="17" t="s">
        <v>11</v>
      </c>
      <c r="D3746" s="17" t="s">
        <v>576</v>
      </c>
      <c r="E3746" s="17" t="s">
        <v>20</v>
      </c>
      <c r="F3746" s="16" t="s">
        <v>11599</v>
      </c>
    </row>
    <row r="3747" spans="1:6" x14ac:dyDescent="0.25">
      <c r="A3747" s="16" t="s">
        <v>11600</v>
      </c>
      <c r="B3747" s="17" t="s">
        <v>11601</v>
      </c>
      <c r="C3747" s="17" t="s">
        <v>11</v>
      </c>
      <c r="D3747" s="17" t="s">
        <v>74</v>
      </c>
      <c r="E3747" s="17" t="s">
        <v>20</v>
      </c>
      <c r="F3747" s="16" t="s">
        <v>11602</v>
      </c>
    </row>
    <row r="3748" spans="1:6" x14ac:dyDescent="0.25">
      <c r="A3748" s="16" t="s">
        <v>11603</v>
      </c>
      <c r="B3748" s="17" t="s">
        <v>11604</v>
      </c>
      <c r="C3748" s="17" t="s">
        <v>11</v>
      </c>
      <c r="D3748" s="17" t="s">
        <v>12</v>
      </c>
      <c r="E3748" s="17" t="s">
        <v>13</v>
      </c>
      <c r="F3748" s="16" t="s">
        <v>11605</v>
      </c>
    </row>
    <row r="3749" spans="1:6" x14ac:dyDescent="0.25">
      <c r="A3749" s="16" t="s">
        <v>11606</v>
      </c>
      <c r="B3749" s="17" t="s">
        <v>11607</v>
      </c>
      <c r="C3749" s="17" t="s">
        <v>11</v>
      </c>
      <c r="D3749" s="17" t="s">
        <v>12</v>
      </c>
      <c r="E3749" s="17" t="s">
        <v>13</v>
      </c>
      <c r="F3749" s="16" t="s">
        <v>11608</v>
      </c>
    </row>
    <row r="3750" spans="1:6" x14ac:dyDescent="0.25">
      <c r="A3750" s="16" t="s">
        <v>11609</v>
      </c>
      <c r="B3750" s="17" t="s">
        <v>11610</v>
      </c>
      <c r="C3750" s="17" t="s">
        <v>11</v>
      </c>
      <c r="D3750" s="17" t="s">
        <v>32</v>
      </c>
      <c r="E3750" s="17" t="s">
        <v>20</v>
      </c>
      <c r="F3750" s="16" t="s">
        <v>11611</v>
      </c>
    </row>
    <row r="3751" spans="1:6" x14ac:dyDescent="0.25">
      <c r="A3751" s="16" t="s">
        <v>11612</v>
      </c>
      <c r="B3751" s="17" t="s">
        <v>11613</v>
      </c>
      <c r="C3751" s="17" t="s">
        <v>11</v>
      </c>
      <c r="D3751" s="17" t="s">
        <v>32</v>
      </c>
      <c r="E3751" s="17" t="s">
        <v>20</v>
      </c>
      <c r="F3751" s="16" t="s">
        <v>11614</v>
      </c>
    </row>
    <row r="3752" spans="1:6" x14ac:dyDescent="0.25">
      <c r="A3752" s="16" t="s">
        <v>11615</v>
      </c>
      <c r="B3752" s="17" t="s">
        <v>11616</v>
      </c>
      <c r="C3752" s="17" t="s">
        <v>11</v>
      </c>
      <c r="D3752" s="17" t="s">
        <v>250</v>
      </c>
      <c r="E3752" s="17" t="s">
        <v>20</v>
      </c>
      <c r="F3752" s="16" t="s">
        <v>11617</v>
      </c>
    </row>
    <row r="3753" spans="1:6" x14ac:dyDescent="0.25">
      <c r="A3753" s="16" t="s">
        <v>11618</v>
      </c>
      <c r="B3753" s="17" t="s">
        <v>11619</v>
      </c>
      <c r="C3753" s="17" t="s">
        <v>11</v>
      </c>
      <c r="D3753" s="17" t="s">
        <v>32</v>
      </c>
      <c r="E3753" s="17" t="s">
        <v>20</v>
      </c>
      <c r="F3753" s="16" t="s">
        <v>11620</v>
      </c>
    </row>
    <row r="3754" spans="1:6" x14ac:dyDescent="0.25">
      <c r="A3754" s="16" t="s">
        <v>11621</v>
      </c>
      <c r="B3754" s="17" t="s">
        <v>11622</v>
      </c>
      <c r="C3754" s="17" t="s">
        <v>11</v>
      </c>
      <c r="D3754" s="17" t="s">
        <v>12</v>
      </c>
      <c r="E3754" s="17" t="s">
        <v>13</v>
      </c>
      <c r="F3754" s="16" t="s">
        <v>11623</v>
      </c>
    </row>
    <row r="3755" spans="1:6" x14ac:dyDescent="0.25">
      <c r="A3755" s="16" t="s">
        <v>11624</v>
      </c>
      <c r="B3755" s="17" t="s">
        <v>11625</v>
      </c>
      <c r="C3755" s="17" t="s">
        <v>11</v>
      </c>
      <c r="D3755" s="17" t="s">
        <v>83</v>
      </c>
      <c r="E3755" s="17" t="s">
        <v>20</v>
      </c>
      <c r="F3755" s="16" t="s">
        <v>11626</v>
      </c>
    </row>
    <row r="3756" spans="1:6" x14ac:dyDescent="0.25">
      <c r="A3756" s="16" t="s">
        <v>11627</v>
      </c>
      <c r="B3756" s="17" t="s">
        <v>11628</v>
      </c>
      <c r="C3756" s="17" t="s">
        <v>11</v>
      </c>
      <c r="D3756" s="17" t="s">
        <v>32</v>
      </c>
      <c r="E3756" s="17" t="s">
        <v>20</v>
      </c>
      <c r="F3756" s="16" t="s">
        <v>11629</v>
      </c>
    </row>
    <row r="3757" spans="1:6" x14ac:dyDescent="0.25">
      <c r="A3757" s="16" t="s">
        <v>11630</v>
      </c>
      <c r="B3757" s="17" t="s">
        <v>11631</v>
      </c>
      <c r="C3757" s="17" t="s">
        <v>11</v>
      </c>
      <c r="D3757" s="17" t="s">
        <v>12</v>
      </c>
      <c r="E3757" s="17" t="s">
        <v>13</v>
      </c>
      <c r="F3757" s="16" t="s">
        <v>11632</v>
      </c>
    </row>
    <row r="3758" spans="1:6" x14ac:dyDescent="0.25">
      <c r="A3758" s="16" t="s">
        <v>11633</v>
      </c>
      <c r="B3758" s="17" t="s">
        <v>11634</v>
      </c>
      <c r="C3758" s="17" t="s">
        <v>11</v>
      </c>
      <c r="D3758" s="17" t="s">
        <v>576</v>
      </c>
      <c r="E3758" s="17" t="s">
        <v>20</v>
      </c>
      <c r="F3758" s="16" t="s">
        <v>11635</v>
      </c>
    </row>
    <row r="3759" spans="1:6" x14ac:dyDescent="0.25">
      <c r="A3759" s="16" t="s">
        <v>11636</v>
      </c>
      <c r="B3759" s="17" t="s">
        <v>11637</v>
      </c>
      <c r="C3759" s="17" t="s">
        <v>11</v>
      </c>
      <c r="D3759" s="17" t="s">
        <v>83</v>
      </c>
      <c r="E3759" s="17" t="s">
        <v>20</v>
      </c>
      <c r="F3759" s="16" t="s">
        <v>11638</v>
      </c>
    </row>
    <row r="3760" spans="1:6" x14ac:dyDescent="0.25">
      <c r="A3760" s="16" t="s">
        <v>11639</v>
      </c>
      <c r="B3760" s="17" t="s">
        <v>11640</v>
      </c>
      <c r="C3760" s="17" t="s">
        <v>11</v>
      </c>
      <c r="D3760" s="17" t="s">
        <v>26</v>
      </c>
      <c r="E3760" s="17" t="s">
        <v>20</v>
      </c>
      <c r="F3760" s="16" t="s">
        <v>11641</v>
      </c>
    </row>
    <row r="3761" spans="1:6" x14ac:dyDescent="0.25">
      <c r="A3761" s="16" t="s">
        <v>11642</v>
      </c>
      <c r="B3761" s="17" t="s">
        <v>11643</v>
      </c>
      <c r="C3761" s="17" t="s">
        <v>11</v>
      </c>
      <c r="D3761" s="17" t="s">
        <v>74</v>
      </c>
      <c r="E3761" s="17" t="s">
        <v>20</v>
      </c>
      <c r="F3761" s="16" t="s">
        <v>11644</v>
      </c>
    </row>
    <row r="3762" spans="1:6" x14ac:dyDescent="0.25">
      <c r="A3762" s="16" t="s">
        <v>11645</v>
      </c>
      <c r="B3762" s="17" t="s">
        <v>11646</v>
      </c>
      <c r="C3762" s="17" t="s">
        <v>11</v>
      </c>
      <c r="D3762" s="17" t="s">
        <v>2320</v>
      </c>
      <c r="E3762" s="17" t="s">
        <v>13</v>
      </c>
      <c r="F3762" s="16" t="s">
        <v>11647</v>
      </c>
    </row>
    <row r="3763" spans="1:6" x14ac:dyDescent="0.25">
      <c r="A3763" s="16" t="s">
        <v>11648</v>
      </c>
      <c r="B3763" s="17" t="s">
        <v>11649</v>
      </c>
      <c r="C3763" s="17" t="s">
        <v>11</v>
      </c>
      <c r="D3763" s="17" t="s">
        <v>250</v>
      </c>
      <c r="E3763" s="17" t="s">
        <v>20</v>
      </c>
      <c r="F3763" s="16" t="s">
        <v>11650</v>
      </c>
    </row>
    <row r="3764" spans="1:6" x14ac:dyDescent="0.25">
      <c r="A3764" s="16" t="s">
        <v>11651</v>
      </c>
      <c r="B3764" s="17" t="s">
        <v>11652</v>
      </c>
      <c r="C3764" s="17" t="s">
        <v>11</v>
      </c>
      <c r="D3764" s="17" t="s">
        <v>12</v>
      </c>
      <c r="E3764" s="17" t="s">
        <v>13</v>
      </c>
      <c r="F3764" s="16" t="s">
        <v>11653</v>
      </c>
    </row>
    <row r="3765" spans="1:6" x14ac:dyDescent="0.25">
      <c r="A3765" s="16" t="s">
        <v>11654</v>
      </c>
      <c r="B3765" s="17" t="s">
        <v>11655</v>
      </c>
      <c r="C3765" s="17" t="s">
        <v>11</v>
      </c>
      <c r="D3765" s="17" t="s">
        <v>26</v>
      </c>
      <c r="E3765" s="17" t="s">
        <v>20</v>
      </c>
      <c r="F3765" s="16" t="s">
        <v>11656</v>
      </c>
    </row>
    <row r="3766" spans="1:6" x14ac:dyDescent="0.25">
      <c r="A3766" s="16" t="s">
        <v>11657</v>
      </c>
      <c r="B3766" s="17" t="s">
        <v>11658</v>
      </c>
      <c r="C3766" s="17" t="s">
        <v>11</v>
      </c>
      <c r="D3766" s="17" t="s">
        <v>182</v>
      </c>
      <c r="E3766" s="17" t="s">
        <v>20</v>
      </c>
      <c r="F3766" s="16" t="s">
        <v>11659</v>
      </c>
    </row>
    <row r="3767" spans="1:6" x14ac:dyDescent="0.25">
      <c r="A3767" s="16" t="s">
        <v>11660</v>
      </c>
      <c r="B3767" s="17" t="s">
        <v>11661</v>
      </c>
      <c r="C3767" s="17" t="s">
        <v>11</v>
      </c>
      <c r="D3767" s="17" t="s">
        <v>32</v>
      </c>
      <c r="E3767" s="17" t="s">
        <v>20</v>
      </c>
      <c r="F3767" s="16" t="s">
        <v>11662</v>
      </c>
    </row>
    <row r="3768" spans="1:6" x14ac:dyDescent="0.25">
      <c r="A3768" s="16" t="s">
        <v>11663</v>
      </c>
      <c r="B3768" s="17" t="s">
        <v>11664</v>
      </c>
      <c r="C3768" s="17" t="s">
        <v>11</v>
      </c>
      <c r="D3768" s="17" t="s">
        <v>32</v>
      </c>
      <c r="E3768" s="17" t="s">
        <v>20</v>
      </c>
      <c r="F3768" s="16" t="s">
        <v>11665</v>
      </c>
    </row>
    <row r="3769" spans="1:6" x14ac:dyDescent="0.25">
      <c r="A3769" s="16" t="s">
        <v>11666</v>
      </c>
      <c r="B3769" s="17" t="s">
        <v>11667</v>
      </c>
      <c r="C3769" s="17" t="s">
        <v>11</v>
      </c>
      <c r="D3769" s="17" t="s">
        <v>32</v>
      </c>
      <c r="E3769" s="17" t="s">
        <v>20</v>
      </c>
      <c r="F3769" s="16" t="s">
        <v>11668</v>
      </c>
    </row>
    <row r="3770" spans="1:6" x14ac:dyDescent="0.25">
      <c r="A3770" s="16" t="s">
        <v>11669</v>
      </c>
      <c r="B3770" s="17" t="s">
        <v>11670</v>
      </c>
      <c r="C3770" s="17" t="s">
        <v>11</v>
      </c>
      <c r="D3770" s="17" t="s">
        <v>250</v>
      </c>
      <c r="E3770" s="17" t="s">
        <v>20</v>
      </c>
      <c r="F3770" s="16" t="s">
        <v>11671</v>
      </c>
    </row>
    <row r="3771" spans="1:6" x14ac:dyDescent="0.25">
      <c r="A3771" s="16" t="s">
        <v>11672</v>
      </c>
      <c r="B3771" s="17" t="s">
        <v>11673</v>
      </c>
      <c r="C3771" s="17" t="s">
        <v>11</v>
      </c>
      <c r="D3771" s="17" t="s">
        <v>32</v>
      </c>
      <c r="E3771" s="17" t="s">
        <v>20</v>
      </c>
      <c r="F3771" s="16" t="s">
        <v>11674</v>
      </c>
    </row>
    <row r="3772" spans="1:6" x14ac:dyDescent="0.25">
      <c r="A3772" s="16" t="s">
        <v>11675</v>
      </c>
      <c r="B3772" s="17" t="s">
        <v>11676</v>
      </c>
      <c r="C3772" s="17" t="s">
        <v>11</v>
      </c>
      <c r="D3772" s="17" t="s">
        <v>32</v>
      </c>
      <c r="E3772" s="17" t="s">
        <v>20</v>
      </c>
      <c r="F3772" s="16" t="s">
        <v>11677</v>
      </c>
    </row>
    <row r="3773" spans="1:6" x14ac:dyDescent="0.25">
      <c r="A3773" s="16" t="s">
        <v>11678</v>
      </c>
      <c r="B3773" s="17" t="s">
        <v>11679</v>
      </c>
      <c r="C3773" s="17" t="s">
        <v>11</v>
      </c>
      <c r="D3773" s="17" t="s">
        <v>32</v>
      </c>
      <c r="E3773" s="17" t="s">
        <v>20</v>
      </c>
      <c r="F3773" s="16" t="s">
        <v>11680</v>
      </c>
    </row>
    <row r="3774" spans="1:6" x14ac:dyDescent="0.25">
      <c r="A3774" s="16" t="s">
        <v>11681</v>
      </c>
      <c r="B3774" s="17" t="s">
        <v>11682</v>
      </c>
      <c r="C3774" s="17" t="s">
        <v>11</v>
      </c>
      <c r="D3774" s="17" t="s">
        <v>32</v>
      </c>
      <c r="E3774" s="17" t="s">
        <v>20</v>
      </c>
      <c r="F3774" s="16" t="s">
        <v>11683</v>
      </c>
    </row>
    <row r="3775" spans="1:6" x14ac:dyDescent="0.25">
      <c r="A3775" s="16" t="s">
        <v>11684</v>
      </c>
      <c r="B3775" s="17" t="s">
        <v>11685</v>
      </c>
      <c r="C3775" s="17" t="s">
        <v>11</v>
      </c>
      <c r="D3775" s="17" t="s">
        <v>32</v>
      </c>
      <c r="E3775" s="17" t="s">
        <v>20</v>
      </c>
      <c r="F3775" s="16" t="s">
        <v>11686</v>
      </c>
    </row>
    <row r="3776" spans="1:6" x14ac:dyDescent="0.25">
      <c r="A3776" s="16" t="s">
        <v>11687</v>
      </c>
      <c r="B3776" s="17" t="s">
        <v>11688</v>
      </c>
      <c r="C3776" s="17" t="s">
        <v>11</v>
      </c>
      <c r="D3776" s="17" t="s">
        <v>74</v>
      </c>
      <c r="E3776" s="17" t="s">
        <v>20</v>
      </c>
      <c r="F3776" s="16" t="s">
        <v>11689</v>
      </c>
    </row>
    <row r="3777" spans="1:6" x14ac:dyDescent="0.25">
      <c r="A3777" s="16" t="s">
        <v>11690</v>
      </c>
      <c r="B3777" s="17" t="s">
        <v>11691</v>
      </c>
      <c r="C3777" s="17" t="s">
        <v>11</v>
      </c>
      <c r="D3777" s="17" t="s">
        <v>83</v>
      </c>
      <c r="E3777" s="17" t="s">
        <v>20</v>
      </c>
      <c r="F3777" s="16" t="s">
        <v>11692</v>
      </c>
    </row>
    <row r="3778" spans="1:6" x14ac:dyDescent="0.25">
      <c r="A3778" s="16" t="s">
        <v>11693</v>
      </c>
      <c r="B3778" s="17" t="s">
        <v>11694</v>
      </c>
      <c r="C3778" s="17" t="s">
        <v>11</v>
      </c>
      <c r="D3778" s="17" t="s">
        <v>68</v>
      </c>
      <c r="E3778" s="17" t="s">
        <v>20</v>
      </c>
      <c r="F3778" s="16" t="s">
        <v>11695</v>
      </c>
    </row>
    <row r="3779" spans="1:6" x14ac:dyDescent="0.25">
      <c r="A3779" s="16" t="s">
        <v>11696</v>
      </c>
      <c r="B3779" s="17" t="s">
        <v>11697</v>
      </c>
      <c r="C3779" s="17" t="s">
        <v>11</v>
      </c>
      <c r="D3779" s="17" t="s">
        <v>68</v>
      </c>
      <c r="E3779" s="17" t="s">
        <v>20</v>
      </c>
      <c r="F3779" s="16" t="s">
        <v>11698</v>
      </c>
    </row>
    <row r="3780" spans="1:6" x14ac:dyDescent="0.25">
      <c r="A3780" s="16" t="s">
        <v>11699</v>
      </c>
      <c r="B3780" s="17" t="s">
        <v>11700</v>
      </c>
      <c r="C3780" s="17" t="s">
        <v>11</v>
      </c>
      <c r="D3780" s="17" t="s">
        <v>83</v>
      </c>
      <c r="E3780" s="17" t="s">
        <v>20</v>
      </c>
      <c r="F3780" s="16" t="s">
        <v>11701</v>
      </c>
    </row>
    <row r="3781" spans="1:6" x14ac:dyDescent="0.25">
      <c r="A3781" s="16" t="s">
        <v>11702</v>
      </c>
      <c r="B3781" s="17" t="s">
        <v>11703</v>
      </c>
      <c r="C3781" s="17" t="s">
        <v>11</v>
      </c>
      <c r="D3781" s="17" t="s">
        <v>32</v>
      </c>
      <c r="E3781" s="17" t="s">
        <v>20</v>
      </c>
      <c r="F3781" s="16" t="s">
        <v>11704</v>
      </c>
    </row>
    <row r="3782" spans="1:6" x14ac:dyDescent="0.25">
      <c r="A3782" s="16" t="s">
        <v>11705</v>
      </c>
      <c r="B3782" s="17" t="s">
        <v>11706</v>
      </c>
      <c r="C3782" s="17" t="s">
        <v>11</v>
      </c>
      <c r="D3782" s="17" t="s">
        <v>182</v>
      </c>
      <c r="E3782" s="17" t="s">
        <v>20</v>
      </c>
      <c r="F3782" s="16" t="s">
        <v>11707</v>
      </c>
    </row>
    <row r="3783" spans="1:6" x14ac:dyDescent="0.25">
      <c r="A3783" s="16" t="s">
        <v>11708</v>
      </c>
      <c r="B3783" s="17" t="s">
        <v>11709</v>
      </c>
      <c r="C3783" s="17" t="s">
        <v>359</v>
      </c>
      <c r="D3783" s="17" t="s">
        <v>32</v>
      </c>
      <c r="E3783" s="17" t="s">
        <v>20</v>
      </c>
      <c r="F3783" s="16" t="s">
        <v>11710</v>
      </c>
    </row>
    <row r="3784" spans="1:6" x14ac:dyDescent="0.25">
      <c r="A3784" s="16" t="s">
        <v>11711</v>
      </c>
      <c r="B3784" s="17" t="s">
        <v>11712</v>
      </c>
      <c r="C3784" s="17" t="s">
        <v>11</v>
      </c>
      <c r="D3784" s="17" t="s">
        <v>68</v>
      </c>
      <c r="E3784" s="17" t="s">
        <v>20</v>
      </c>
      <c r="F3784" s="16" t="s">
        <v>11713</v>
      </c>
    </row>
    <row r="3785" spans="1:6" x14ac:dyDescent="0.25">
      <c r="A3785" s="16" t="s">
        <v>11714</v>
      </c>
      <c r="B3785" s="17" t="s">
        <v>11715</v>
      </c>
      <c r="C3785" s="17" t="s">
        <v>11</v>
      </c>
      <c r="D3785" s="17" t="s">
        <v>83</v>
      </c>
      <c r="E3785" s="17" t="s">
        <v>20</v>
      </c>
      <c r="F3785" s="16" t="s">
        <v>11716</v>
      </c>
    </row>
    <row r="3786" spans="1:6" x14ac:dyDescent="0.25">
      <c r="A3786" s="16" t="s">
        <v>11717</v>
      </c>
      <c r="B3786" s="17" t="s">
        <v>11718</v>
      </c>
      <c r="C3786" s="17" t="s">
        <v>11</v>
      </c>
      <c r="D3786" s="17" t="s">
        <v>32</v>
      </c>
      <c r="E3786" s="17" t="s">
        <v>20</v>
      </c>
      <c r="F3786" s="16" t="s">
        <v>11719</v>
      </c>
    </row>
    <row r="3787" spans="1:6" x14ac:dyDescent="0.25">
      <c r="A3787" s="16" t="s">
        <v>11720</v>
      </c>
      <c r="B3787" s="17" t="s">
        <v>11721</v>
      </c>
      <c r="C3787" s="17" t="s">
        <v>11</v>
      </c>
      <c r="D3787" s="17" t="s">
        <v>83</v>
      </c>
      <c r="E3787" s="17" t="s">
        <v>20</v>
      </c>
      <c r="F3787" s="16" t="s">
        <v>11722</v>
      </c>
    </row>
    <row r="3788" spans="1:6" x14ac:dyDescent="0.25">
      <c r="A3788" s="16" t="s">
        <v>11723</v>
      </c>
      <c r="B3788" s="17" t="s">
        <v>11724</v>
      </c>
      <c r="C3788" s="17" t="s">
        <v>11</v>
      </c>
      <c r="D3788" s="17" t="s">
        <v>1402</v>
      </c>
      <c r="E3788" s="17" t="s">
        <v>13</v>
      </c>
      <c r="F3788" s="16" t="s">
        <v>11725</v>
      </c>
    </row>
    <row r="3789" spans="1:6" x14ac:dyDescent="0.25">
      <c r="A3789" s="16" t="s">
        <v>11726</v>
      </c>
      <c r="B3789" s="17" t="s">
        <v>11727</v>
      </c>
      <c r="C3789" s="17" t="s">
        <v>11</v>
      </c>
      <c r="D3789" s="17" t="s">
        <v>83</v>
      </c>
      <c r="E3789" s="17" t="s">
        <v>20</v>
      </c>
      <c r="F3789" s="16" t="s">
        <v>11728</v>
      </c>
    </row>
    <row r="3790" spans="1:6" x14ac:dyDescent="0.25">
      <c r="A3790" s="16" t="s">
        <v>11729</v>
      </c>
      <c r="B3790" s="17" t="s">
        <v>11730</v>
      </c>
      <c r="C3790" s="17" t="s">
        <v>11</v>
      </c>
      <c r="D3790" s="17" t="s">
        <v>32</v>
      </c>
      <c r="E3790" s="17" t="s">
        <v>20</v>
      </c>
      <c r="F3790" s="16" t="s">
        <v>11731</v>
      </c>
    </row>
    <row r="3791" spans="1:6" x14ac:dyDescent="0.25">
      <c r="A3791" s="16" t="s">
        <v>11732</v>
      </c>
      <c r="B3791" s="17" t="s">
        <v>11733</v>
      </c>
      <c r="C3791" s="17" t="s">
        <v>11</v>
      </c>
      <c r="D3791" s="17" t="s">
        <v>32</v>
      </c>
      <c r="E3791" s="17" t="s">
        <v>20</v>
      </c>
      <c r="F3791" s="16" t="s">
        <v>11734</v>
      </c>
    </row>
    <row r="3792" spans="1:6" x14ac:dyDescent="0.25">
      <c r="A3792" s="16" t="s">
        <v>11735</v>
      </c>
      <c r="B3792" s="17" t="s">
        <v>11736</v>
      </c>
      <c r="C3792" s="17" t="s">
        <v>11</v>
      </c>
      <c r="D3792" s="17" t="s">
        <v>83</v>
      </c>
      <c r="E3792" s="17" t="s">
        <v>20</v>
      </c>
      <c r="F3792" s="16" t="s">
        <v>11737</v>
      </c>
    </row>
    <row r="3793" spans="1:6" x14ac:dyDescent="0.25">
      <c r="A3793" s="16" t="s">
        <v>11738</v>
      </c>
      <c r="B3793" s="17" t="s">
        <v>11739</v>
      </c>
      <c r="C3793" s="17" t="s">
        <v>11</v>
      </c>
      <c r="D3793" s="17" t="s">
        <v>83</v>
      </c>
      <c r="E3793" s="17" t="s">
        <v>20</v>
      </c>
      <c r="F3793" s="16" t="s">
        <v>11740</v>
      </c>
    </row>
    <row r="3794" spans="1:6" x14ac:dyDescent="0.25">
      <c r="A3794" s="16" t="s">
        <v>11741</v>
      </c>
      <c r="B3794" s="17" t="s">
        <v>11742</v>
      </c>
      <c r="C3794" s="17" t="s">
        <v>11</v>
      </c>
      <c r="D3794" s="17" t="s">
        <v>32</v>
      </c>
      <c r="E3794" s="17" t="s">
        <v>20</v>
      </c>
      <c r="F3794" s="16" t="s">
        <v>11743</v>
      </c>
    </row>
    <row r="3795" spans="1:6" x14ac:dyDescent="0.25">
      <c r="A3795" s="16" t="s">
        <v>11744</v>
      </c>
      <c r="B3795" s="17" t="s">
        <v>11745</v>
      </c>
      <c r="C3795" s="17" t="s">
        <v>11</v>
      </c>
      <c r="D3795" s="17" t="s">
        <v>68</v>
      </c>
      <c r="E3795" s="17" t="s">
        <v>20</v>
      </c>
      <c r="F3795" s="16" t="s">
        <v>11746</v>
      </c>
    </row>
    <row r="3796" spans="1:6" x14ac:dyDescent="0.25">
      <c r="A3796" s="16" t="s">
        <v>11747</v>
      </c>
      <c r="B3796" s="17" t="s">
        <v>11748</v>
      </c>
      <c r="C3796" s="17" t="s">
        <v>11</v>
      </c>
      <c r="D3796" s="17" t="s">
        <v>32</v>
      </c>
      <c r="E3796" s="17" t="s">
        <v>20</v>
      </c>
      <c r="F3796" s="16" t="s">
        <v>11749</v>
      </c>
    </row>
    <row r="3797" spans="1:6" x14ac:dyDescent="0.25">
      <c r="A3797" s="16" t="s">
        <v>11750</v>
      </c>
      <c r="B3797" s="17" t="s">
        <v>11751</v>
      </c>
      <c r="C3797" s="17" t="s">
        <v>11</v>
      </c>
      <c r="D3797" s="17" t="s">
        <v>32</v>
      </c>
      <c r="E3797" s="17" t="s">
        <v>20</v>
      </c>
      <c r="F3797" s="16" t="s">
        <v>11752</v>
      </c>
    </row>
    <row r="3798" spans="1:6" x14ac:dyDescent="0.25">
      <c r="A3798" s="16" t="s">
        <v>11753</v>
      </c>
      <c r="B3798" s="17" t="s">
        <v>11754</v>
      </c>
      <c r="C3798" s="17" t="s">
        <v>11</v>
      </c>
      <c r="D3798" s="17" t="s">
        <v>32</v>
      </c>
      <c r="E3798" s="17" t="s">
        <v>20</v>
      </c>
      <c r="F3798" s="16" t="s">
        <v>11755</v>
      </c>
    </row>
    <row r="3799" spans="1:6" x14ac:dyDescent="0.25">
      <c r="A3799" s="16" t="s">
        <v>11756</v>
      </c>
      <c r="B3799" s="17" t="s">
        <v>11757</v>
      </c>
      <c r="C3799" s="17" t="s">
        <v>11</v>
      </c>
      <c r="D3799" s="17" t="s">
        <v>12</v>
      </c>
      <c r="E3799" s="17" t="s">
        <v>13</v>
      </c>
      <c r="F3799" s="16" t="s">
        <v>11758</v>
      </c>
    </row>
    <row r="3800" spans="1:6" x14ac:dyDescent="0.25">
      <c r="A3800" s="16" t="s">
        <v>11759</v>
      </c>
      <c r="B3800" s="17" t="s">
        <v>11760</v>
      </c>
      <c r="C3800" s="17" t="s">
        <v>11</v>
      </c>
      <c r="D3800" s="17" t="s">
        <v>83</v>
      </c>
      <c r="E3800" s="17" t="s">
        <v>20</v>
      </c>
      <c r="F3800" s="16" t="s">
        <v>11761</v>
      </c>
    </row>
    <row r="3801" spans="1:6" x14ac:dyDescent="0.25">
      <c r="A3801" s="16" t="s">
        <v>11762</v>
      </c>
      <c r="B3801" s="17" t="s">
        <v>11763</v>
      </c>
      <c r="C3801" s="17" t="s">
        <v>11</v>
      </c>
      <c r="D3801" s="17" t="s">
        <v>233</v>
      </c>
      <c r="E3801" s="17" t="s">
        <v>20</v>
      </c>
      <c r="F3801" s="16" t="s">
        <v>11764</v>
      </c>
    </row>
    <row r="3802" spans="1:6" x14ac:dyDescent="0.25">
      <c r="A3802" s="16" t="s">
        <v>11765</v>
      </c>
      <c r="B3802" s="17" t="s">
        <v>11766</v>
      </c>
      <c r="C3802" s="17" t="s">
        <v>11</v>
      </c>
      <c r="D3802" s="17" t="s">
        <v>32</v>
      </c>
      <c r="E3802" s="17" t="s">
        <v>20</v>
      </c>
      <c r="F3802" s="16" t="s">
        <v>11767</v>
      </c>
    </row>
    <row r="3803" spans="1:6" x14ac:dyDescent="0.25">
      <c r="A3803" s="16" t="s">
        <v>11768</v>
      </c>
      <c r="B3803" s="17" t="s">
        <v>11769</v>
      </c>
      <c r="C3803" s="17" t="s">
        <v>11</v>
      </c>
      <c r="D3803" s="17" t="s">
        <v>83</v>
      </c>
      <c r="E3803" s="17" t="s">
        <v>20</v>
      </c>
      <c r="F3803" s="16" t="s">
        <v>11770</v>
      </c>
    </row>
    <row r="3804" spans="1:6" x14ac:dyDescent="0.25">
      <c r="A3804" s="16" t="s">
        <v>11771</v>
      </c>
      <c r="B3804" s="17" t="s">
        <v>11772</v>
      </c>
      <c r="C3804" s="17" t="s">
        <v>11</v>
      </c>
      <c r="D3804" s="17" t="s">
        <v>32</v>
      </c>
      <c r="E3804" s="17" t="s">
        <v>20</v>
      </c>
      <c r="F3804" s="16" t="s">
        <v>11773</v>
      </c>
    </row>
    <row r="3805" spans="1:6" x14ac:dyDescent="0.25">
      <c r="A3805" s="16" t="s">
        <v>11774</v>
      </c>
      <c r="B3805" s="17" t="s">
        <v>11775</v>
      </c>
      <c r="C3805" s="17" t="s">
        <v>11</v>
      </c>
      <c r="D3805" s="17" t="s">
        <v>182</v>
      </c>
      <c r="E3805" s="17" t="s">
        <v>20</v>
      </c>
      <c r="F3805" s="16" t="s">
        <v>11776</v>
      </c>
    </row>
    <row r="3806" spans="1:6" x14ac:dyDescent="0.25">
      <c r="A3806" s="16" t="s">
        <v>11777</v>
      </c>
      <c r="B3806" s="17" t="s">
        <v>11778</v>
      </c>
      <c r="C3806" s="17" t="s">
        <v>11</v>
      </c>
      <c r="D3806" s="17" t="s">
        <v>32</v>
      </c>
      <c r="E3806" s="17" t="s">
        <v>20</v>
      </c>
      <c r="F3806" s="16" t="s">
        <v>11779</v>
      </c>
    </row>
    <row r="3807" spans="1:6" x14ac:dyDescent="0.25">
      <c r="A3807" s="16" t="s">
        <v>11780</v>
      </c>
      <c r="B3807" s="17" t="s">
        <v>11781</v>
      </c>
      <c r="C3807" s="17" t="s">
        <v>11</v>
      </c>
      <c r="D3807" s="17" t="s">
        <v>74</v>
      </c>
      <c r="E3807" s="17" t="s">
        <v>20</v>
      </c>
      <c r="F3807" s="16" t="s">
        <v>11782</v>
      </c>
    </row>
    <row r="3808" spans="1:6" x14ac:dyDescent="0.25">
      <c r="A3808" s="16" t="s">
        <v>11783</v>
      </c>
      <c r="B3808" s="17" t="s">
        <v>11784</v>
      </c>
      <c r="C3808" s="17" t="s">
        <v>11</v>
      </c>
      <c r="D3808" s="17" t="s">
        <v>12</v>
      </c>
      <c r="E3808" s="17" t="s">
        <v>13</v>
      </c>
      <c r="F3808" s="16" t="s">
        <v>11785</v>
      </c>
    </row>
    <row r="3809" spans="1:6" x14ac:dyDescent="0.25">
      <c r="A3809" s="16" t="s">
        <v>11786</v>
      </c>
      <c r="B3809" s="17" t="s">
        <v>11787</v>
      </c>
      <c r="C3809" s="17" t="s">
        <v>11</v>
      </c>
      <c r="D3809" s="17" t="s">
        <v>83</v>
      </c>
      <c r="E3809" s="17" t="s">
        <v>20</v>
      </c>
      <c r="F3809" s="16" t="s">
        <v>11788</v>
      </c>
    </row>
    <row r="3810" spans="1:6" x14ac:dyDescent="0.25">
      <c r="A3810" s="16" t="s">
        <v>11789</v>
      </c>
      <c r="B3810" s="17" t="s">
        <v>11790</v>
      </c>
      <c r="C3810" s="17" t="s">
        <v>11</v>
      </c>
      <c r="D3810" s="17" t="s">
        <v>26</v>
      </c>
      <c r="E3810" s="17" t="s">
        <v>20</v>
      </c>
      <c r="F3810" s="16" t="s">
        <v>11791</v>
      </c>
    </row>
    <row r="3811" spans="1:6" x14ac:dyDescent="0.25">
      <c r="A3811" s="16" t="s">
        <v>11792</v>
      </c>
      <c r="B3811" s="17" t="s">
        <v>11793</v>
      </c>
      <c r="C3811" s="17" t="s">
        <v>11</v>
      </c>
      <c r="D3811" s="17" t="s">
        <v>32</v>
      </c>
      <c r="E3811" s="17" t="s">
        <v>20</v>
      </c>
      <c r="F3811" s="16" t="s">
        <v>11794</v>
      </c>
    </row>
    <row r="3812" spans="1:6" x14ac:dyDescent="0.25">
      <c r="A3812" s="16" t="s">
        <v>11795</v>
      </c>
      <c r="B3812" s="17" t="s">
        <v>11796</v>
      </c>
      <c r="C3812" s="17" t="s">
        <v>11</v>
      </c>
      <c r="D3812" s="17" t="s">
        <v>32</v>
      </c>
      <c r="E3812" s="17" t="s">
        <v>20</v>
      </c>
      <c r="F3812" s="16" t="s">
        <v>11797</v>
      </c>
    </row>
    <row r="3813" spans="1:6" x14ac:dyDescent="0.25">
      <c r="A3813" s="16" t="s">
        <v>11798</v>
      </c>
      <c r="B3813" s="17" t="s">
        <v>11799</v>
      </c>
      <c r="C3813" s="17" t="s">
        <v>11</v>
      </c>
      <c r="D3813" s="17" t="s">
        <v>811</v>
      </c>
      <c r="E3813" s="17" t="s">
        <v>20</v>
      </c>
      <c r="F3813" s="16" t="s">
        <v>11800</v>
      </c>
    </row>
    <row r="3814" spans="1:6" x14ac:dyDescent="0.25">
      <c r="A3814" s="16" t="s">
        <v>11801</v>
      </c>
      <c r="B3814" s="17" t="s">
        <v>11802</v>
      </c>
      <c r="C3814" s="17" t="s">
        <v>11</v>
      </c>
      <c r="D3814" s="17" t="s">
        <v>32</v>
      </c>
      <c r="E3814" s="17" t="s">
        <v>20</v>
      </c>
      <c r="F3814" s="16" t="s">
        <v>11803</v>
      </c>
    </row>
    <row r="3815" spans="1:6" x14ac:dyDescent="0.25">
      <c r="A3815" s="16" t="s">
        <v>11804</v>
      </c>
      <c r="B3815" s="17" t="s">
        <v>11805</v>
      </c>
      <c r="C3815" s="17" t="s">
        <v>11</v>
      </c>
      <c r="D3815" s="17" t="s">
        <v>89</v>
      </c>
      <c r="E3815" s="17" t="s">
        <v>20</v>
      </c>
      <c r="F3815" s="16" t="s">
        <v>11806</v>
      </c>
    </row>
    <row r="3816" spans="1:6" x14ac:dyDescent="0.25">
      <c r="A3816" s="16" t="s">
        <v>11807</v>
      </c>
      <c r="B3816" s="17" t="s">
        <v>11808</v>
      </c>
      <c r="C3816" s="17" t="s">
        <v>11</v>
      </c>
      <c r="D3816" s="17" t="s">
        <v>89</v>
      </c>
      <c r="E3816" s="17" t="s">
        <v>20</v>
      </c>
      <c r="F3816" s="16" t="s">
        <v>11809</v>
      </c>
    </row>
    <row r="3817" spans="1:6" x14ac:dyDescent="0.25">
      <c r="A3817" s="16" t="s">
        <v>11810</v>
      </c>
      <c r="B3817" s="17" t="s">
        <v>11811</v>
      </c>
      <c r="C3817" s="17" t="s">
        <v>11</v>
      </c>
      <c r="D3817" s="17" t="s">
        <v>32</v>
      </c>
      <c r="E3817" s="17" t="s">
        <v>20</v>
      </c>
      <c r="F3817" s="16" t="s">
        <v>11812</v>
      </c>
    </row>
    <row r="3818" spans="1:6" x14ac:dyDescent="0.25">
      <c r="A3818" s="16" t="s">
        <v>11813</v>
      </c>
      <c r="B3818" s="17" t="s">
        <v>11814</v>
      </c>
      <c r="C3818" s="17" t="s">
        <v>11</v>
      </c>
      <c r="D3818" s="17" t="s">
        <v>74</v>
      </c>
      <c r="E3818" s="17" t="s">
        <v>20</v>
      </c>
      <c r="F3818" s="16" t="s">
        <v>11815</v>
      </c>
    </row>
    <row r="3819" spans="1:6" x14ac:dyDescent="0.25">
      <c r="A3819" s="16" t="s">
        <v>11816</v>
      </c>
      <c r="B3819" s="17" t="s">
        <v>11817</v>
      </c>
      <c r="C3819" s="17" t="s">
        <v>11</v>
      </c>
      <c r="D3819" s="17" t="s">
        <v>32</v>
      </c>
      <c r="E3819" s="17" t="s">
        <v>20</v>
      </c>
      <c r="F3819" s="16" t="s">
        <v>11818</v>
      </c>
    </row>
    <row r="3820" spans="1:6" x14ac:dyDescent="0.25">
      <c r="A3820" s="16" t="s">
        <v>11819</v>
      </c>
      <c r="B3820" s="17" t="s">
        <v>11820</v>
      </c>
      <c r="C3820" s="17" t="s">
        <v>11</v>
      </c>
      <c r="D3820" s="17" t="s">
        <v>19</v>
      </c>
      <c r="E3820" s="17" t="s">
        <v>20</v>
      </c>
      <c r="F3820" s="16" t="s">
        <v>11821</v>
      </c>
    </row>
    <row r="3821" spans="1:6" x14ac:dyDescent="0.25">
      <c r="A3821" s="16" t="s">
        <v>11822</v>
      </c>
      <c r="B3821" s="17" t="s">
        <v>11823</v>
      </c>
      <c r="C3821" s="17" t="s">
        <v>11</v>
      </c>
      <c r="D3821" s="17" t="s">
        <v>182</v>
      </c>
      <c r="E3821" s="17" t="s">
        <v>20</v>
      </c>
      <c r="F3821" s="16" t="s">
        <v>11824</v>
      </c>
    </row>
    <row r="3822" spans="1:6" x14ac:dyDescent="0.25">
      <c r="A3822" s="16" t="s">
        <v>11825</v>
      </c>
      <c r="B3822" s="17" t="s">
        <v>11826</v>
      </c>
      <c r="C3822" s="17" t="s">
        <v>11</v>
      </c>
      <c r="D3822" s="17" t="s">
        <v>576</v>
      </c>
      <c r="E3822" s="17" t="s">
        <v>20</v>
      </c>
      <c r="F3822" s="16" t="s">
        <v>11827</v>
      </c>
    </row>
    <row r="3823" spans="1:6" x14ac:dyDescent="0.25">
      <c r="A3823" s="16" t="s">
        <v>11828</v>
      </c>
      <c r="B3823" s="17" t="s">
        <v>11829</v>
      </c>
      <c r="C3823" s="17" t="s">
        <v>11</v>
      </c>
      <c r="D3823" s="17" t="s">
        <v>83</v>
      </c>
      <c r="E3823" s="17" t="s">
        <v>20</v>
      </c>
      <c r="F3823" s="16" t="s">
        <v>11830</v>
      </c>
    </row>
    <row r="3824" spans="1:6" x14ac:dyDescent="0.25">
      <c r="A3824" s="16" t="s">
        <v>11831</v>
      </c>
      <c r="B3824" s="17" t="s">
        <v>11832</v>
      </c>
      <c r="C3824" s="17" t="s">
        <v>359</v>
      </c>
      <c r="D3824" s="17" t="s">
        <v>32</v>
      </c>
      <c r="E3824" s="17" t="s">
        <v>20</v>
      </c>
      <c r="F3824" s="16" t="s">
        <v>11833</v>
      </c>
    </row>
    <row r="3825" spans="1:6" x14ac:dyDescent="0.25">
      <c r="A3825" s="16" t="s">
        <v>11834</v>
      </c>
      <c r="B3825" s="17" t="s">
        <v>11835</v>
      </c>
      <c r="C3825" s="17" t="s">
        <v>11</v>
      </c>
      <c r="D3825" s="17" t="s">
        <v>83</v>
      </c>
      <c r="E3825" s="17" t="s">
        <v>20</v>
      </c>
      <c r="F3825" s="16" t="s">
        <v>11836</v>
      </c>
    </row>
    <row r="3826" spans="1:6" x14ac:dyDescent="0.25">
      <c r="A3826" s="16" t="s">
        <v>11837</v>
      </c>
      <c r="B3826" s="17" t="s">
        <v>11838</v>
      </c>
      <c r="C3826" s="17" t="s">
        <v>11</v>
      </c>
      <c r="D3826" s="17" t="s">
        <v>32</v>
      </c>
      <c r="E3826" s="17" t="s">
        <v>20</v>
      </c>
      <c r="F3826" s="16" t="s">
        <v>11839</v>
      </c>
    </row>
    <row r="3827" spans="1:6" x14ac:dyDescent="0.25">
      <c r="A3827" s="16" t="s">
        <v>11840</v>
      </c>
      <c r="B3827" s="17" t="s">
        <v>11841</v>
      </c>
      <c r="C3827" s="17" t="s">
        <v>11</v>
      </c>
      <c r="D3827" s="17" t="s">
        <v>148</v>
      </c>
      <c r="E3827" s="17" t="s">
        <v>20</v>
      </c>
      <c r="F3827" s="16" t="s">
        <v>11842</v>
      </c>
    </row>
    <row r="3828" spans="1:6" x14ac:dyDescent="0.25">
      <c r="A3828" s="16" t="s">
        <v>11843</v>
      </c>
      <c r="B3828" s="17" t="s">
        <v>11844</v>
      </c>
      <c r="C3828" s="17" t="s">
        <v>11</v>
      </c>
      <c r="D3828" s="17" t="s">
        <v>32</v>
      </c>
      <c r="E3828" s="17" t="s">
        <v>20</v>
      </c>
      <c r="F3828" s="16" t="s">
        <v>11845</v>
      </c>
    </row>
    <row r="3829" spans="1:6" x14ac:dyDescent="0.25">
      <c r="A3829" s="16" t="s">
        <v>11846</v>
      </c>
      <c r="B3829" s="17" t="s">
        <v>11847</v>
      </c>
      <c r="C3829" s="17" t="s">
        <v>11</v>
      </c>
      <c r="D3829" s="17" t="s">
        <v>83</v>
      </c>
      <c r="E3829" s="17" t="s">
        <v>20</v>
      </c>
      <c r="F3829" s="16" t="s">
        <v>11848</v>
      </c>
    </row>
    <row r="3830" spans="1:6" x14ac:dyDescent="0.25">
      <c r="A3830" s="16" t="s">
        <v>11849</v>
      </c>
      <c r="B3830" s="17" t="s">
        <v>11850</v>
      </c>
      <c r="C3830" s="17" t="s">
        <v>11</v>
      </c>
      <c r="D3830" s="17" t="s">
        <v>1318</v>
      </c>
      <c r="E3830" s="17" t="s">
        <v>20</v>
      </c>
      <c r="F3830" s="16" t="s">
        <v>11851</v>
      </c>
    </row>
    <row r="3831" spans="1:6" x14ac:dyDescent="0.25">
      <c r="A3831" s="16" t="s">
        <v>11852</v>
      </c>
      <c r="B3831" s="17" t="s">
        <v>11853</v>
      </c>
      <c r="C3831" s="17" t="s">
        <v>11</v>
      </c>
      <c r="D3831" s="17" t="s">
        <v>32</v>
      </c>
      <c r="E3831" s="17" t="s">
        <v>20</v>
      </c>
      <c r="F3831" s="16" t="s">
        <v>11854</v>
      </c>
    </row>
    <row r="3832" spans="1:6" x14ac:dyDescent="0.25">
      <c r="A3832" s="16" t="s">
        <v>11855</v>
      </c>
      <c r="B3832" s="17" t="s">
        <v>11856</v>
      </c>
      <c r="C3832" s="17" t="s">
        <v>11</v>
      </c>
      <c r="D3832" s="17" t="s">
        <v>32</v>
      </c>
      <c r="E3832" s="17" t="s">
        <v>20</v>
      </c>
      <c r="F3832" s="16" t="s">
        <v>11857</v>
      </c>
    </row>
    <row r="3833" spans="1:6" x14ac:dyDescent="0.25">
      <c r="A3833" s="16" t="s">
        <v>11858</v>
      </c>
      <c r="B3833" s="17" t="s">
        <v>11859</v>
      </c>
      <c r="C3833" s="17" t="s">
        <v>11</v>
      </c>
      <c r="D3833" s="17" t="s">
        <v>83</v>
      </c>
      <c r="E3833" s="17" t="s">
        <v>20</v>
      </c>
      <c r="F3833" s="16" t="s">
        <v>11860</v>
      </c>
    </row>
    <row r="3834" spans="1:6" x14ac:dyDescent="0.25">
      <c r="A3834" s="16" t="s">
        <v>11861</v>
      </c>
      <c r="B3834" s="17" t="s">
        <v>11862</v>
      </c>
      <c r="C3834" s="17" t="s">
        <v>11</v>
      </c>
      <c r="D3834" s="17" t="s">
        <v>148</v>
      </c>
      <c r="E3834" s="17" t="s">
        <v>20</v>
      </c>
      <c r="F3834" s="16" t="s">
        <v>11863</v>
      </c>
    </row>
    <row r="3835" spans="1:6" x14ac:dyDescent="0.25">
      <c r="A3835" s="16" t="s">
        <v>11864</v>
      </c>
      <c r="B3835" s="17" t="s">
        <v>11865</v>
      </c>
      <c r="C3835" s="17" t="s">
        <v>11</v>
      </c>
      <c r="D3835" s="17" t="s">
        <v>32</v>
      </c>
      <c r="E3835" s="17" t="s">
        <v>20</v>
      </c>
      <c r="F3835" s="16" t="s">
        <v>11866</v>
      </c>
    </row>
    <row r="3836" spans="1:6" x14ac:dyDescent="0.25">
      <c r="A3836" s="16" t="s">
        <v>11867</v>
      </c>
      <c r="B3836" s="17" t="s">
        <v>11868</v>
      </c>
      <c r="C3836" s="17" t="s">
        <v>11</v>
      </c>
      <c r="D3836" s="17" t="s">
        <v>80</v>
      </c>
      <c r="E3836" s="17" t="s">
        <v>20</v>
      </c>
      <c r="F3836" s="16" t="s">
        <v>11869</v>
      </c>
    </row>
    <row r="3837" spans="1:6" x14ac:dyDescent="0.25">
      <c r="A3837" s="16" t="s">
        <v>11870</v>
      </c>
      <c r="B3837" s="17" t="s">
        <v>11871</v>
      </c>
      <c r="C3837" s="17" t="s">
        <v>11</v>
      </c>
      <c r="D3837" s="17" t="s">
        <v>32</v>
      </c>
      <c r="E3837" s="17" t="s">
        <v>20</v>
      </c>
      <c r="F3837" s="16" t="s">
        <v>11872</v>
      </c>
    </row>
    <row r="3838" spans="1:6" x14ac:dyDescent="0.25">
      <c r="A3838" s="16" t="s">
        <v>11873</v>
      </c>
      <c r="B3838" s="17" t="s">
        <v>11874</v>
      </c>
      <c r="C3838" s="17" t="s">
        <v>11</v>
      </c>
      <c r="D3838" s="17" t="s">
        <v>83</v>
      </c>
      <c r="E3838" s="17" t="s">
        <v>20</v>
      </c>
      <c r="F3838" s="16" t="s">
        <v>11875</v>
      </c>
    </row>
    <row r="3839" spans="1:6" x14ac:dyDescent="0.25">
      <c r="A3839" s="16" t="s">
        <v>11876</v>
      </c>
      <c r="B3839" s="17" t="s">
        <v>11877</v>
      </c>
      <c r="C3839" s="17" t="s">
        <v>11</v>
      </c>
      <c r="D3839" s="17" t="s">
        <v>182</v>
      </c>
      <c r="E3839" s="17" t="s">
        <v>20</v>
      </c>
      <c r="F3839" s="16" t="s">
        <v>11878</v>
      </c>
    </row>
    <row r="3840" spans="1:6" x14ac:dyDescent="0.25">
      <c r="A3840" s="16" t="s">
        <v>11879</v>
      </c>
      <c r="B3840" s="17" t="s">
        <v>11880</v>
      </c>
      <c r="C3840" s="17" t="s">
        <v>214</v>
      </c>
      <c r="D3840" s="17" t="s">
        <v>186</v>
      </c>
      <c r="E3840" s="17" t="s">
        <v>20</v>
      </c>
      <c r="F3840" s="16" t="s">
        <v>11881</v>
      </c>
    </row>
    <row r="3841" spans="1:6" x14ac:dyDescent="0.25">
      <c r="A3841" s="16" t="s">
        <v>11882</v>
      </c>
      <c r="B3841" s="17" t="s">
        <v>11883</v>
      </c>
      <c r="C3841" s="17" t="s">
        <v>11</v>
      </c>
      <c r="D3841" s="17" t="s">
        <v>83</v>
      </c>
      <c r="E3841" s="17" t="s">
        <v>20</v>
      </c>
      <c r="F3841" s="16" t="s">
        <v>11884</v>
      </c>
    </row>
    <row r="3842" spans="1:6" x14ac:dyDescent="0.25">
      <c r="A3842" s="16" t="s">
        <v>11885</v>
      </c>
      <c r="B3842" s="17" t="s">
        <v>11886</v>
      </c>
      <c r="C3842" s="17" t="s">
        <v>11</v>
      </c>
      <c r="D3842" s="17" t="s">
        <v>83</v>
      </c>
      <c r="E3842" s="17" t="s">
        <v>20</v>
      </c>
      <c r="F3842" s="16" t="s">
        <v>11887</v>
      </c>
    </row>
    <row r="3843" spans="1:6" x14ac:dyDescent="0.25">
      <c r="A3843" s="16" t="s">
        <v>11888</v>
      </c>
      <c r="B3843" s="17" t="s">
        <v>11889</v>
      </c>
      <c r="C3843" s="17" t="s">
        <v>11</v>
      </c>
      <c r="D3843" s="17" t="s">
        <v>233</v>
      </c>
      <c r="E3843" s="17" t="s">
        <v>20</v>
      </c>
      <c r="F3843" s="16" t="s">
        <v>11890</v>
      </c>
    </row>
    <row r="3844" spans="1:6" x14ac:dyDescent="0.25">
      <c r="A3844" s="16" t="s">
        <v>11891</v>
      </c>
      <c r="B3844" s="17" t="s">
        <v>11892</v>
      </c>
      <c r="C3844" s="17" t="s">
        <v>11</v>
      </c>
      <c r="D3844" s="17" t="s">
        <v>74</v>
      </c>
      <c r="E3844" s="17" t="s">
        <v>20</v>
      </c>
      <c r="F3844" s="16" t="s">
        <v>11893</v>
      </c>
    </row>
    <row r="3845" spans="1:6" x14ac:dyDescent="0.25">
      <c r="A3845" s="16" t="s">
        <v>11894</v>
      </c>
      <c r="B3845" s="17" t="s">
        <v>11895</v>
      </c>
      <c r="C3845" s="17" t="s">
        <v>11</v>
      </c>
      <c r="D3845" s="17" t="s">
        <v>32</v>
      </c>
      <c r="E3845" s="17" t="s">
        <v>20</v>
      </c>
      <c r="F3845" s="16" t="s">
        <v>11896</v>
      </c>
    </row>
    <row r="3846" spans="1:6" x14ac:dyDescent="0.25">
      <c r="A3846" s="16" t="s">
        <v>11897</v>
      </c>
      <c r="B3846" s="17" t="s">
        <v>11898</v>
      </c>
      <c r="C3846" s="17" t="s">
        <v>11</v>
      </c>
      <c r="D3846" s="17" t="s">
        <v>26</v>
      </c>
      <c r="E3846" s="17" t="s">
        <v>20</v>
      </c>
      <c r="F3846" s="16" t="s">
        <v>11899</v>
      </c>
    </row>
    <row r="3847" spans="1:6" x14ac:dyDescent="0.25">
      <c r="A3847" s="16" t="s">
        <v>11900</v>
      </c>
      <c r="B3847" s="17" t="s">
        <v>11901</v>
      </c>
      <c r="C3847" s="17" t="s">
        <v>11</v>
      </c>
      <c r="D3847" s="17" t="s">
        <v>83</v>
      </c>
      <c r="E3847" s="17" t="s">
        <v>20</v>
      </c>
      <c r="F3847" s="16" t="s">
        <v>11902</v>
      </c>
    </row>
    <row r="3848" spans="1:6" x14ac:dyDescent="0.25">
      <c r="A3848" s="16" t="s">
        <v>11903</v>
      </c>
      <c r="B3848" s="17" t="s">
        <v>11904</v>
      </c>
      <c r="C3848" s="17" t="s">
        <v>11</v>
      </c>
      <c r="D3848" s="17" t="s">
        <v>83</v>
      </c>
      <c r="E3848" s="17" t="s">
        <v>20</v>
      </c>
      <c r="F3848" s="16" t="s">
        <v>11905</v>
      </c>
    </row>
    <row r="3849" spans="1:6" x14ac:dyDescent="0.25">
      <c r="A3849" s="16" t="s">
        <v>11906</v>
      </c>
      <c r="B3849" s="17" t="s">
        <v>11907</v>
      </c>
      <c r="C3849" s="17" t="s">
        <v>11</v>
      </c>
      <c r="D3849" s="17" t="s">
        <v>186</v>
      </c>
      <c r="E3849" s="17" t="s">
        <v>20</v>
      </c>
      <c r="F3849" s="16" t="s">
        <v>11908</v>
      </c>
    </row>
    <row r="3850" spans="1:6" x14ac:dyDescent="0.25">
      <c r="A3850" s="16" t="s">
        <v>11909</v>
      </c>
      <c r="B3850" s="17" t="s">
        <v>11910</v>
      </c>
      <c r="C3850" s="17" t="s">
        <v>11</v>
      </c>
      <c r="D3850" s="17" t="s">
        <v>233</v>
      </c>
      <c r="E3850" s="17" t="s">
        <v>20</v>
      </c>
      <c r="F3850" s="16" t="s">
        <v>11911</v>
      </c>
    </row>
    <row r="3851" spans="1:6" x14ac:dyDescent="0.25">
      <c r="A3851" s="16" t="s">
        <v>11912</v>
      </c>
      <c r="B3851" s="17" t="s">
        <v>11913</v>
      </c>
      <c r="C3851" s="17" t="s">
        <v>11</v>
      </c>
      <c r="D3851" s="17" t="s">
        <v>83</v>
      </c>
      <c r="E3851" s="17" t="s">
        <v>20</v>
      </c>
      <c r="F3851" s="16" t="s">
        <v>11914</v>
      </c>
    </row>
    <row r="3852" spans="1:6" x14ac:dyDescent="0.25">
      <c r="A3852" s="16" t="s">
        <v>11915</v>
      </c>
      <c r="B3852" s="17" t="s">
        <v>11916</v>
      </c>
      <c r="C3852" s="17" t="s">
        <v>11</v>
      </c>
      <c r="D3852" s="17" t="s">
        <v>32</v>
      </c>
      <c r="E3852" s="17" t="s">
        <v>20</v>
      </c>
      <c r="F3852" s="16" t="s">
        <v>11917</v>
      </c>
    </row>
    <row r="3853" spans="1:6" x14ac:dyDescent="0.25">
      <c r="A3853" s="16" t="s">
        <v>11918</v>
      </c>
      <c r="B3853" s="17" t="s">
        <v>11919</v>
      </c>
      <c r="C3853" s="17" t="s">
        <v>11</v>
      </c>
      <c r="D3853" s="17" t="s">
        <v>32</v>
      </c>
      <c r="E3853" s="17" t="s">
        <v>20</v>
      </c>
      <c r="F3853" s="16" t="s">
        <v>11920</v>
      </c>
    </row>
    <row r="3854" spans="1:6" x14ac:dyDescent="0.25">
      <c r="A3854" s="16" t="s">
        <v>11921</v>
      </c>
      <c r="B3854" s="17" t="s">
        <v>11922</v>
      </c>
      <c r="C3854" s="17" t="s">
        <v>11</v>
      </c>
      <c r="D3854" s="17" t="s">
        <v>32</v>
      </c>
      <c r="E3854" s="17" t="s">
        <v>20</v>
      </c>
      <c r="F3854" s="16" t="s">
        <v>11923</v>
      </c>
    </row>
    <row r="3855" spans="1:6" x14ac:dyDescent="0.25">
      <c r="A3855" s="16" t="s">
        <v>11924</v>
      </c>
      <c r="B3855" s="17" t="s">
        <v>11925</v>
      </c>
      <c r="C3855" s="17" t="s">
        <v>11</v>
      </c>
      <c r="D3855" s="17" t="s">
        <v>32</v>
      </c>
      <c r="E3855" s="17" t="s">
        <v>20</v>
      </c>
      <c r="F3855" s="16" t="s">
        <v>11926</v>
      </c>
    </row>
    <row r="3856" spans="1:6" x14ac:dyDescent="0.25">
      <c r="A3856" s="16" t="s">
        <v>11927</v>
      </c>
      <c r="B3856" s="17" t="s">
        <v>11928</v>
      </c>
      <c r="C3856" s="17" t="s">
        <v>11</v>
      </c>
      <c r="D3856" s="17" t="s">
        <v>32</v>
      </c>
      <c r="E3856" s="17" t="s">
        <v>20</v>
      </c>
      <c r="F3856" s="16" t="s">
        <v>11929</v>
      </c>
    </row>
    <row r="3857" spans="1:6" x14ac:dyDescent="0.25">
      <c r="A3857" s="16" t="s">
        <v>11930</v>
      </c>
      <c r="B3857" s="17" t="s">
        <v>11931</v>
      </c>
      <c r="C3857" s="17" t="s">
        <v>11</v>
      </c>
      <c r="D3857" s="17" t="s">
        <v>32</v>
      </c>
      <c r="E3857" s="17" t="s">
        <v>20</v>
      </c>
      <c r="F3857" s="16" t="s">
        <v>11932</v>
      </c>
    </row>
    <row r="3858" spans="1:6" x14ac:dyDescent="0.25">
      <c r="A3858" s="16" t="s">
        <v>11933</v>
      </c>
      <c r="B3858" s="17" t="s">
        <v>11934</v>
      </c>
      <c r="C3858" s="17" t="s">
        <v>359</v>
      </c>
      <c r="D3858" s="17" t="s">
        <v>32</v>
      </c>
      <c r="E3858" s="17" t="s">
        <v>20</v>
      </c>
      <c r="F3858" s="16" t="s">
        <v>11935</v>
      </c>
    </row>
    <row r="3859" spans="1:6" x14ac:dyDescent="0.25">
      <c r="A3859" s="16" t="s">
        <v>11936</v>
      </c>
      <c r="B3859" s="17" t="s">
        <v>11937</v>
      </c>
      <c r="C3859" s="17" t="s">
        <v>11</v>
      </c>
      <c r="D3859" s="17" t="s">
        <v>74</v>
      </c>
      <c r="E3859" s="17" t="s">
        <v>20</v>
      </c>
      <c r="F3859" s="16" t="s">
        <v>11938</v>
      </c>
    </row>
    <row r="3860" spans="1:6" x14ac:dyDescent="0.25">
      <c r="A3860" s="16" t="s">
        <v>11939</v>
      </c>
      <c r="B3860" s="17" t="s">
        <v>11940</v>
      </c>
      <c r="C3860" s="17" t="s">
        <v>11</v>
      </c>
      <c r="D3860" s="17" t="s">
        <v>80</v>
      </c>
      <c r="E3860" s="17" t="s">
        <v>20</v>
      </c>
      <c r="F3860" s="16" t="s">
        <v>11941</v>
      </c>
    </row>
    <row r="3861" spans="1:6" x14ac:dyDescent="0.25">
      <c r="A3861" s="16" t="s">
        <v>11942</v>
      </c>
      <c r="B3861" s="17" t="s">
        <v>11943</v>
      </c>
      <c r="C3861" s="17" t="s">
        <v>11</v>
      </c>
      <c r="D3861" s="17" t="s">
        <v>83</v>
      </c>
      <c r="E3861" s="17" t="s">
        <v>20</v>
      </c>
      <c r="F3861" s="16" t="s">
        <v>11944</v>
      </c>
    </row>
    <row r="3862" spans="1:6" x14ac:dyDescent="0.25">
      <c r="A3862" s="16" t="s">
        <v>11945</v>
      </c>
      <c r="B3862" s="17" t="s">
        <v>11946</v>
      </c>
      <c r="C3862" s="17" t="s">
        <v>11</v>
      </c>
      <c r="D3862" s="17" t="s">
        <v>83</v>
      </c>
      <c r="E3862" s="17" t="s">
        <v>20</v>
      </c>
      <c r="F3862" s="16" t="s">
        <v>11947</v>
      </c>
    </row>
    <row r="3863" spans="1:6" x14ac:dyDescent="0.25">
      <c r="A3863" s="16" t="s">
        <v>11948</v>
      </c>
      <c r="B3863" s="17" t="s">
        <v>11949</v>
      </c>
      <c r="C3863" s="17" t="s">
        <v>11</v>
      </c>
      <c r="D3863" s="17" t="s">
        <v>26</v>
      </c>
      <c r="E3863" s="17" t="s">
        <v>20</v>
      </c>
      <c r="F3863" s="16" t="s">
        <v>11950</v>
      </c>
    </row>
    <row r="3864" spans="1:6" x14ac:dyDescent="0.25">
      <c r="A3864" s="16" t="s">
        <v>11951</v>
      </c>
      <c r="B3864" s="17" t="s">
        <v>11952</v>
      </c>
      <c r="C3864" s="17" t="s">
        <v>11</v>
      </c>
      <c r="D3864" s="17" t="s">
        <v>32</v>
      </c>
      <c r="E3864" s="17" t="s">
        <v>20</v>
      </c>
      <c r="F3864" s="16" t="s">
        <v>11953</v>
      </c>
    </row>
    <row r="3865" spans="1:6" x14ac:dyDescent="0.25">
      <c r="A3865" s="16" t="s">
        <v>11954</v>
      </c>
      <c r="B3865" s="17" t="s">
        <v>11955</v>
      </c>
      <c r="C3865" s="17" t="s">
        <v>11</v>
      </c>
      <c r="D3865" s="17" t="s">
        <v>32</v>
      </c>
      <c r="E3865" s="17" t="s">
        <v>20</v>
      </c>
      <c r="F3865" s="16" t="s">
        <v>11956</v>
      </c>
    </row>
    <row r="3866" spans="1:6" x14ac:dyDescent="0.25">
      <c r="A3866" s="16" t="s">
        <v>11957</v>
      </c>
      <c r="B3866" s="17" t="s">
        <v>11958</v>
      </c>
      <c r="C3866" s="17" t="s">
        <v>11</v>
      </c>
      <c r="D3866" s="17" t="s">
        <v>83</v>
      </c>
      <c r="E3866" s="17" t="s">
        <v>20</v>
      </c>
      <c r="F3866" s="16" t="s">
        <v>11959</v>
      </c>
    </row>
    <row r="3867" spans="1:6" x14ac:dyDescent="0.25">
      <c r="A3867" s="16" t="s">
        <v>11960</v>
      </c>
      <c r="B3867" s="17" t="s">
        <v>11961</v>
      </c>
      <c r="C3867" s="17" t="s">
        <v>11</v>
      </c>
      <c r="D3867" s="17" t="s">
        <v>32</v>
      </c>
      <c r="E3867" s="17" t="s">
        <v>20</v>
      </c>
      <c r="F3867" s="16" t="s">
        <v>11962</v>
      </c>
    </row>
    <row r="3868" spans="1:6" x14ac:dyDescent="0.25">
      <c r="A3868" s="16" t="s">
        <v>11963</v>
      </c>
      <c r="B3868" s="17" t="s">
        <v>11964</v>
      </c>
      <c r="C3868" s="17" t="s">
        <v>214</v>
      </c>
      <c r="D3868" s="17" t="s">
        <v>32</v>
      </c>
      <c r="E3868" s="17" t="s">
        <v>20</v>
      </c>
      <c r="F3868" s="16" t="s">
        <v>11965</v>
      </c>
    </row>
    <row r="3869" spans="1:6" x14ac:dyDescent="0.25">
      <c r="A3869" s="16" t="s">
        <v>11966</v>
      </c>
      <c r="B3869" s="17" t="s">
        <v>11967</v>
      </c>
      <c r="C3869" s="17" t="s">
        <v>11</v>
      </c>
      <c r="D3869" s="17" t="s">
        <v>182</v>
      </c>
      <c r="E3869" s="17" t="s">
        <v>20</v>
      </c>
      <c r="F3869" s="16" t="s">
        <v>11968</v>
      </c>
    </row>
    <row r="3870" spans="1:6" x14ac:dyDescent="0.25">
      <c r="A3870" s="16" t="s">
        <v>11969</v>
      </c>
      <c r="B3870" s="17" t="s">
        <v>11970</v>
      </c>
      <c r="C3870" s="17" t="s">
        <v>11</v>
      </c>
      <c r="D3870" s="17" t="s">
        <v>32</v>
      </c>
      <c r="E3870" s="17" t="s">
        <v>20</v>
      </c>
      <c r="F3870" s="16" t="s">
        <v>11971</v>
      </c>
    </row>
    <row r="3871" spans="1:6" x14ac:dyDescent="0.25">
      <c r="A3871" s="16" t="s">
        <v>11972</v>
      </c>
      <c r="B3871" s="17" t="s">
        <v>11973</v>
      </c>
      <c r="C3871" s="17" t="s">
        <v>11</v>
      </c>
      <c r="D3871" s="17" t="s">
        <v>32</v>
      </c>
      <c r="E3871" s="17" t="s">
        <v>20</v>
      </c>
      <c r="F3871" s="16" t="s">
        <v>11974</v>
      </c>
    </row>
    <row r="3872" spans="1:6" x14ac:dyDescent="0.25">
      <c r="A3872" s="16" t="s">
        <v>11975</v>
      </c>
      <c r="B3872" s="17" t="s">
        <v>11976</v>
      </c>
      <c r="C3872" s="17" t="s">
        <v>11</v>
      </c>
      <c r="D3872" s="17" t="s">
        <v>32</v>
      </c>
      <c r="E3872" s="17" t="s">
        <v>20</v>
      </c>
      <c r="F3872" s="16" t="s">
        <v>11977</v>
      </c>
    </row>
    <row r="3873" spans="1:6" x14ac:dyDescent="0.25">
      <c r="A3873" s="16" t="s">
        <v>11978</v>
      </c>
      <c r="B3873" s="17" t="s">
        <v>11979</v>
      </c>
      <c r="C3873" s="17" t="s">
        <v>11</v>
      </c>
      <c r="D3873" s="17" t="s">
        <v>83</v>
      </c>
      <c r="E3873" s="17" t="s">
        <v>20</v>
      </c>
      <c r="F3873" s="16" t="s">
        <v>11980</v>
      </c>
    </row>
    <row r="3874" spans="1:6" x14ac:dyDescent="0.25">
      <c r="A3874" s="16" t="s">
        <v>11981</v>
      </c>
      <c r="B3874" s="17" t="s">
        <v>11982</v>
      </c>
      <c r="C3874" s="17" t="s">
        <v>11</v>
      </c>
      <c r="D3874" s="17" t="s">
        <v>89</v>
      </c>
      <c r="E3874" s="17" t="s">
        <v>20</v>
      </c>
      <c r="F3874" s="16" t="s">
        <v>11983</v>
      </c>
    </row>
    <row r="3875" spans="1:6" x14ac:dyDescent="0.25">
      <c r="A3875" s="16" t="s">
        <v>11984</v>
      </c>
      <c r="B3875" s="17" t="s">
        <v>11985</v>
      </c>
      <c r="C3875" s="17" t="s">
        <v>11</v>
      </c>
      <c r="D3875" s="17" t="s">
        <v>32</v>
      </c>
      <c r="E3875" s="17" t="s">
        <v>20</v>
      </c>
      <c r="F3875" s="16" t="s">
        <v>11986</v>
      </c>
    </row>
    <row r="3876" spans="1:6" x14ac:dyDescent="0.25">
      <c r="A3876" s="16" t="s">
        <v>11987</v>
      </c>
      <c r="B3876" s="17" t="s">
        <v>11988</v>
      </c>
      <c r="C3876" s="17" t="s">
        <v>11</v>
      </c>
      <c r="D3876" s="17" t="s">
        <v>32</v>
      </c>
      <c r="E3876" s="17" t="s">
        <v>20</v>
      </c>
      <c r="F3876" s="16" t="s">
        <v>11989</v>
      </c>
    </row>
    <row r="3877" spans="1:6" x14ac:dyDescent="0.25">
      <c r="A3877" s="16" t="s">
        <v>11990</v>
      </c>
      <c r="B3877" s="17" t="s">
        <v>11991</v>
      </c>
      <c r="C3877" s="17" t="s">
        <v>11</v>
      </c>
      <c r="D3877" s="17" t="s">
        <v>74</v>
      </c>
      <c r="E3877" s="17" t="s">
        <v>20</v>
      </c>
      <c r="F3877" s="16" t="s">
        <v>11992</v>
      </c>
    </row>
    <row r="3878" spans="1:6" x14ac:dyDescent="0.25">
      <c r="A3878" s="16" t="s">
        <v>11993</v>
      </c>
      <c r="B3878" s="17" t="s">
        <v>11994</v>
      </c>
      <c r="C3878" s="17" t="s">
        <v>11</v>
      </c>
      <c r="D3878" s="17" t="s">
        <v>32</v>
      </c>
      <c r="E3878" s="17" t="s">
        <v>20</v>
      </c>
      <c r="F3878" s="16" t="s">
        <v>11995</v>
      </c>
    </row>
    <row r="3879" spans="1:6" x14ac:dyDescent="0.25">
      <c r="A3879" s="16" t="s">
        <v>11996</v>
      </c>
      <c r="B3879" s="17" t="s">
        <v>11997</v>
      </c>
      <c r="C3879" s="17" t="s">
        <v>11</v>
      </c>
      <c r="D3879" s="17" t="s">
        <v>32</v>
      </c>
      <c r="E3879" s="17" t="s">
        <v>20</v>
      </c>
      <c r="F3879" s="16" t="s">
        <v>11998</v>
      </c>
    </row>
    <row r="3880" spans="1:6" x14ac:dyDescent="0.25">
      <c r="A3880" s="16" t="s">
        <v>11999</v>
      </c>
      <c r="B3880" s="17" t="s">
        <v>12000</v>
      </c>
      <c r="C3880" s="17" t="s">
        <v>11</v>
      </c>
      <c r="D3880" s="17" t="s">
        <v>83</v>
      </c>
      <c r="E3880" s="17" t="s">
        <v>20</v>
      </c>
      <c r="F3880" s="16" t="s">
        <v>12001</v>
      </c>
    </row>
    <row r="3881" spans="1:6" x14ac:dyDescent="0.25">
      <c r="A3881" s="16" t="s">
        <v>12002</v>
      </c>
      <c r="B3881" s="17" t="s">
        <v>12003</v>
      </c>
      <c r="C3881" s="17" t="s">
        <v>11</v>
      </c>
      <c r="D3881" s="17" t="s">
        <v>26</v>
      </c>
      <c r="E3881" s="17" t="s">
        <v>20</v>
      </c>
      <c r="F3881" s="16" t="s">
        <v>12004</v>
      </c>
    </row>
    <row r="3882" spans="1:6" x14ac:dyDescent="0.25">
      <c r="A3882" s="16" t="s">
        <v>12005</v>
      </c>
      <c r="B3882" s="17" t="s">
        <v>12006</v>
      </c>
      <c r="C3882" s="17" t="s">
        <v>11</v>
      </c>
      <c r="D3882" s="17" t="s">
        <v>68</v>
      </c>
      <c r="E3882" s="17" t="s">
        <v>20</v>
      </c>
      <c r="F3882" s="16" t="s">
        <v>12007</v>
      </c>
    </row>
    <row r="3883" spans="1:6" x14ac:dyDescent="0.25">
      <c r="A3883" s="16" t="s">
        <v>12008</v>
      </c>
      <c r="B3883" s="17" t="s">
        <v>12009</v>
      </c>
      <c r="C3883" s="17" t="s">
        <v>11</v>
      </c>
      <c r="D3883" s="17" t="s">
        <v>32</v>
      </c>
      <c r="E3883" s="17" t="s">
        <v>20</v>
      </c>
      <c r="F3883" s="16" t="s">
        <v>12010</v>
      </c>
    </row>
    <row r="3884" spans="1:6" x14ac:dyDescent="0.25">
      <c r="A3884" s="16" t="s">
        <v>12011</v>
      </c>
      <c r="B3884" s="17" t="s">
        <v>12012</v>
      </c>
      <c r="C3884" s="17" t="s">
        <v>11</v>
      </c>
      <c r="D3884" s="17" t="s">
        <v>12</v>
      </c>
      <c r="E3884" s="17" t="s">
        <v>13</v>
      </c>
      <c r="F3884" s="16" t="s">
        <v>12013</v>
      </c>
    </row>
    <row r="3885" spans="1:6" x14ac:dyDescent="0.25">
      <c r="A3885" s="16" t="s">
        <v>12014</v>
      </c>
      <c r="B3885" s="17" t="s">
        <v>12015</v>
      </c>
      <c r="C3885" s="17" t="s">
        <v>11</v>
      </c>
      <c r="D3885" s="17" t="s">
        <v>12</v>
      </c>
      <c r="E3885" s="17" t="s">
        <v>13</v>
      </c>
      <c r="F3885" s="16" t="s">
        <v>12016</v>
      </c>
    </row>
    <row r="3886" spans="1:6" x14ac:dyDescent="0.25">
      <c r="A3886" s="16" t="s">
        <v>12017</v>
      </c>
      <c r="B3886" s="17" t="s">
        <v>12018</v>
      </c>
      <c r="C3886" s="17" t="s">
        <v>11</v>
      </c>
      <c r="D3886" s="17" t="s">
        <v>26</v>
      </c>
      <c r="E3886" s="17" t="s">
        <v>20</v>
      </c>
      <c r="F3886" s="16" t="s">
        <v>12019</v>
      </c>
    </row>
    <row r="3887" spans="1:6" x14ac:dyDescent="0.25">
      <c r="A3887" s="16" t="s">
        <v>12020</v>
      </c>
      <c r="B3887" s="17" t="s">
        <v>12021</v>
      </c>
      <c r="C3887" s="17" t="s">
        <v>11</v>
      </c>
      <c r="D3887" s="17" t="s">
        <v>250</v>
      </c>
      <c r="E3887" s="17" t="s">
        <v>20</v>
      </c>
      <c r="F3887" s="16" t="s">
        <v>12022</v>
      </c>
    </row>
    <row r="3888" spans="1:6" x14ac:dyDescent="0.25">
      <c r="A3888" s="16" t="s">
        <v>12023</v>
      </c>
      <c r="B3888" s="17" t="s">
        <v>12024</v>
      </c>
      <c r="C3888" s="17" t="s">
        <v>11</v>
      </c>
      <c r="D3888" s="17" t="s">
        <v>148</v>
      </c>
      <c r="E3888" s="17" t="s">
        <v>20</v>
      </c>
      <c r="F3888" s="16" t="s">
        <v>12025</v>
      </c>
    </row>
    <row r="3889" spans="1:6" x14ac:dyDescent="0.25">
      <c r="A3889" s="16" t="s">
        <v>12026</v>
      </c>
      <c r="B3889" s="17" t="s">
        <v>12027</v>
      </c>
      <c r="C3889" s="17" t="s">
        <v>11</v>
      </c>
      <c r="D3889" s="17" t="s">
        <v>32</v>
      </c>
      <c r="E3889" s="17" t="s">
        <v>20</v>
      </c>
      <c r="F3889" s="16" t="s">
        <v>12028</v>
      </c>
    </row>
    <row r="3890" spans="1:6" x14ac:dyDescent="0.25">
      <c r="A3890" s="16" t="s">
        <v>12029</v>
      </c>
      <c r="B3890" s="17" t="s">
        <v>12030</v>
      </c>
      <c r="C3890" s="17" t="s">
        <v>11</v>
      </c>
      <c r="D3890" s="17" t="s">
        <v>148</v>
      </c>
      <c r="E3890" s="17" t="s">
        <v>20</v>
      </c>
      <c r="F3890" s="16" t="s">
        <v>12031</v>
      </c>
    </row>
    <row r="3891" spans="1:6" x14ac:dyDescent="0.25">
      <c r="A3891" s="16" t="s">
        <v>12032</v>
      </c>
      <c r="B3891" s="17" t="s">
        <v>12033</v>
      </c>
      <c r="C3891" s="17" t="s">
        <v>11</v>
      </c>
      <c r="D3891" s="17" t="s">
        <v>182</v>
      </c>
      <c r="E3891" s="17" t="s">
        <v>20</v>
      </c>
      <c r="F3891" s="16" t="s">
        <v>12034</v>
      </c>
    </row>
    <row r="3892" spans="1:6" x14ac:dyDescent="0.25">
      <c r="A3892" s="16" t="s">
        <v>12035</v>
      </c>
      <c r="B3892" s="17" t="s">
        <v>12036</v>
      </c>
      <c r="C3892" s="17" t="s">
        <v>11</v>
      </c>
      <c r="D3892" s="17" t="s">
        <v>32</v>
      </c>
      <c r="E3892" s="17" t="s">
        <v>20</v>
      </c>
      <c r="F3892" s="16" t="s">
        <v>12037</v>
      </c>
    </row>
    <row r="3893" spans="1:6" x14ac:dyDescent="0.25">
      <c r="A3893" s="16" t="s">
        <v>12038</v>
      </c>
      <c r="B3893" s="17" t="s">
        <v>12039</v>
      </c>
      <c r="C3893" s="17" t="s">
        <v>11</v>
      </c>
      <c r="D3893" s="17" t="s">
        <v>649</v>
      </c>
      <c r="E3893" s="17" t="s">
        <v>20</v>
      </c>
      <c r="F3893" s="16" t="s">
        <v>12040</v>
      </c>
    </row>
    <row r="3894" spans="1:6" x14ac:dyDescent="0.25">
      <c r="A3894" s="16" t="s">
        <v>12041</v>
      </c>
      <c r="B3894" s="17" t="s">
        <v>12042</v>
      </c>
      <c r="C3894" s="17" t="s">
        <v>11</v>
      </c>
      <c r="D3894" s="17" t="s">
        <v>570</v>
      </c>
      <c r="E3894" s="17" t="s">
        <v>20</v>
      </c>
      <c r="F3894" s="16" t="s">
        <v>12043</v>
      </c>
    </row>
    <row r="3895" spans="1:6" x14ac:dyDescent="0.25">
      <c r="A3895" s="16" t="s">
        <v>12044</v>
      </c>
      <c r="B3895" s="17" t="s">
        <v>12045</v>
      </c>
      <c r="C3895" s="17" t="s">
        <v>11</v>
      </c>
      <c r="D3895" s="17" t="s">
        <v>83</v>
      </c>
      <c r="E3895" s="17" t="s">
        <v>20</v>
      </c>
      <c r="F3895" s="16" t="s">
        <v>12046</v>
      </c>
    </row>
    <row r="3896" spans="1:6" x14ac:dyDescent="0.25">
      <c r="A3896" s="16" t="s">
        <v>12047</v>
      </c>
      <c r="B3896" s="17" t="s">
        <v>12048</v>
      </c>
      <c r="C3896" s="17" t="s">
        <v>11</v>
      </c>
      <c r="D3896" s="17" t="s">
        <v>1318</v>
      </c>
      <c r="E3896" s="17" t="s">
        <v>20</v>
      </c>
      <c r="F3896" s="16" t="s">
        <v>12049</v>
      </c>
    </row>
    <row r="3897" spans="1:6" x14ac:dyDescent="0.25">
      <c r="A3897" s="16" t="s">
        <v>12050</v>
      </c>
      <c r="B3897" s="17" t="s">
        <v>12051</v>
      </c>
      <c r="C3897" s="17" t="s">
        <v>11</v>
      </c>
      <c r="D3897" s="17" t="s">
        <v>32</v>
      </c>
      <c r="E3897" s="17" t="s">
        <v>20</v>
      </c>
      <c r="F3897" s="16" t="s">
        <v>12052</v>
      </c>
    </row>
    <row r="3898" spans="1:6" x14ac:dyDescent="0.25">
      <c r="A3898" s="16" t="s">
        <v>12053</v>
      </c>
      <c r="B3898" s="17" t="s">
        <v>12054</v>
      </c>
      <c r="C3898" s="17" t="s">
        <v>11</v>
      </c>
      <c r="D3898" s="17" t="s">
        <v>26</v>
      </c>
      <c r="E3898" s="17" t="s">
        <v>20</v>
      </c>
      <c r="F3898" s="16" t="s">
        <v>12055</v>
      </c>
    </row>
    <row r="3899" spans="1:6" x14ac:dyDescent="0.25">
      <c r="A3899" s="16" t="s">
        <v>12056</v>
      </c>
      <c r="B3899" s="17" t="s">
        <v>12057</v>
      </c>
      <c r="C3899" s="17" t="s">
        <v>11</v>
      </c>
      <c r="D3899" s="17" t="s">
        <v>32</v>
      </c>
      <c r="E3899" s="17" t="s">
        <v>20</v>
      </c>
      <c r="F3899" s="16" t="s">
        <v>12058</v>
      </c>
    </row>
    <row r="3900" spans="1:6" x14ac:dyDescent="0.25">
      <c r="A3900" s="16" t="s">
        <v>12059</v>
      </c>
      <c r="B3900" s="17" t="s">
        <v>12060</v>
      </c>
      <c r="C3900" s="17" t="s">
        <v>11</v>
      </c>
      <c r="D3900" s="17" t="s">
        <v>186</v>
      </c>
      <c r="E3900" s="17" t="s">
        <v>20</v>
      </c>
      <c r="F3900" s="16" t="s">
        <v>12061</v>
      </c>
    </row>
    <row r="3901" spans="1:6" x14ac:dyDescent="0.25">
      <c r="A3901" s="16" t="s">
        <v>12062</v>
      </c>
      <c r="B3901" s="17" t="s">
        <v>12063</v>
      </c>
      <c r="C3901" s="17" t="s">
        <v>11</v>
      </c>
      <c r="D3901" s="17" t="s">
        <v>250</v>
      </c>
      <c r="E3901" s="17" t="s">
        <v>20</v>
      </c>
      <c r="F3901" s="16" t="s">
        <v>12064</v>
      </c>
    </row>
    <row r="3902" spans="1:6" x14ac:dyDescent="0.25">
      <c r="A3902" s="16" t="s">
        <v>12065</v>
      </c>
      <c r="B3902" s="17" t="s">
        <v>12066</v>
      </c>
      <c r="C3902" s="17" t="s">
        <v>11</v>
      </c>
      <c r="D3902" s="17" t="s">
        <v>74</v>
      </c>
      <c r="E3902" s="17" t="s">
        <v>20</v>
      </c>
      <c r="F3902" s="16" t="s">
        <v>12067</v>
      </c>
    </row>
    <row r="3903" spans="1:6" x14ac:dyDescent="0.25">
      <c r="A3903" s="16" t="s">
        <v>12068</v>
      </c>
      <c r="B3903" s="17" t="s">
        <v>12069</v>
      </c>
      <c r="C3903" s="17" t="s">
        <v>11</v>
      </c>
      <c r="D3903" s="17" t="s">
        <v>544</v>
      </c>
      <c r="E3903" s="17" t="s">
        <v>20</v>
      </c>
      <c r="F3903" s="16" t="s">
        <v>12070</v>
      </c>
    </row>
    <row r="3904" spans="1:6" x14ac:dyDescent="0.25">
      <c r="A3904" s="16" t="s">
        <v>12071</v>
      </c>
      <c r="B3904" s="17" t="s">
        <v>12072</v>
      </c>
      <c r="C3904" s="17" t="s">
        <v>11</v>
      </c>
      <c r="D3904" s="17" t="s">
        <v>32</v>
      </c>
      <c r="E3904" s="17" t="s">
        <v>20</v>
      </c>
      <c r="F3904" s="16" t="s">
        <v>12073</v>
      </c>
    </row>
    <row r="3905" spans="1:6" x14ac:dyDescent="0.25">
      <c r="A3905" s="16" t="s">
        <v>12074</v>
      </c>
      <c r="B3905" s="17" t="s">
        <v>12075</v>
      </c>
      <c r="C3905" s="17" t="s">
        <v>11</v>
      </c>
      <c r="D3905" s="17" t="s">
        <v>32</v>
      </c>
      <c r="E3905" s="17" t="s">
        <v>20</v>
      </c>
      <c r="F3905" s="16" t="s">
        <v>12076</v>
      </c>
    </row>
    <row r="3906" spans="1:6" x14ac:dyDescent="0.25">
      <c r="A3906" s="16" t="s">
        <v>12077</v>
      </c>
      <c r="B3906" s="17" t="s">
        <v>12078</v>
      </c>
      <c r="C3906" s="17" t="s">
        <v>11</v>
      </c>
      <c r="D3906" s="17" t="s">
        <v>26</v>
      </c>
      <c r="E3906" s="17" t="s">
        <v>20</v>
      </c>
      <c r="F3906" s="16" t="s">
        <v>12079</v>
      </c>
    </row>
    <row r="3907" spans="1:6" x14ac:dyDescent="0.25">
      <c r="A3907" s="16" t="s">
        <v>12080</v>
      </c>
      <c r="B3907" s="17" t="s">
        <v>12081</v>
      </c>
      <c r="C3907" s="17" t="s">
        <v>11</v>
      </c>
      <c r="D3907" s="17" t="s">
        <v>32</v>
      </c>
      <c r="E3907" s="17" t="s">
        <v>20</v>
      </c>
      <c r="F3907" s="16" t="s">
        <v>12082</v>
      </c>
    </row>
    <row r="3908" spans="1:6" x14ac:dyDescent="0.25">
      <c r="A3908" s="16" t="s">
        <v>12083</v>
      </c>
      <c r="B3908" s="17" t="s">
        <v>12084</v>
      </c>
      <c r="C3908" s="17" t="s">
        <v>11</v>
      </c>
      <c r="D3908" s="17" t="s">
        <v>182</v>
      </c>
      <c r="E3908" s="17" t="s">
        <v>20</v>
      </c>
      <c r="F3908" s="16" t="s">
        <v>12085</v>
      </c>
    </row>
    <row r="3909" spans="1:6" x14ac:dyDescent="0.25">
      <c r="A3909" s="16" t="s">
        <v>12086</v>
      </c>
      <c r="B3909" s="17" t="s">
        <v>12087</v>
      </c>
      <c r="C3909" s="17" t="s">
        <v>11</v>
      </c>
      <c r="D3909" s="17" t="s">
        <v>32</v>
      </c>
      <c r="E3909" s="17" t="s">
        <v>20</v>
      </c>
      <c r="F3909" s="16" t="s">
        <v>12088</v>
      </c>
    </row>
    <row r="3910" spans="1:6" x14ac:dyDescent="0.25">
      <c r="A3910" s="16" t="s">
        <v>12089</v>
      </c>
      <c r="B3910" s="17" t="s">
        <v>12090</v>
      </c>
      <c r="C3910" s="17" t="s">
        <v>11</v>
      </c>
      <c r="D3910" s="17" t="s">
        <v>12</v>
      </c>
      <c r="E3910" s="17" t="s">
        <v>13</v>
      </c>
      <c r="F3910" s="16" t="s">
        <v>12091</v>
      </c>
    </row>
    <row r="3911" spans="1:6" x14ac:dyDescent="0.25">
      <c r="A3911" s="16" t="s">
        <v>12092</v>
      </c>
      <c r="B3911" s="17" t="s">
        <v>12093</v>
      </c>
      <c r="C3911" s="17" t="s">
        <v>11</v>
      </c>
      <c r="D3911" s="17" t="s">
        <v>32</v>
      </c>
      <c r="E3911" s="17" t="s">
        <v>20</v>
      </c>
      <c r="F3911" s="16" t="s">
        <v>12094</v>
      </c>
    </row>
    <row r="3912" spans="1:6" x14ac:dyDescent="0.25">
      <c r="A3912" s="16" t="s">
        <v>12095</v>
      </c>
      <c r="B3912" s="17" t="s">
        <v>12096</v>
      </c>
      <c r="C3912" s="17" t="s">
        <v>11</v>
      </c>
      <c r="D3912" s="17" t="s">
        <v>233</v>
      </c>
      <c r="E3912" s="17" t="s">
        <v>20</v>
      </c>
      <c r="F3912" s="16" t="s">
        <v>12097</v>
      </c>
    </row>
    <row r="3913" spans="1:6" x14ac:dyDescent="0.25">
      <c r="A3913" s="16" t="s">
        <v>12098</v>
      </c>
      <c r="B3913" s="17" t="s">
        <v>12099</v>
      </c>
      <c r="C3913" s="17" t="s">
        <v>359</v>
      </c>
      <c r="D3913" s="17" t="s">
        <v>83</v>
      </c>
      <c r="E3913" s="17" t="s">
        <v>20</v>
      </c>
      <c r="F3913" s="16" t="s">
        <v>12100</v>
      </c>
    </row>
    <row r="3914" spans="1:6" x14ac:dyDescent="0.25">
      <c r="A3914" s="16" t="s">
        <v>12101</v>
      </c>
      <c r="B3914" s="17" t="s">
        <v>12102</v>
      </c>
      <c r="C3914" s="17" t="s">
        <v>11</v>
      </c>
      <c r="D3914" s="17" t="s">
        <v>12</v>
      </c>
      <c r="E3914" s="17" t="s">
        <v>13</v>
      </c>
      <c r="F3914" s="16" t="s">
        <v>12103</v>
      </c>
    </row>
    <row r="3915" spans="1:6" x14ac:dyDescent="0.25">
      <c r="A3915" s="16" t="s">
        <v>12104</v>
      </c>
      <c r="B3915" s="17" t="s">
        <v>12105</v>
      </c>
      <c r="C3915" s="17" t="s">
        <v>11</v>
      </c>
      <c r="D3915" s="17" t="s">
        <v>89</v>
      </c>
      <c r="E3915" s="17" t="s">
        <v>20</v>
      </c>
      <c r="F3915" s="16" t="s">
        <v>12106</v>
      </c>
    </row>
    <row r="3916" spans="1:6" x14ac:dyDescent="0.25">
      <c r="A3916" s="16" t="s">
        <v>12107</v>
      </c>
      <c r="B3916" s="17" t="s">
        <v>12108</v>
      </c>
      <c r="C3916" s="17" t="s">
        <v>11</v>
      </c>
      <c r="D3916" s="17" t="s">
        <v>250</v>
      </c>
      <c r="E3916" s="17" t="s">
        <v>20</v>
      </c>
      <c r="F3916" s="16" t="s">
        <v>12109</v>
      </c>
    </row>
    <row r="3917" spans="1:6" x14ac:dyDescent="0.25">
      <c r="A3917" s="16" t="s">
        <v>12110</v>
      </c>
      <c r="B3917" s="17" t="s">
        <v>12111</v>
      </c>
      <c r="C3917" s="17" t="s">
        <v>11</v>
      </c>
      <c r="D3917" s="17" t="s">
        <v>250</v>
      </c>
      <c r="E3917" s="17" t="s">
        <v>20</v>
      </c>
      <c r="F3917" s="16" t="s">
        <v>12112</v>
      </c>
    </row>
    <row r="3918" spans="1:6" x14ac:dyDescent="0.25">
      <c r="A3918" s="16" t="s">
        <v>12113</v>
      </c>
      <c r="B3918" s="17" t="s">
        <v>12114</v>
      </c>
      <c r="C3918" s="17" t="s">
        <v>11</v>
      </c>
      <c r="D3918" s="17" t="s">
        <v>186</v>
      </c>
      <c r="E3918" s="17" t="s">
        <v>20</v>
      </c>
      <c r="F3918" s="16" t="s">
        <v>12115</v>
      </c>
    </row>
    <row r="3919" spans="1:6" x14ac:dyDescent="0.25">
      <c r="A3919" s="16" t="s">
        <v>12116</v>
      </c>
      <c r="B3919" s="17" t="s">
        <v>12117</v>
      </c>
      <c r="C3919" s="17" t="s">
        <v>11</v>
      </c>
      <c r="D3919" s="17" t="s">
        <v>12</v>
      </c>
      <c r="E3919" s="17" t="s">
        <v>13</v>
      </c>
      <c r="F3919" s="16" t="s">
        <v>12118</v>
      </c>
    </row>
    <row r="3920" spans="1:6" x14ac:dyDescent="0.25">
      <c r="A3920" s="16" t="s">
        <v>12119</v>
      </c>
      <c r="B3920" s="17" t="s">
        <v>12120</v>
      </c>
      <c r="C3920" s="17" t="s">
        <v>11</v>
      </c>
      <c r="D3920" s="17" t="s">
        <v>12</v>
      </c>
      <c r="E3920" s="17" t="s">
        <v>13</v>
      </c>
      <c r="F3920" s="16" t="s">
        <v>12121</v>
      </c>
    </row>
    <row r="3921" spans="1:6" x14ac:dyDescent="0.25">
      <c r="A3921" s="16" t="s">
        <v>12122</v>
      </c>
      <c r="B3921" s="17" t="s">
        <v>12123</v>
      </c>
      <c r="C3921" s="17" t="s">
        <v>11</v>
      </c>
      <c r="D3921" s="17" t="s">
        <v>32</v>
      </c>
      <c r="E3921" s="17" t="s">
        <v>20</v>
      </c>
      <c r="F3921" s="16" t="s">
        <v>12124</v>
      </c>
    </row>
    <row r="3922" spans="1:6" x14ac:dyDescent="0.25">
      <c r="A3922" s="16" t="s">
        <v>12125</v>
      </c>
      <c r="B3922" s="17" t="s">
        <v>12126</v>
      </c>
      <c r="C3922" s="17" t="s">
        <v>11</v>
      </c>
      <c r="D3922" s="17" t="s">
        <v>32</v>
      </c>
      <c r="E3922" s="17" t="s">
        <v>20</v>
      </c>
      <c r="F3922" s="16" t="s">
        <v>12127</v>
      </c>
    </row>
    <row r="3923" spans="1:6" x14ac:dyDescent="0.25">
      <c r="A3923" s="16" t="s">
        <v>12128</v>
      </c>
      <c r="B3923" s="17" t="s">
        <v>12129</v>
      </c>
      <c r="C3923" s="17" t="s">
        <v>11</v>
      </c>
      <c r="D3923" s="17" t="s">
        <v>32</v>
      </c>
      <c r="E3923" s="17" t="s">
        <v>20</v>
      </c>
      <c r="F3923" s="16" t="s">
        <v>12130</v>
      </c>
    </row>
    <row r="3924" spans="1:6" x14ac:dyDescent="0.25">
      <c r="A3924" s="16" t="s">
        <v>12131</v>
      </c>
      <c r="B3924" s="17" t="s">
        <v>12132</v>
      </c>
      <c r="C3924" s="17" t="s">
        <v>11</v>
      </c>
      <c r="D3924" s="17" t="s">
        <v>32</v>
      </c>
      <c r="E3924" s="17" t="s">
        <v>20</v>
      </c>
      <c r="F3924" s="16" t="s">
        <v>12133</v>
      </c>
    </row>
    <row r="3925" spans="1:6" x14ac:dyDescent="0.25">
      <c r="A3925" s="16" t="s">
        <v>12134</v>
      </c>
      <c r="B3925" s="17" t="s">
        <v>12135</v>
      </c>
      <c r="C3925" s="17" t="s">
        <v>11</v>
      </c>
      <c r="D3925" s="17" t="s">
        <v>811</v>
      </c>
      <c r="E3925" s="17" t="s">
        <v>20</v>
      </c>
      <c r="F3925" s="16" t="s">
        <v>12136</v>
      </c>
    </row>
    <row r="3926" spans="1:6" x14ac:dyDescent="0.25">
      <c r="A3926" s="16" t="s">
        <v>12137</v>
      </c>
      <c r="B3926" s="17" t="s">
        <v>12138</v>
      </c>
      <c r="C3926" s="17" t="s">
        <v>11</v>
      </c>
      <c r="D3926" s="17" t="s">
        <v>32</v>
      </c>
      <c r="E3926" s="17" t="s">
        <v>20</v>
      </c>
      <c r="F3926" s="16" t="s">
        <v>12139</v>
      </c>
    </row>
    <row r="3927" spans="1:6" x14ac:dyDescent="0.25">
      <c r="A3927" s="16" t="s">
        <v>12140</v>
      </c>
      <c r="B3927" s="17" t="s">
        <v>12141</v>
      </c>
      <c r="C3927" s="17" t="s">
        <v>11</v>
      </c>
      <c r="D3927" s="17" t="s">
        <v>811</v>
      </c>
      <c r="E3927" s="17" t="s">
        <v>20</v>
      </c>
      <c r="F3927" s="16" t="s">
        <v>12142</v>
      </c>
    </row>
    <row r="3928" spans="1:6" x14ac:dyDescent="0.25">
      <c r="A3928" s="16" t="s">
        <v>12143</v>
      </c>
      <c r="B3928" s="17" t="s">
        <v>12144</v>
      </c>
      <c r="C3928" s="17" t="s">
        <v>11</v>
      </c>
      <c r="D3928" s="17" t="s">
        <v>182</v>
      </c>
      <c r="E3928" s="17" t="s">
        <v>20</v>
      </c>
      <c r="F3928" s="16" t="s">
        <v>12145</v>
      </c>
    </row>
    <row r="3929" spans="1:6" x14ac:dyDescent="0.25">
      <c r="A3929" s="16" t="s">
        <v>12146</v>
      </c>
      <c r="B3929" s="17" t="s">
        <v>12147</v>
      </c>
      <c r="C3929" s="17" t="s">
        <v>11</v>
      </c>
      <c r="D3929" s="17" t="s">
        <v>12</v>
      </c>
      <c r="E3929" s="17" t="s">
        <v>13</v>
      </c>
      <c r="F3929" s="16" t="s">
        <v>12148</v>
      </c>
    </row>
    <row r="3930" spans="1:6" x14ac:dyDescent="0.25">
      <c r="A3930" s="16" t="s">
        <v>12149</v>
      </c>
      <c r="B3930" s="17" t="s">
        <v>12150</v>
      </c>
      <c r="C3930" s="17" t="s">
        <v>11</v>
      </c>
      <c r="D3930" s="17" t="s">
        <v>12</v>
      </c>
      <c r="E3930" s="17" t="s">
        <v>13</v>
      </c>
      <c r="F3930" s="16" t="s">
        <v>12151</v>
      </c>
    </row>
    <row r="3931" spans="1:6" x14ac:dyDescent="0.25">
      <c r="A3931" s="16" t="s">
        <v>12152</v>
      </c>
      <c r="B3931" s="17" t="s">
        <v>12153</v>
      </c>
      <c r="C3931" s="17" t="s">
        <v>11</v>
      </c>
      <c r="D3931" s="17" t="s">
        <v>12</v>
      </c>
      <c r="E3931" s="17" t="s">
        <v>13</v>
      </c>
      <c r="F3931" s="16" t="s">
        <v>12154</v>
      </c>
    </row>
    <row r="3932" spans="1:6" x14ac:dyDescent="0.25">
      <c r="A3932" s="16" t="s">
        <v>12155</v>
      </c>
      <c r="B3932" s="17" t="s">
        <v>12156</v>
      </c>
      <c r="C3932" s="17" t="s">
        <v>11</v>
      </c>
      <c r="D3932" s="17" t="s">
        <v>182</v>
      </c>
      <c r="E3932" s="17" t="s">
        <v>20</v>
      </c>
      <c r="F3932" s="16" t="s">
        <v>12157</v>
      </c>
    </row>
    <row r="3933" spans="1:6" x14ac:dyDescent="0.25">
      <c r="A3933" s="16" t="s">
        <v>12158</v>
      </c>
      <c r="B3933" s="17" t="s">
        <v>12159</v>
      </c>
      <c r="C3933" s="17" t="s">
        <v>11</v>
      </c>
      <c r="D3933" s="17" t="s">
        <v>12</v>
      </c>
      <c r="E3933" s="17" t="s">
        <v>13</v>
      </c>
      <c r="F3933" s="16" t="s">
        <v>12160</v>
      </c>
    </row>
    <row r="3934" spans="1:6" x14ac:dyDescent="0.25">
      <c r="A3934" s="16" t="s">
        <v>12161</v>
      </c>
      <c r="B3934" s="17" t="s">
        <v>12162</v>
      </c>
      <c r="C3934" s="17" t="s">
        <v>11</v>
      </c>
      <c r="D3934" s="17" t="s">
        <v>12</v>
      </c>
      <c r="E3934" s="17" t="s">
        <v>13</v>
      </c>
      <c r="F3934" s="16" t="s">
        <v>12163</v>
      </c>
    </row>
    <row r="3935" spans="1:6" x14ac:dyDescent="0.25">
      <c r="A3935" s="16" t="s">
        <v>12164</v>
      </c>
      <c r="B3935" s="17" t="s">
        <v>12165</v>
      </c>
      <c r="C3935" s="17" t="s">
        <v>11</v>
      </c>
      <c r="D3935" s="17" t="s">
        <v>83</v>
      </c>
      <c r="E3935" s="17" t="s">
        <v>20</v>
      </c>
      <c r="F3935" s="16" t="s">
        <v>12166</v>
      </c>
    </row>
    <row r="3936" spans="1:6" x14ac:dyDescent="0.25">
      <c r="A3936" s="16" t="s">
        <v>12167</v>
      </c>
      <c r="B3936" s="17" t="s">
        <v>12168</v>
      </c>
      <c r="C3936" s="17" t="s">
        <v>11</v>
      </c>
      <c r="D3936" s="17" t="s">
        <v>649</v>
      </c>
      <c r="E3936" s="17" t="s">
        <v>20</v>
      </c>
      <c r="F3936" s="16" t="s">
        <v>12169</v>
      </c>
    </row>
    <row r="3937" spans="1:6" x14ac:dyDescent="0.25">
      <c r="A3937" s="16" t="s">
        <v>12170</v>
      </c>
      <c r="B3937" s="17" t="s">
        <v>12171</v>
      </c>
      <c r="C3937" s="17" t="s">
        <v>11</v>
      </c>
      <c r="D3937" s="17" t="s">
        <v>12</v>
      </c>
      <c r="E3937" s="17" t="s">
        <v>13</v>
      </c>
      <c r="F3937" s="16" t="s">
        <v>12172</v>
      </c>
    </row>
    <row r="3938" spans="1:6" x14ac:dyDescent="0.25">
      <c r="A3938" s="16" t="s">
        <v>12173</v>
      </c>
      <c r="B3938" s="17" t="s">
        <v>12174</v>
      </c>
      <c r="C3938" s="17" t="s">
        <v>11</v>
      </c>
      <c r="D3938" s="17" t="s">
        <v>12</v>
      </c>
      <c r="E3938" s="17" t="s">
        <v>13</v>
      </c>
      <c r="F3938" s="16" t="s">
        <v>12175</v>
      </c>
    </row>
    <row r="3939" spans="1:6" x14ac:dyDescent="0.25">
      <c r="A3939" s="16" t="s">
        <v>12176</v>
      </c>
      <c r="B3939" s="17" t="s">
        <v>12177</v>
      </c>
      <c r="C3939" s="17" t="s">
        <v>11</v>
      </c>
      <c r="D3939" s="17" t="s">
        <v>32</v>
      </c>
      <c r="E3939" s="17" t="s">
        <v>20</v>
      </c>
      <c r="F3939" s="16" t="s">
        <v>12178</v>
      </c>
    </row>
    <row r="3940" spans="1:6" x14ac:dyDescent="0.25">
      <c r="A3940" s="16" t="s">
        <v>12179</v>
      </c>
      <c r="B3940" s="17" t="s">
        <v>12180</v>
      </c>
      <c r="C3940" s="17" t="s">
        <v>11</v>
      </c>
      <c r="D3940" s="17" t="s">
        <v>32</v>
      </c>
      <c r="E3940" s="17" t="s">
        <v>20</v>
      </c>
      <c r="F3940" s="16" t="s">
        <v>12181</v>
      </c>
    </row>
    <row r="3941" spans="1:6" x14ac:dyDescent="0.25">
      <c r="A3941" s="16" t="s">
        <v>12182</v>
      </c>
      <c r="B3941" s="17" t="s">
        <v>12183</v>
      </c>
      <c r="C3941" s="17" t="s">
        <v>11</v>
      </c>
      <c r="D3941" s="17" t="s">
        <v>83</v>
      </c>
      <c r="E3941" s="17" t="s">
        <v>20</v>
      </c>
      <c r="F3941" s="16" t="s">
        <v>12184</v>
      </c>
    </row>
    <row r="3942" spans="1:6" x14ac:dyDescent="0.25">
      <c r="A3942" s="16" t="s">
        <v>12185</v>
      </c>
      <c r="B3942" s="17" t="s">
        <v>12186</v>
      </c>
      <c r="C3942" s="17" t="s">
        <v>11</v>
      </c>
      <c r="D3942" s="17" t="s">
        <v>80</v>
      </c>
      <c r="E3942" s="17" t="s">
        <v>20</v>
      </c>
      <c r="F3942" s="16" t="s">
        <v>12187</v>
      </c>
    </row>
    <row r="3943" spans="1:6" x14ac:dyDescent="0.25">
      <c r="A3943" s="16" t="s">
        <v>12188</v>
      </c>
      <c r="B3943" s="17" t="s">
        <v>12189</v>
      </c>
      <c r="C3943" s="17" t="s">
        <v>11</v>
      </c>
      <c r="D3943" s="17" t="s">
        <v>12</v>
      </c>
      <c r="E3943" s="17" t="s">
        <v>13</v>
      </c>
      <c r="F3943" s="16" t="s">
        <v>12190</v>
      </c>
    </row>
    <row r="3944" spans="1:6" x14ac:dyDescent="0.25">
      <c r="A3944" s="16" t="s">
        <v>12191</v>
      </c>
      <c r="B3944" s="17" t="s">
        <v>12192</v>
      </c>
      <c r="C3944" s="17" t="s">
        <v>11</v>
      </c>
      <c r="D3944" s="17" t="s">
        <v>250</v>
      </c>
      <c r="E3944" s="17" t="s">
        <v>20</v>
      </c>
      <c r="F3944" s="16" t="s">
        <v>12193</v>
      </c>
    </row>
    <row r="3945" spans="1:6" x14ac:dyDescent="0.25">
      <c r="A3945" s="16" t="s">
        <v>12194</v>
      </c>
      <c r="B3945" s="17" t="s">
        <v>12195</v>
      </c>
      <c r="C3945" s="17" t="s">
        <v>11</v>
      </c>
      <c r="D3945" s="17" t="s">
        <v>32</v>
      </c>
      <c r="E3945" s="17" t="s">
        <v>20</v>
      </c>
      <c r="F3945" s="16" t="s">
        <v>12196</v>
      </c>
    </row>
    <row r="3946" spans="1:6" x14ac:dyDescent="0.25">
      <c r="A3946" s="16" t="s">
        <v>12197</v>
      </c>
      <c r="B3946" s="17" t="s">
        <v>12198</v>
      </c>
      <c r="C3946" s="17" t="s">
        <v>11</v>
      </c>
      <c r="D3946" s="17" t="s">
        <v>26</v>
      </c>
      <c r="E3946" s="17" t="s">
        <v>20</v>
      </c>
      <c r="F3946" s="16" t="s">
        <v>12199</v>
      </c>
    </row>
    <row r="3947" spans="1:6" x14ac:dyDescent="0.25">
      <c r="A3947" s="16" t="s">
        <v>12200</v>
      </c>
      <c r="B3947" s="17" t="s">
        <v>12201</v>
      </c>
      <c r="C3947" s="17" t="s">
        <v>11</v>
      </c>
      <c r="D3947" s="17" t="s">
        <v>89</v>
      </c>
      <c r="E3947" s="17" t="s">
        <v>20</v>
      </c>
      <c r="F3947" s="16" t="s">
        <v>12202</v>
      </c>
    </row>
    <row r="3948" spans="1:6" x14ac:dyDescent="0.25">
      <c r="A3948" s="16" t="s">
        <v>12203</v>
      </c>
      <c r="B3948" s="17" t="s">
        <v>12204</v>
      </c>
      <c r="C3948" s="17" t="s">
        <v>11</v>
      </c>
      <c r="D3948" s="17" t="s">
        <v>12</v>
      </c>
      <c r="E3948" s="17" t="s">
        <v>13</v>
      </c>
      <c r="F3948" s="16" t="s">
        <v>12205</v>
      </c>
    </row>
    <row r="3949" spans="1:6" x14ac:dyDescent="0.25">
      <c r="A3949" s="16" t="s">
        <v>12206</v>
      </c>
      <c r="B3949" s="17" t="s">
        <v>12207</v>
      </c>
      <c r="C3949" s="17" t="s">
        <v>11</v>
      </c>
      <c r="D3949" s="17" t="s">
        <v>26</v>
      </c>
      <c r="E3949" s="17" t="s">
        <v>20</v>
      </c>
      <c r="F3949" s="16" t="s">
        <v>12208</v>
      </c>
    </row>
    <row r="3950" spans="1:6" x14ac:dyDescent="0.25">
      <c r="A3950" s="16" t="s">
        <v>12209</v>
      </c>
      <c r="B3950" s="17" t="s">
        <v>12210</v>
      </c>
      <c r="C3950" s="17" t="s">
        <v>11</v>
      </c>
      <c r="D3950" s="17" t="s">
        <v>26</v>
      </c>
      <c r="E3950" s="17" t="s">
        <v>20</v>
      </c>
      <c r="F3950" s="16" t="s">
        <v>12211</v>
      </c>
    </row>
    <row r="3951" spans="1:6" x14ac:dyDescent="0.25">
      <c r="A3951" s="16" t="s">
        <v>12212</v>
      </c>
      <c r="B3951" s="17" t="s">
        <v>12213</v>
      </c>
      <c r="C3951" s="17" t="s">
        <v>11</v>
      </c>
      <c r="D3951" s="17" t="s">
        <v>32</v>
      </c>
      <c r="E3951" s="17" t="s">
        <v>20</v>
      </c>
      <c r="F3951" s="16" t="s">
        <v>12214</v>
      </c>
    </row>
    <row r="3952" spans="1:6" x14ac:dyDescent="0.25">
      <c r="A3952" s="16" t="s">
        <v>12215</v>
      </c>
      <c r="B3952" s="17" t="s">
        <v>12216</v>
      </c>
      <c r="C3952" s="17" t="s">
        <v>1235</v>
      </c>
      <c r="D3952" s="17" t="s">
        <v>12217</v>
      </c>
      <c r="E3952" s="17" t="s">
        <v>1237</v>
      </c>
      <c r="F3952" s="16" t="s">
        <v>12218</v>
      </c>
    </row>
    <row r="3953" spans="1:6" x14ac:dyDescent="0.25">
      <c r="A3953" s="16" t="s">
        <v>12219</v>
      </c>
      <c r="B3953" s="17" t="s">
        <v>12220</v>
      </c>
      <c r="C3953" s="17" t="s">
        <v>11</v>
      </c>
      <c r="D3953" s="17" t="s">
        <v>32</v>
      </c>
      <c r="E3953" s="17" t="s">
        <v>20</v>
      </c>
      <c r="F3953" s="16" t="s">
        <v>12221</v>
      </c>
    </row>
    <row r="3954" spans="1:6" x14ac:dyDescent="0.25">
      <c r="A3954" s="16" t="s">
        <v>12222</v>
      </c>
      <c r="B3954" s="17" t="s">
        <v>12223</v>
      </c>
      <c r="C3954" s="17" t="s">
        <v>11</v>
      </c>
      <c r="D3954" s="17" t="s">
        <v>32</v>
      </c>
      <c r="E3954" s="17" t="s">
        <v>20</v>
      </c>
      <c r="F3954" s="16" t="s">
        <v>12224</v>
      </c>
    </row>
    <row r="3955" spans="1:6" x14ac:dyDescent="0.25">
      <c r="A3955" s="16" t="s">
        <v>12225</v>
      </c>
      <c r="B3955" s="17" t="s">
        <v>12226</v>
      </c>
      <c r="C3955" s="17" t="s">
        <v>214</v>
      </c>
      <c r="D3955" s="17" t="s">
        <v>32</v>
      </c>
      <c r="E3955" s="17" t="s">
        <v>20</v>
      </c>
      <c r="F3955" s="16" t="s">
        <v>12227</v>
      </c>
    </row>
    <row r="3956" spans="1:6" x14ac:dyDescent="0.25">
      <c r="A3956" s="16" t="s">
        <v>12228</v>
      </c>
      <c r="B3956" s="17" t="s">
        <v>12229</v>
      </c>
      <c r="C3956" s="17" t="s">
        <v>11</v>
      </c>
      <c r="D3956" s="17" t="s">
        <v>32</v>
      </c>
      <c r="E3956" s="17" t="s">
        <v>20</v>
      </c>
      <c r="F3956" s="16" t="s">
        <v>12230</v>
      </c>
    </row>
    <row r="3957" spans="1:6" x14ac:dyDescent="0.25">
      <c r="A3957" s="16" t="s">
        <v>12231</v>
      </c>
      <c r="B3957" s="17" t="s">
        <v>12232</v>
      </c>
      <c r="C3957" s="17" t="s">
        <v>11</v>
      </c>
      <c r="D3957" s="17" t="s">
        <v>12</v>
      </c>
      <c r="E3957" s="17" t="s">
        <v>13</v>
      </c>
      <c r="F3957" s="16" t="s">
        <v>12233</v>
      </c>
    </row>
    <row r="3958" spans="1:6" x14ac:dyDescent="0.25">
      <c r="A3958" s="16" t="s">
        <v>12234</v>
      </c>
      <c r="B3958" s="17" t="s">
        <v>12235</v>
      </c>
      <c r="C3958" s="17" t="s">
        <v>11</v>
      </c>
      <c r="D3958" s="17" t="s">
        <v>12</v>
      </c>
      <c r="E3958" s="17" t="s">
        <v>13</v>
      </c>
      <c r="F3958" s="16" t="s">
        <v>12236</v>
      </c>
    </row>
    <row r="3959" spans="1:6" x14ac:dyDescent="0.25">
      <c r="A3959" s="16" t="s">
        <v>12237</v>
      </c>
      <c r="B3959" s="17" t="s">
        <v>12238</v>
      </c>
      <c r="C3959" s="17" t="s">
        <v>11</v>
      </c>
      <c r="D3959" s="17" t="s">
        <v>12</v>
      </c>
      <c r="E3959" s="17" t="s">
        <v>13</v>
      </c>
      <c r="F3959" s="16" t="s">
        <v>12239</v>
      </c>
    </row>
    <row r="3960" spans="1:6" x14ac:dyDescent="0.25">
      <c r="A3960" s="16" t="s">
        <v>12240</v>
      </c>
      <c r="B3960" s="17" t="s">
        <v>12241</v>
      </c>
      <c r="C3960" s="17" t="s">
        <v>11</v>
      </c>
      <c r="D3960" s="17" t="s">
        <v>12</v>
      </c>
      <c r="E3960" s="17" t="s">
        <v>13</v>
      </c>
      <c r="F3960" s="16" t="s">
        <v>12242</v>
      </c>
    </row>
    <row r="3961" spans="1:6" x14ac:dyDescent="0.25">
      <c r="A3961" s="16" t="s">
        <v>12243</v>
      </c>
      <c r="B3961" s="17" t="s">
        <v>12244</v>
      </c>
      <c r="C3961" s="17" t="s">
        <v>11</v>
      </c>
      <c r="D3961" s="17" t="s">
        <v>171</v>
      </c>
      <c r="E3961" s="17" t="s">
        <v>13</v>
      </c>
      <c r="F3961" s="16" t="s">
        <v>12245</v>
      </c>
    </row>
    <row r="3962" spans="1:6" x14ac:dyDescent="0.25">
      <c r="A3962" s="16" t="s">
        <v>12246</v>
      </c>
      <c r="B3962" s="17" t="s">
        <v>12247</v>
      </c>
      <c r="C3962" s="17" t="s">
        <v>11</v>
      </c>
      <c r="D3962" s="17" t="s">
        <v>12</v>
      </c>
      <c r="E3962" s="17" t="s">
        <v>13</v>
      </c>
      <c r="F3962" s="16" t="s">
        <v>12248</v>
      </c>
    </row>
    <row r="3963" spans="1:6" x14ac:dyDescent="0.25">
      <c r="A3963" s="16" t="s">
        <v>12249</v>
      </c>
      <c r="B3963" s="17" t="s">
        <v>12250</v>
      </c>
      <c r="C3963" s="17" t="s">
        <v>11</v>
      </c>
      <c r="D3963" s="17" t="s">
        <v>12</v>
      </c>
      <c r="E3963" s="17" t="s">
        <v>13</v>
      </c>
      <c r="F3963" s="16" t="s">
        <v>12251</v>
      </c>
    </row>
    <row r="3964" spans="1:6" x14ac:dyDescent="0.25">
      <c r="A3964" s="16" t="s">
        <v>12252</v>
      </c>
      <c r="B3964" s="17" t="s">
        <v>12253</v>
      </c>
      <c r="C3964" s="17" t="s">
        <v>11</v>
      </c>
      <c r="D3964" s="17" t="s">
        <v>576</v>
      </c>
      <c r="E3964" s="17" t="s">
        <v>20</v>
      </c>
      <c r="F3964" s="16" t="s">
        <v>12254</v>
      </c>
    </row>
    <row r="3965" spans="1:6" x14ac:dyDescent="0.25">
      <c r="A3965" s="16" t="s">
        <v>12255</v>
      </c>
      <c r="B3965" s="17" t="s">
        <v>12256</v>
      </c>
      <c r="C3965" s="17" t="s">
        <v>11</v>
      </c>
      <c r="D3965" s="17" t="s">
        <v>12</v>
      </c>
      <c r="E3965" s="17" t="s">
        <v>13</v>
      </c>
      <c r="F3965" s="16" t="s">
        <v>12257</v>
      </c>
    </row>
    <row r="3966" spans="1:6" x14ac:dyDescent="0.25">
      <c r="A3966" s="16" t="s">
        <v>12258</v>
      </c>
      <c r="B3966" s="17" t="s">
        <v>12259</v>
      </c>
      <c r="C3966" s="17" t="s">
        <v>11</v>
      </c>
      <c r="D3966" s="17" t="s">
        <v>148</v>
      </c>
      <c r="E3966" s="17" t="s">
        <v>20</v>
      </c>
      <c r="F3966" s="16" t="s">
        <v>12260</v>
      </c>
    </row>
    <row r="3967" spans="1:6" x14ac:dyDescent="0.25">
      <c r="A3967" s="16" t="s">
        <v>12261</v>
      </c>
      <c r="B3967" s="17" t="s">
        <v>12262</v>
      </c>
      <c r="C3967" s="17" t="s">
        <v>11</v>
      </c>
      <c r="D3967" s="17" t="s">
        <v>32</v>
      </c>
      <c r="E3967" s="17" t="s">
        <v>20</v>
      </c>
      <c r="F3967" s="16" t="s">
        <v>12263</v>
      </c>
    </row>
    <row r="3968" spans="1:6" x14ac:dyDescent="0.25">
      <c r="A3968" s="16" t="s">
        <v>12264</v>
      </c>
      <c r="B3968" s="17" t="s">
        <v>12265</v>
      </c>
      <c r="C3968" s="17" t="s">
        <v>11</v>
      </c>
      <c r="D3968" s="17" t="s">
        <v>32</v>
      </c>
      <c r="E3968" s="17" t="s">
        <v>20</v>
      </c>
      <c r="F3968" s="16" t="s">
        <v>12266</v>
      </c>
    </row>
    <row r="3969" spans="1:6" x14ac:dyDescent="0.25">
      <c r="A3969" s="16" t="s">
        <v>12267</v>
      </c>
      <c r="B3969" s="17" t="s">
        <v>12268</v>
      </c>
      <c r="C3969" s="17" t="s">
        <v>11</v>
      </c>
      <c r="D3969" s="17" t="s">
        <v>74</v>
      </c>
      <c r="E3969" s="17" t="s">
        <v>20</v>
      </c>
      <c r="F3969" s="16" t="s">
        <v>12269</v>
      </c>
    </row>
    <row r="3970" spans="1:6" x14ac:dyDescent="0.25">
      <c r="A3970" s="16" t="s">
        <v>12270</v>
      </c>
      <c r="B3970" s="17" t="s">
        <v>12271</v>
      </c>
      <c r="C3970" s="17" t="s">
        <v>11</v>
      </c>
      <c r="D3970" s="17" t="s">
        <v>32</v>
      </c>
      <c r="E3970" s="17" t="s">
        <v>20</v>
      </c>
      <c r="F3970" s="16" t="s">
        <v>12272</v>
      </c>
    </row>
    <row r="3971" spans="1:6" x14ac:dyDescent="0.25">
      <c r="A3971" s="16" t="s">
        <v>12273</v>
      </c>
      <c r="B3971" s="17" t="s">
        <v>12274</v>
      </c>
      <c r="C3971" s="17" t="s">
        <v>11</v>
      </c>
      <c r="D3971" s="17" t="s">
        <v>148</v>
      </c>
      <c r="E3971" s="17" t="s">
        <v>20</v>
      </c>
      <c r="F3971" s="16" t="s">
        <v>12275</v>
      </c>
    </row>
    <row r="3972" spans="1:6" x14ac:dyDescent="0.25">
      <c r="A3972" s="16" t="s">
        <v>12276</v>
      </c>
      <c r="B3972" s="17" t="s">
        <v>12277</v>
      </c>
      <c r="C3972" s="17" t="s">
        <v>11</v>
      </c>
      <c r="D3972" s="17" t="s">
        <v>32</v>
      </c>
      <c r="E3972" s="17" t="s">
        <v>20</v>
      </c>
      <c r="F3972" s="16" t="s">
        <v>12278</v>
      </c>
    </row>
    <row r="3973" spans="1:6" x14ac:dyDescent="0.25">
      <c r="A3973" s="16" t="s">
        <v>12279</v>
      </c>
      <c r="B3973" s="17" t="s">
        <v>12280</v>
      </c>
      <c r="C3973" s="17" t="s">
        <v>11</v>
      </c>
      <c r="D3973" s="17" t="s">
        <v>32</v>
      </c>
      <c r="E3973" s="17" t="s">
        <v>20</v>
      </c>
      <c r="F3973" s="16" t="s">
        <v>12281</v>
      </c>
    </row>
    <row r="3974" spans="1:6" x14ac:dyDescent="0.25">
      <c r="A3974" s="16" t="s">
        <v>12282</v>
      </c>
      <c r="B3974" s="17" t="s">
        <v>12283</v>
      </c>
      <c r="C3974" s="17" t="s">
        <v>11</v>
      </c>
      <c r="D3974" s="17" t="s">
        <v>32</v>
      </c>
      <c r="E3974" s="17" t="s">
        <v>20</v>
      </c>
      <c r="F3974" s="16" t="s">
        <v>12284</v>
      </c>
    </row>
    <row r="3975" spans="1:6" x14ac:dyDescent="0.25">
      <c r="A3975" s="16" t="s">
        <v>12285</v>
      </c>
      <c r="B3975" s="17" t="s">
        <v>12286</v>
      </c>
      <c r="C3975" s="17" t="s">
        <v>11</v>
      </c>
      <c r="D3975" s="17" t="s">
        <v>32</v>
      </c>
      <c r="E3975" s="17" t="s">
        <v>20</v>
      </c>
      <c r="F3975" s="16" t="s">
        <v>12287</v>
      </c>
    </row>
    <row r="3976" spans="1:6" x14ac:dyDescent="0.25">
      <c r="A3976" s="16" t="s">
        <v>12288</v>
      </c>
      <c r="B3976" s="17" t="s">
        <v>12289</v>
      </c>
      <c r="C3976" s="17" t="s">
        <v>11</v>
      </c>
      <c r="D3976" s="17" t="s">
        <v>670</v>
      </c>
      <c r="E3976" s="17" t="s">
        <v>20</v>
      </c>
      <c r="F3976" s="16" t="s">
        <v>12290</v>
      </c>
    </row>
    <row r="3977" spans="1:6" x14ac:dyDescent="0.25">
      <c r="A3977" s="16" t="s">
        <v>12291</v>
      </c>
      <c r="B3977" s="17" t="s">
        <v>12292</v>
      </c>
      <c r="C3977" s="17" t="s">
        <v>11</v>
      </c>
      <c r="D3977" s="17" t="s">
        <v>291</v>
      </c>
      <c r="E3977" s="17" t="s">
        <v>20</v>
      </c>
      <c r="F3977" s="16" t="s">
        <v>12293</v>
      </c>
    </row>
    <row r="3978" spans="1:6" x14ac:dyDescent="0.25">
      <c r="A3978" s="16" t="s">
        <v>12294</v>
      </c>
      <c r="B3978" s="17" t="s">
        <v>12295</v>
      </c>
      <c r="C3978" s="17" t="s">
        <v>11</v>
      </c>
      <c r="D3978" s="17" t="s">
        <v>26</v>
      </c>
      <c r="E3978" s="17" t="s">
        <v>20</v>
      </c>
      <c r="F3978" s="16" t="s">
        <v>12296</v>
      </c>
    </row>
    <row r="3979" spans="1:6" x14ac:dyDescent="0.25">
      <c r="A3979" s="16" t="s">
        <v>12297</v>
      </c>
      <c r="B3979" s="17" t="s">
        <v>12298</v>
      </c>
      <c r="C3979" s="17" t="s">
        <v>11</v>
      </c>
      <c r="D3979" s="17" t="s">
        <v>83</v>
      </c>
      <c r="E3979" s="17" t="s">
        <v>20</v>
      </c>
      <c r="F3979" s="16" t="s">
        <v>12299</v>
      </c>
    </row>
    <row r="3980" spans="1:6" x14ac:dyDescent="0.25">
      <c r="A3980" s="16" t="s">
        <v>12300</v>
      </c>
      <c r="B3980" s="17" t="s">
        <v>12301</v>
      </c>
      <c r="C3980" s="17" t="s">
        <v>11</v>
      </c>
      <c r="D3980" s="17" t="s">
        <v>32</v>
      </c>
      <c r="E3980" s="17" t="s">
        <v>20</v>
      </c>
      <c r="F3980" s="16" t="s">
        <v>12302</v>
      </c>
    </row>
    <row r="3981" spans="1:6" x14ac:dyDescent="0.25">
      <c r="A3981" s="16" t="s">
        <v>12303</v>
      </c>
      <c r="B3981" s="17" t="s">
        <v>12304</v>
      </c>
      <c r="C3981" s="17" t="s">
        <v>11</v>
      </c>
      <c r="D3981" s="17" t="s">
        <v>12</v>
      </c>
      <c r="E3981" s="17" t="s">
        <v>13</v>
      </c>
      <c r="F3981" s="16" t="s">
        <v>12305</v>
      </c>
    </row>
    <row r="3982" spans="1:6" x14ac:dyDescent="0.25">
      <c r="A3982" s="16" t="s">
        <v>12306</v>
      </c>
      <c r="B3982" s="17" t="s">
        <v>12307</v>
      </c>
      <c r="C3982" s="17" t="s">
        <v>11</v>
      </c>
      <c r="D3982" s="17" t="s">
        <v>171</v>
      </c>
      <c r="E3982" s="17" t="s">
        <v>13</v>
      </c>
      <c r="F3982" s="16" t="s">
        <v>12308</v>
      </c>
    </row>
    <row r="3983" spans="1:6" x14ac:dyDescent="0.25">
      <c r="A3983" s="16" t="s">
        <v>12309</v>
      </c>
      <c r="B3983" s="17" t="s">
        <v>12310</v>
      </c>
      <c r="C3983" s="17" t="s">
        <v>11</v>
      </c>
      <c r="D3983" s="17" t="s">
        <v>32</v>
      </c>
      <c r="E3983" s="17" t="s">
        <v>20</v>
      </c>
      <c r="F3983" s="16" t="s">
        <v>12311</v>
      </c>
    </row>
    <row r="3984" spans="1:6" x14ac:dyDescent="0.25">
      <c r="A3984" s="16" t="s">
        <v>12312</v>
      </c>
      <c r="B3984" s="17" t="s">
        <v>12313</v>
      </c>
      <c r="C3984" s="17" t="s">
        <v>11</v>
      </c>
      <c r="D3984" s="17" t="s">
        <v>83</v>
      </c>
      <c r="E3984" s="17" t="s">
        <v>20</v>
      </c>
      <c r="F3984" s="16" t="s">
        <v>12314</v>
      </c>
    </row>
    <row r="3985" spans="1:6" x14ac:dyDescent="0.25">
      <c r="A3985" s="16" t="s">
        <v>12315</v>
      </c>
      <c r="B3985" s="17" t="s">
        <v>12316</v>
      </c>
      <c r="C3985" s="17" t="s">
        <v>11</v>
      </c>
      <c r="D3985" s="17" t="s">
        <v>32</v>
      </c>
      <c r="E3985" s="17" t="s">
        <v>20</v>
      </c>
      <c r="F3985" s="16" t="s">
        <v>12317</v>
      </c>
    </row>
    <row r="3986" spans="1:6" x14ac:dyDescent="0.25">
      <c r="A3986" s="16" t="s">
        <v>12318</v>
      </c>
      <c r="B3986" s="17" t="s">
        <v>12319</v>
      </c>
      <c r="C3986" s="17" t="s">
        <v>11</v>
      </c>
      <c r="D3986" s="17" t="s">
        <v>32</v>
      </c>
      <c r="E3986" s="17" t="s">
        <v>20</v>
      </c>
      <c r="F3986" s="16" t="s">
        <v>12320</v>
      </c>
    </row>
    <row r="3987" spans="1:6" x14ac:dyDescent="0.25">
      <c r="A3987" s="16" t="s">
        <v>12321</v>
      </c>
      <c r="B3987" s="17" t="s">
        <v>12322</v>
      </c>
      <c r="C3987" s="17" t="s">
        <v>11</v>
      </c>
      <c r="D3987" s="17" t="s">
        <v>570</v>
      </c>
      <c r="E3987" s="17" t="s">
        <v>20</v>
      </c>
      <c r="F3987" s="16" t="s">
        <v>12323</v>
      </c>
    </row>
    <row r="3988" spans="1:6" x14ac:dyDescent="0.25">
      <c r="A3988" s="16" t="s">
        <v>12324</v>
      </c>
      <c r="B3988" s="17" t="s">
        <v>12325</v>
      </c>
      <c r="C3988" s="17" t="s">
        <v>11</v>
      </c>
      <c r="D3988" s="17" t="s">
        <v>83</v>
      </c>
      <c r="E3988" s="17" t="s">
        <v>20</v>
      </c>
      <c r="F3988" s="16" t="s">
        <v>12326</v>
      </c>
    </row>
    <row r="3989" spans="1:6" x14ac:dyDescent="0.25">
      <c r="A3989" s="16" t="s">
        <v>12327</v>
      </c>
      <c r="B3989" s="17" t="s">
        <v>12328</v>
      </c>
      <c r="C3989" s="17" t="s">
        <v>11</v>
      </c>
      <c r="D3989" s="17" t="s">
        <v>32</v>
      </c>
      <c r="E3989" s="17" t="s">
        <v>20</v>
      </c>
      <c r="F3989" s="16" t="s">
        <v>12329</v>
      </c>
    </row>
    <row r="3990" spans="1:6" x14ac:dyDescent="0.25">
      <c r="A3990" s="16" t="s">
        <v>12330</v>
      </c>
      <c r="B3990" s="17" t="s">
        <v>12331</v>
      </c>
      <c r="C3990" s="17" t="s">
        <v>11</v>
      </c>
      <c r="D3990" s="17" t="s">
        <v>32</v>
      </c>
      <c r="E3990" s="17" t="s">
        <v>20</v>
      </c>
      <c r="F3990" s="16" t="s">
        <v>12332</v>
      </c>
    </row>
    <row r="3991" spans="1:6" x14ac:dyDescent="0.25">
      <c r="A3991" s="16" t="s">
        <v>12333</v>
      </c>
      <c r="B3991" s="17" t="s">
        <v>12334</v>
      </c>
      <c r="C3991" s="17" t="s">
        <v>11</v>
      </c>
      <c r="D3991" s="17" t="s">
        <v>12</v>
      </c>
      <c r="E3991" s="17" t="s">
        <v>13</v>
      </c>
      <c r="F3991" s="16" t="s">
        <v>12335</v>
      </c>
    </row>
    <row r="3992" spans="1:6" x14ac:dyDescent="0.25">
      <c r="A3992" s="16" t="s">
        <v>12336</v>
      </c>
      <c r="B3992" s="17" t="s">
        <v>12337</v>
      </c>
      <c r="C3992" s="17" t="s">
        <v>11</v>
      </c>
      <c r="D3992" s="17" t="s">
        <v>32</v>
      </c>
      <c r="E3992" s="17" t="s">
        <v>20</v>
      </c>
      <c r="F3992" s="16" t="s">
        <v>12338</v>
      </c>
    </row>
    <row r="3993" spans="1:6" x14ac:dyDescent="0.25">
      <c r="A3993" s="16" t="s">
        <v>12339</v>
      </c>
      <c r="B3993" s="17" t="s">
        <v>12340</v>
      </c>
      <c r="C3993" s="17" t="s">
        <v>1235</v>
      </c>
      <c r="D3993" s="17" t="s">
        <v>9332</v>
      </c>
      <c r="E3993" s="17" t="s">
        <v>1237</v>
      </c>
      <c r="F3993" s="16" t="s">
        <v>12341</v>
      </c>
    </row>
    <row r="3994" spans="1:6" x14ac:dyDescent="0.25">
      <c r="A3994" s="16" t="s">
        <v>12342</v>
      </c>
      <c r="B3994" s="17" t="s">
        <v>12343</v>
      </c>
      <c r="C3994" s="17" t="s">
        <v>11</v>
      </c>
      <c r="D3994" s="17" t="s">
        <v>32</v>
      </c>
      <c r="E3994" s="17" t="s">
        <v>20</v>
      </c>
      <c r="F3994" s="16" t="s">
        <v>12344</v>
      </c>
    </row>
    <row r="3995" spans="1:6" x14ac:dyDescent="0.25">
      <c r="A3995" s="16" t="s">
        <v>12345</v>
      </c>
      <c r="B3995" s="17" t="s">
        <v>12346</v>
      </c>
      <c r="C3995" s="17" t="s">
        <v>11</v>
      </c>
      <c r="D3995" s="17" t="s">
        <v>83</v>
      </c>
      <c r="E3995" s="17" t="s">
        <v>20</v>
      </c>
      <c r="F3995" s="16" t="s">
        <v>12347</v>
      </c>
    </row>
    <row r="3996" spans="1:6" x14ac:dyDescent="0.25">
      <c r="A3996" s="16" t="s">
        <v>12348</v>
      </c>
      <c r="B3996" s="17" t="s">
        <v>12349</v>
      </c>
      <c r="C3996" s="17" t="s">
        <v>11</v>
      </c>
      <c r="D3996" s="17" t="s">
        <v>1318</v>
      </c>
      <c r="E3996" s="17" t="s">
        <v>20</v>
      </c>
      <c r="F3996" s="16" t="s">
        <v>12350</v>
      </c>
    </row>
    <row r="3997" spans="1:6" x14ac:dyDescent="0.25">
      <c r="A3997" s="16" t="s">
        <v>12351</v>
      </c>
      <c r="B3997" s="17" t="s">
        <v>12352</v>
      </c>
      <c r="C3997" s="17" t="s">
        <v>11</v>
      </c>
      <c r="D3997" s="17" t="s">
        <v>89</v>
      </c>
      <c r="E3997" s="17" t="s">
        <v>20</v>
      </c>
      <c r="F3997" s="16" t="s">
        <v>12353</v>
      </c>
    </row>
    <row r="3998" spans="1:6" x14ac:dyDescent="0.25">
      <c r="A3998" s="16" t="s">
        <v>12354</v>
      </c>
      <c r="B3998" s="17" t="s">
        <v>12355</v>
      </c>
      <c r="C3998" s="17" t="s">
        <v>11</v>
      </c>
      <c r="D3998" s="17" t="s">
        <v>32</v>
      </c>
      <c r="E3998" s="17" t="s">
        <v>20</v>
      </c>
      <c r="F3998" s="16" t="s">
        <v>12356</v>
      </c>
    </row>
    <row r="3999" spans="1:6" x14ac:dyDescent="0.25">
      <c r="A3999" s="16" t="s">
        <v>12357</v>
      </c>
      <c r="B3999" s="17" t="s">
        <v>12358</v>
      </c>
      <c r="C3999" s="17" t="s">
        <v>11</v>
      </c>
      <c r="D3999" s="17" t="s">
        <v>89</v>
      </c>
      <c r="E3999" s="17" t="s">
        <v>20</v>
      </c>
      <c r="F3999" s="16" t="s">
        <v>12359</v>
      </c>
    </row>
    <row r="4000" spans="1:6" x14ac:dyDescent="0.25">
      <c r="A4000" s="16" t="s">
        <v>12360</v>
      </c>
      <c r="B4000" s="17" t="s">
        <v>12361</v>
      </c>
      <c r="C4000" s="17" t="s">
        <v>1235</v>
      </c>
      <c r="D4000" s="17" t="s">
        <v>4374</v>
      </c>
      <c r="E4000" s="17" t="s">
        <v>1237</v>
      </c>
      <c r="F4000" s="16" t="s">
        <v>12362</v>
      </c>
    </row>
    <row r="4001" spans="1:6" x14ac:dyDescent="0.25">
      <c r="A4001" s="16" t="s">
        <v>12363</v>
      </c>
      <c r="B4001" s="17" t="s">
        <v>12364</v>
      </c>
      <c r="C4001" s="17" t="s">
        <v>11</v>
      </c>
      <c r="D4001" s="17" t="s">
        <v>83</v>
      </c>
      <c r="E4001" s="17" t="s">
        <v>20</v>
      </c>
      <c r="F4001" s="16" t="s">
        <v>12365</v>
      </c>
    </row>
    <row r="4002" spans="1:6" x14ac:dyDescent="0.25">
      <c r="A4002" s="16" t="s">
        <v>12366</v>
      </c>
      <c r="B4002" s="17" t="s">
        <v>12367</v>
      </c>
      <c r="C4002" s="17" t="s">
        <v>11</v>
      </c>
      <c r="D4002" s="17" t="s">
        <v>12</v>
      </c>
      <c r="E4002" s="17" t="s">
        <v>13</v>
      </c>
      <c r="F4002" s="16" t="s">
        <v>12368</v>
      </c>
    </row>
    <row r="4003" spans="1:6" x14ac:dyDescent="0.25">
      <c r="A4003" s="16" t="s">
        <v>12369</v>
      </c>
      <c r="B4003" s="17" t="s">
        <v>12370</v>
      </c>
      <c r="C4003" s="17" t="s">
        <v>11</v>
      </c>
      <c r="D4003" s="17" t="s">
        <v>148</v>
      </c>
      <c r="E4003" s="17" t="s">
        <v>20</v>
      </c>
      <c r="F4003" s="16" t="s">
        <v>12371</v>
      </c>
    </row>
    <row r="4004" spans="1:6" x14ac:dyDescent="0.25">
      <c r="A4004" s="16" t="s">
        <v>12372</v>
      </c>
      <c r="B4004" s="17" t="s">
        <v>12373</v>
      </c>
      <c r="C4004" s="17" t="s">
        <v>11</v>
      </c>
      <c r="D4004" s="17" t="s">
        <v>74</v>
      </c>
      <c r="E4004" s="17" t="s">
        <v>20</v>
      </c>
      <c r="F4004" s="16" t="s">
        <v>12374</v>
      </c>
    </row>
    <row r="4005" spans="1:6" x14ac:dyDescent="0.25">
      <c r="A4005" s="16" t="s">
        <v>12375</v>
      </c>
      <c r="B4005" s="17" t="s">
        <v>12376</v>
      </c>
      <c r="C4005" s="17" t="s">
        <v>11</v>
      </c>
      <c r="D4005" s="17" t="s">
        <v>544</v>
      </c>
      <c r="E4005" s="17" t="s">
        <v>20</v>
      </c>
      <c r="F4005" s="16" t="s">
        <v>12377</v>
      </c>
    </row>
    <row r="4006" spans="1:6" x14ac:dyDescent="0.25">
      <c r="A4006" s="16" t="s">
        <v>12378</v>
      </c>
      <c r="B4006" s="17" t="s">
        <v>12379</v>
      </c>
      <c r="C4006" s="17" t="s">
        <v>11</v>
      </c>
      <c r="D4006" s="17" t="s">
        <v>32</v>
      </c>
      <c r="E4006" s="17" t="s">
        <v>20</v>
      </c>
      <c r="F4006" s="16" t="s">
        <v>12380</v>
      </c>
    </row>
    <row r="4007" spans="1:6" x14ac:dyDescent="0.25">
      <c r="A4007" s="16" t="s">
        <v>12381</v>
      </c>
      <c r="B4007" s="17" t="s">
        <v>12382</v>
      </c>
      <c r="C4007" s="17" t="s">
        <v>11</v>
      </c>
      <c r="D4007" s="17" t="s">
        <v>12</v>
      </c>
      <c r="E4007" s="17" t="s">
        <v>13</v>
      </c>
      <c r="F4007" s="16" t="s">
        <v>12383</v>
      </c>
    </row>
    <row r="4008" spans="1:6" x14ac:dyDescent="0.25">
      <c r="A4008" s="16" t="s">
        <v>12384</v>
      </c>
      <c r="B4008" s="17" t="s">
        <v>12385</v>
      </c>
      <c r="C4008" s="17" t="s">
        <v>11</v>
      </c>
      <c r="D4008" s="17" t="s">
        <v>12</v>
      </c>
      <c r="E4008" s="17" t="s">
        <v>13</v>
      </c>
      <c r="F4008" s="16" t="s">
        <v>12386</v>
      </c>
    </row>
    <row r="4009" spans="1:6" x14ac:dyDescent="0.25">
      <c r="A4009" s="16" t="s">
        <v>12387</v>
      </c>
      <c r="B4009" s="17" t="s">
        <v>12388</v>
      </c>
      <c r="C4009" s="17" t="s">
        <v>11</v>
      </c>
      <c r="D4009" s="17" t="s">
        <v>32</v>
      </c>
      <c r="E4009" s="17" t="s">
        <v>20</v>
      </c>
      <c r="F4009" s="16" t="s">
        <v>12389</v>
      </c>
    </row>
    <row r="4010" spans="1:6" x14ac:dyDescent="0.25">
      <c r="A4010" s="16" t="s">
        <v>12390</v>
      </c>
      <c r="B4010" s="17" t="s">
        <v>12391</v>
      </c>
      <c r="C4010" s="17" t="s">
        <v>11</v>
      </c>
      <c r="D4010" s="17" t="s">
        <v>12</v>
      </c>
      <c r="E4010" s="17" t="s">
        <v>13</v>
      </c>
      <c r="F4010" s="16" t="s">
        <v>12392</v>
      </c>
    </row>
    <row r="4011" spans="1:6" x14ac:dyDescent="0.25">
      <c r="A4011" s="16" t="s">
        <v>12393</v>
      </c>
      <c r="B4011" s="17" t="s">
        <v>12394</v>
      </c>
      <c r="C4011" s="17" t="s">
        <v>11</v>
      </c>
      <c r="D4011" s="17" t="s">
        <v>32</v>
      </c>
      <c r="E4011" s="17" t="s">
        <v>20</v>
      </c>
      <c r="F4011" s="16" t="s">
        <v>12395</v>
      </c>
    </row>
    <row r="4012" spans="1:6" x14ac:dyDescent="0.25">
      <c r="A4012" s="16" t="s">
        <v>12396</v>
      </c>
      <c r="B4012" s="17" t="s">
        <v>12397</v>
      </c>
      <c r="C4012" s="17" t="s">
        <v>11</v>
      </c>
      <c r="D4012" s="17" t="s">
        <v>32</v>
      </c>
      <c r="E4012" s="17" t="s">
        <v>20</v>
      </c>
      <c r="F4012" s="16" t="s">
        <v>12398</v>
      </c>
    </row>
    <row r="4013" spans="1:6" x14ac:dyDescent="0.25">
      <c r="A4013" s="16" t="s">
        <v>12399</v>
      </c>
      <c r="B4013" s="17" t="s">
        <v>12400</v>
      </c>
      <c r="C4013" s="17" t="s">
        <v>11</v>
      </c>
      <c r="D4013" s="17" t="s">
        <v>26</v>
      </c>
      <c r="E4013" s="17" t="s">
        <v>20</v>
      </c>
      <c r="F4013" s="16" t="s">
        <v>12401</v>
      </c>
    </row>
    <row r="4014" spans="1:6" x14ac:dyDescent="0.25">
      <c r="A4014" s="16" t="s">
        <v>12402</v>
      </c>
      <c r="B4014" s="17" t="s">
        <v>12403</v>
      </c>
      <c r="C4014" s="17" t="s">
        <v>11</v>
      </c>
      <c r="D4014" s="17" t="s">
        <v>250</v>
      </c>
      <c r="E4014" s="17" t="s">
        <v>20</v>
      </c>
      <c r="F4014" s="16" t="s">
        <v>12404</v>
      </c>
    </row>
    <row r="4015" spans="1:6" x14ac:dyDescent="0.25">
      <c r="A4015" s="16" t="s">
        <v>12405</v>
      </c>
      <c r="B4015" s="17" t="s">
        <v>12406</v>
      </c>
      <c r="C4015" s="17" t="s">
        <v>11</v>
      </c>
      <c r="D4015" s="17" t="s">
        <v>32</v>
      </c>
      <c r="E4015" s="17" t="s">
        <v>20</v>
      </c>
      <c r="F4015" s="16" t="s">
        <v>12407</v>
      </c>
    </row>
    <row r="4016" spans="1:6" x14ac:dyDescent="0.25">
      <c r="A4016" s="16" t="s">
        <v>12408</v>
      </c>
      <c r="B4016" s="17" t="s">
        <v>12409</v>
      </c>
      <c r="C4016" s="17" t="s">
        <v>11</v>
      </c>
      <c r="D4016" s="17" t="s">
        <v>32</v>
      </c>
      <c r="E4016" s="17" t="s">
        <v>20</v>
      </c>
      <c r="F4016" s="16" t="s">
        <v>12410</v>
      </c>
    </row>
    <row r="4017" spans="1:6" x14ac:dyDescent="0.25">
      <c r="A4017" s="16" t="s">
        <v>12411</v>
      </c>
      <c r="B4017" s="17" t="s">
        <v>12412</v>
      </c>
      <c r="C4017" s="17" t="s">
        <v>11</v>
      </c>
      <c r="D4017" s="17" t="s">
        <v>32</v>
      </c>
      <c r="E4017" s="17" t="s">
        <v>20</v>
      </c>
      <c r="F4017" s="16" t="s">
        <v>12413</v>
      </c>
    </row>
    <row r="4018" spans="1:6" x14ac:dyDescent="0.25">
      <c r="A4018" s="16" t="s">
        <v>12414</v>
      </c>
      <c r="B4018" s="17" t="s">
        <v>12415</v>
      </c>
      <c r="C4018" s="17" t="s">
        <v>11</v>
      </c>
      <c r="D4018" s="17" t="s">
        <v>89</v>
      </c>
      <c r="E4018" s="17" t="s">
        <v>20</v>
      </c>
      <c r="F4018" s="16" t="s">
        <v>12416</v>
      </c>
    </row>
    <row r="4019" spans="1:6" x14ac:dyDescent="0.25">
      <c r="A4019" s="16" t="s">
        <v>12417</v>
      </c>
      <c r="B4019" s="17" t="s">
        <v>12418</v>
      </c>
      <c r="C4019" s="17" t="s">
        <v>11</v>
      </c>
      <c r="D4019" s="17" t="s">
        <v>32</v>
      </c>
      <c r="E4019" s="17" t="s">
        <v>20</v>
      </c>
      <c r="F4019" s="16" t="s">
        <v>12419</v>
      </c>
    </row>
    <row r="4020" spans="1:6" x14ac:dyDescent="0.25">
      <c r="A4020" s="16" t="s">
        <v>12420</v>
      </c>
      <c r="B4020" s="17" t="s">
        <v>12421</v>
      </c>
      <c r="C4020" s="17" t="s">
        <v>11</v>
      </c>
      <c r="D4020" s="17" t="s">
        <v>12</v>
      </c>
      <c r="E4020" s="17" t="s">
        <v>13</v>
      </c>
      <c r="F4020" s="16" t="s">
        <v>12422</v>
      </c>
    </row>
    <row r="4021" spans="1:6" x14ac:dyDescent="0.25">
      <c r="A4021" s="16" t="s">
        <v>12423</v>
      </c>
      <c r="B4021" s="17" t="s">
        <v>12424</v>
      </c>
      <c r="C4021" s="17" t="s">
        <v>11</v>
      </c>
      <c r="D4021" s="17" t="s">
        <v>32</v>
      </c>
      <c r="E4021" s="17" t="s">
        <v>20</v>
      </c>
      <c r="F4021" s="16" t="s">
        <v>12425</v>
      </c>
    </row>
    <row r="4022" spans="1:6" x14ac:dyDescent="0.25">
      <c r="A4022" s="16" t="s">
        <v>12426</v>
      </c>
      <c r="B4022" s="17" t="s">
        <v>12427</v>
      </c>
      <c r="C4022" s="17" t="s">
        <v>11</v>
      </c>
      <c r="D4022" s="17" t="s">
        <v>80</v>
      </c>
      <c r="E4022" s="17" t="s">
        <v>20</v>
      </c>
      <c r="F4022" s="16" t="s">
        <v>12428</v>
      </c>
    </row>
    <row r="4023" spans="1:6" x14ac:dyDescent="0.25">
      <c r="A4023" s="16" t="s">
        <v>12429</v>
      </c>
      <c r="B4023" s="17" t="s">
        <v>12430</v>
      </c>
      <c r="C4023" s="17" t="s">
        <v>11</v>
      </c>
      <c r="D4023" s="17" t="s">
        <v>12</v>
      </c>
      <c r="E4023" s="17" t="s">
        <v>13</v>
      </c>
      <c r="F4023" s="16" t="s">
        <v>12431</v>
      </c>
    </row>
    <row r="4024" spans="1:6" x14ac:dyDescent="0.25">
      <c r="A4024" s="16" t="s">
        <v>12432</v>
      </c>
      <c r="B4024" s="17" t="s">
        <v>12433</v>
      </c>
      <c r="C4024" s="17" t="s">
        <v>11</v>
      </c>
      <c r="D4024" s="17" t="s">
        <v>83</v>
      </c>
      <c r="E4024" s="17" t="s">
        <v>20</v>
      </c>
      <c r="F4024" s="16" t="s">
        <v>12434</v>
      </c>
    </row>
    <row r="4025" spans="1:6" x14ac:dyDescent="0.25">
      <c r="A4025" s="16" t="s">
        <v>12435</v>
      </c>
      <c r="B4025" s="17" t="s">
        <v>12436</v>
      </c>
      <c r="C4025" s="17" t="s">
        <v>11</v>
      </c>
      <c r="D4025" s="17" t="s">
        <v>12</v>
      </c>
      <c r="E4025" s="17" t="s">
        <v>13</v>
      </c>
      <c r="F4025" s="16" t="s">
        <v>12437</v>
      </c>
    </row>
    <row r="4026" spans="1:6" x14ac:dyDescent="0.25">
      <c r="A4026" s="16" t="s">
        <v>12438</v>
      </c>
      <c r="B4026" s="17" t="s">
        <v>12439</v>
      </c>
      <c r="C4026" s="17" t="s">
        <v>11</v>
      </c>
      <c r="D4026" s="17" t="s">
        <v>1337</v>
      </c>
      <c r="E4026" s="17" t="s">
        <v>1299</v>
      </c>
      <c r="F4026" s="16" t="s">
        <v>12440</v>
      </c>
    </row>
    <row r="4027" spans="1:6" x14ac:dyDescent="0.25">
      <c r="A4027" s="16" t="s">
        <v>12441</v>
      </c>
      <c r="B4027" s="17" t="s">
        <v>12442</v>
      </c>
      <c r="C4027" s="17" t="s">
        <v>11</v>
      </c>
      <c r="D4027" s="17" t="s">
        <v>12</v>
      </c>
      <c r="E4027" s="17" t="s">
        <v>13</v>
      </c>
      <c r="F4027" s="16" t="s">
        <v>12443</v>
      </c>
    </row>
    <row r="4028" spans="1:6" x14ac:dyDescent="0.25">
      <c r="A4028" s="16" t="s">
        <v>12444</v>
      </c>
      <c r="B4028" s="17" t="s">
        <v>12445</v>
      </c>
      <c r="C4028" s="17" t="s">
        <v>11</v>
      </c>
      <c r="D4028" s="17" t="s">
        <v>649</v>
      </c>
      <c r="E4028" s="17" t="s">
        <v>20</v>
      </c>
      <c r="F4028" s="16" t="s">
        <v>12446</v>
      </c>
    </row>
    <row r="4029" spans="1:6" x14ac:dyDescent="0.25">
      <c r="A4029" s="16" t="s">
        <v>12447</v>
      </c>
      <c r="B4029" s="17" t="s">
        <v>12448</v>
      </c>
      <c r="C4029" s="17" t="s">
        <v>11</v>
      </c>
      <c r="D4029" s="17" t="s">
        <v>12</v>
      </c>
      <c r="E4029" s="17" t="s">
        <v>13</v>
      </c>
      <c r="F4029" s="16" t="s">
        <v>12449</v>
      </c>
    </row>
    <row r="4030" spans="1:6" x14ac:dyDescent="0.25">
      <c r="A4030" s="16" t="s">
        <v>12450</v>
      </c>
      <c r="B4030" s="17" t="s">
        <v>12451</v>
      </c>
      <c r="C4030" s="17" t="s">
        <v>214</v>
      </c>
      <c r="D4030" s="17" t="s">
        <v>182</v>
      </c>
      <c r="E4030" s="17" t="s">
        <v>20</v>
      </c>
      <c r="F4030" s="16" t="s">
        <v>12452</v>
      </c>
    </row>
    <row r="4031" spans="1:6" x14ac:dyDescent="0.25">
      <c r="A4031" s="16" t="s">
        <v>12453</v>
      </c>
      <c r="B4031" s="17" t="s">
        <v>12454</v>
      </c>
      <c r="C4031" s="17" t="s">
        <v>11</v>
      </c>
      <c r="D4031" s="17" t="s">
        <v>59</v>
      </c>
      <c r="E4031" s="17" t="s">
        <v>13</v>
      </c>
      <c r="F4031" s="16" t="s">
        <v>12455</v>
      </c>
    </row>
    <row r="4032" spans="1:6" x14ac:dyDescent="0.25">
      <c r="A4032" s="16" t="s">
        <v>12456</v>
      </c>
      <c r="B4032" s="17" t="s">
        <v>12457</v>
      </c>
      <c r="C4032" s="17" t="s">
        <v>11</v>
      </c>
      <c r="D4032" s="17" t="s">
        <v>12</v>
      </c>
      <c r="E4032" s="17" t="s">
        <v>13</v>
      </c>
      <c r="F4032" s="16" t="s">
        <v>12458</v>
      </c>
    </row>
    <row r="4033" spans="1:6" x14ac:dyDescent="0.25">
      <c r="A4033" s="16" t="s">
        <v>12459</v>
      </c>
      <c r="B4033" s="17" t="s">
        <v>12460</v>
      </c>
      <c r="C4033" s="17" t="s">
        <v>11</v>
      </c>
      <c r="D4033" s="17" t="s">
        <v>32</v>
      </c>
      <c r="E4033" s="17" t="s">
        <v>20</v>
      </c>
      <c r="F4033" s="16" t="s">
        <v>12461</v>
      </c>
    </row>
    <row r="4034" spans="1:6" x14ac:dyDescent="0.25">
      <c r="A4034" s="16" t="s">
        <v>12462</v>
      </c>
      <c r="B4034" s="17" t="s">
        <v>12463</v>
      </c>
      <c r="C4034" s="17" t="s">
        <v>11</v>
      </c>
      <c r="D4034" s="17" t="s">
        <v>12</v>
      </c>
      <c r="E4034" s="17" t="s">
        <v>13</v>
      </c>
      <c r="F4034" s="16" t="s">
        <v>12464</v>
      </c>
    </row>
    <row r="4035" spans="1:6" x14ac:dyDescent="0.25">
      <c r="A4035" s="16" t="s">
        <v>12465</v>
      </c>
      <c r="B4035" s="17" t="s">
        <v>12466</v>
      </c>
      <c r="C4035" s="17" t="s">
        <v>11</v>
      </c>
      <c r="D4035" s="17" t="s">
        <v>250</v>
      </c>
      <c r="E4035" s="17" t="s">
        <v>20</v>
      </c>
      <c r="F4035" s="16" t="s">
        <v>12467</v>
      </c>
    </row>
    <row r="4036" spans="1:6" x14ac:dyDescent="0.25">
      <c r="A4036" s="16" t="s">
        <v>12468</v>
      </c>
      <c r="B4036" s="17" t="s">
        <v>12469</v>
      </c>
      <c r="C4036" s="17" t="s">
        <v>11</v>
      </c>
      <c r="D4036" s="17" t="s">
        <v>12</v>
      </c>
      <c r="E4036" s="17" t="s">
        <v>13</v>
      </c>
      <c r="F4036" s="16" t="s">
        <v>12470</v>
      </c>
    </row>
    <row r="4037" spans="1:6" x14ac:dyDescent="0.25">
      <c r="A4037" s="16" t="s">
        <v>12471</v>
      </c>
      <c r="B4037" s="17" t="s">
        <v>12472</v>
      </c>
      <c r="C4037" s="17" t="s">
        <v>11</v>
      </c>
      <c r="D4037" s="17" t="s">
        <v>32</v>
      </c>
      <c r="E4037" s="17" t="s">
        <v>20</v>
      </c>
      <c r="F4037" s="16" t="s">
        <v>12473</v>
      </c>
    </row>
    <row r="4038" spans="1:6" x14ac:dyDescent="0.25">
      <c r="A4038" s="16" t="s">
        <v>12474</v>
      </c>
      <c r="B4038" s="17" t="s">
        <v>12475</v>
      </c>
      <c r="C4038" s="17" t="s">
        <v>11</v>
      </c>
      <c r="D4038" s="17" t="s">
        <v>32</v>
      </c>
      <c r="E4038" s="17" t="s">
        <v>20</v>
      </c>
      <c r="F4038" s="16" t="s">
        <v>12476</v>
      </c>
    </row>
    <row r="4039" spans="1:6" x14ac:dyDescent="0.25">
      <c r="A4039" s="16" t="s">
        <v>12477</v>
      </c>
      <c r="B4039" s="17" t="s">
        <v>12478</v>
      </c>
      <c r="C4039" s="17" t="s">
        <v>11</v>
      </c>
      <c r="D4039" s="17" t="s">
        <v>89</v>
      </c>
      <c r="E4039" s="17" t="s">
        <v>20</v>
      </c>
      <c r="F4039" s="16" t="s">
        <v>12479</v>
      </c>
    </row>
    <row r="4040" spans="1:6" x14ac:dyDescent="0.25">
      <c r="A4040" s="16" t="s">
        <v>12480</v>
      </c>
      <c r="B4040" s="17" t="s">
        <v>12481</v>
      </c>
      <c r="C4040" s="17" t="s">
        <v>11</v>
      </c>
      <c r="D4040" s="17" t="s">
        <v>32</v>
      </c>
      <c r="E4040" s="17" t="s">
        <v>20</v>
      </c>
      <c r="F4040" s="16" t="s">
        <v>12482</v>
      </c>
    </row>
    <row r="4041" spans="1:6" x14ac:dyDescent="0.25">
      <c r="A4041" s="16" t="s">
        <v>12483</v>
      </c>
      <c r="B4041" s="17" t="s">
        <v>12484</v>
      </c>
      <c r="C4041" s="17" t="s">
        <v>11</v>
      </c>
      <c r="D4041" s="17" t="s">
        <v>32</v>
      </c>
      <c r="E4041" s="17" t="s">
        <v>20</v>
      </c>
      <c r="F4041" s="16" t="s">
        <v>12485</v>
      </c>
    </row>
    <row r="4042" spans="1:6" x14ac:dyDescent="0.25">
      <c r="A4042" s="16" t="s">
        <v>12486</v>
      </c>
      <c r="B4042" s="17" t="s">
        <v>12487</v>
      </c>
      <c r="C4042" s="17" t="s">
        <v>11</v>
      </c>
      <c r="D4042" s="17" t="s">
        <v>12</v>
      </c>
      <c r="E4042" s="17" t="s">
        <v>13</v>
      </c>
      <c r="F4042" s="16" t="s">
        <v>12488</v>
      </c>
    </row>
    <row r="4043" spans="1:6" x14ac:dyDescent="0.25">
      <c r="A4043" s="16" t="s">
        <v>12489</v>
      </c>
      <c r="B4043" s="17" t="s">
        <v>12490</v>
      </c>
      <c r="C4043" s="17" t="s">
        <v>11</v>
      </c>
      <c r="D4043" s="17" t="s">
        <v>12</v>
      </c>
      <c r="E4043" s="17" t="s">
        <v>13</v>
      </c>
      <c r="F4043" s="16" t="s">
        <v>12491</v>
      </c>
    </row>
    <row r="4044" spans="1:6" x14ac:dyDescent="0.25">
      <c r="A4044" s="16" t="s">
        <v>12492</v>
      </c>
      <c r="B4044" s="17" t="s">
        <v>12493</v>
      </c>
      <c r="C4044" s="17" t="s">
        <v>11</v>
      </c>
      <c r="D4044" s="17" t="s">
        <v>186</v>
      </c>
      <c r="E4044" s="17" t="s">
        <v>20</v>
      </c>
      <c r="F4044" s="16" t="s">
        <v>12494</v>
      </c>
    </row>
    <row r="4045" spans="1:6" x14ac:dyDescent="0.25">
      <c r="A4045" s="16" t="s">
        <v>12495</v>
      </c>
      <c r="B4045" s="17" t="s">
        <v>12496</v>
      </c>
      <c r="C4045" s="17" t="s">
        <v>11</v>
      </c>
      <c r="D4045" s="17" t="s">
        <v>32</v>
      </c>
      <c r="E4045" s="17" t="s">
        <v>20</v>
      </c>
      <c r="F4045" s="16" t="s">
        <v>12497</v>
      </c>
    </row>
    <row r="4046" spans="1:6" x14ac:dyDescent="0.25">
      <c r="A4046" s="16" t="s">
        <v>12498</v>
      </c>
      <c r="B4046" s="17" t="s">
        <v>12499</v>
      </c>
      <c r="C4046" s="17" t="s">
        <v>11</v>
      </c>
      <c r="D4046" s="17" t="s">
        <v>12</v>
      </c>
      <c r="E4046" s="17" t="s">
        <v>13</v>
      </c>
      <c r="F4046" s="16" t="s">
        <v>12500</v>
      </c>
    </row>
    <row r="4047" spans="1:6" x14ac:dyDescent="0.25">
      <c r="A4047" s="16" t="s">
        <v>12501</v>
      </c>
      <c r="B4047" s="17" t="s">
        <v>12502</v>
      </c>
      <c r="C4047" s="17" t="s">
        <v>11</v>
      </c>
      <c r="D4047" s="17" t="s">
        <v>12</v>
      </c>
      <c r="E4047" s="17" t="s">
        <v>13</v>
      </c>
      <c r="F4047" s="16" t="s">
        <v>12503</v>
      </c>
    </row>
    <row r="4048" spans="1:6" x14ac:dyDescent="0.25">
      <c r="A4048" s="16" t="s">
        <v>12504</v>
      </c>
      <c r="B4048" s="17" t="s">
        <v>12505</v>
      </c>
      <c r="C4048" s="17" t="s">
        <v>11</v>
      </c>
      <c r="D4048" s="17" t="s">
        <v>12</v>
      </c>
      <c r="E4048" s="17" t="s">
        <v>13</v>
      </c>
      <c r="F4048" s="16" t="s">
        <v>12506</v>
      </c>
    </row>
    <row r="4049" spans="1:6" x14ac:dyDescent="0.25">
      <c r="A4049" s="16" t="s">
        <v>12507</v>
      </c>
      <c r="B4049" s="17" t="s">
        <v>12508</v>
      </c>
      <c r="C4049" s="17" t="s">
        <v>11</v>
      </c>
      <c r="D4049" s="17" t="s">
        <v>148</v>
      </c>
      <c r="E4049" s="17" t="s">
        <v>20</v>
      </c>
      <c r="F4049" s="16" t="s">
        <v>12509</v>
      </c>
    </row>
    <row r="4050" spans="1:6" x14ac:dyDescent="0.25">
      <c r="A4050" s="16" t="s">
        <v>12510</v>
      </c>
      <c r="B4050" s="17" t="s">
        <v>12511</v>
      </c>
      <c r="C4050" s="17" t="s">
        <v>11</v>
      </c>
      <c r="D4050" s="17" t="s">
        <v>59</v>
      </c>
      <c r="E4050" s="17" t="s">
        <v>13</v>
      </c>
      <c r="F4050" s="16" t="s">
        <v>12512</v>
      </c>
    </row>
    <row r="4051" spans="1:6" x14ac:dyDescent="0.25">
      <c r="A4051" s="16" t="s">
        <v>12513</v>
      </c>
      <c r="B4051" s="17" t="s">
        <v>12514</v>
      </c>
      <c r="C4051" s="17" t="s">
        <v>11</v>
      </c>
      <c r="D4051" s="17" t="s">
        <v>12</v>
      </c>
      <c r="E4051" s="17" t="s">
        <v>13</v>
      </c>
      <c r="F4051" s="16" t="s">
        <v>12515</v>
      </c>
    </row>
    <row r="4052" spans="1:6" x14ac:dyDescent="0.25">
      <c r="A4052" s="16" t="s">
        <v>12516</v>
      </c>
      <c r="B4052" s="17" t="s">
        <v>12517</v>
      </c>
      <c r="C4052" s="17" t="s">
        <v>11</v>
      </c>
      <c r="D4052" s="17" t="s">
        <v>12</v>
      </c>
      <c r="E4052" s="17" t="s">
        <v>13</v>
      </c>
      <c r="F4052" s="16" t="s">
        <v>12518</v>
      </c>
    </row>
    <row r="4053" spans="1:6" x14ac:dyDescent="0.25">
      <c r="A4053" s="16" t="s">
        <v>12519</v>
      </c>
      <c r="B4053" s="17" t="s">
        <v>12520</v>
      </c>
      <c r="C4053" s="17" t="s">
        <v>11</v>
      </c>
      <c r="D4053" s="17" t="s">
        <v>32</v>
      </c>
      <c r="E4053" s="17" t="s">
        <v>20</v>
      </c>
      <c r="F4053" s="16" t="s">
        <v>12521</v>
      </c>
    </row>
    <row r="4054" spans="1:6" x14ac:dyDescent="0.25">
      <c r="A4054" s="16" t="s">
        <v>12522</v>
      </c>
      <c r="B4054" s="17" t="s">
        <v>12523</v>
      </c>
      <c r="C4054" s="17" t="s">
        <v>11</v>
      </c>
      <c r="D4054" s="17" t="s">
        <v>12</v>
      </c>
      <c r="E4054" s="17" t="s">
        <v>13</v>
      </c>
      <c r="F4054" s="16" t="s">
        <v>12524</v>
      </c>
    </row>
    <row r="4055" spans="1:6" x14ac:dyDescent="0.25">
      <c r="A4055" s="16" t="s">
        <v>12525</v>
      </c>
      <c r="B4055" s="17" t="s">
        <v>12526</v>
      </c>
      <c r="C4055" s="17" t="s">
        <v>1235</v>
      </c>
      <c r="D4055" s="17" t="s">
        <v>12527</v>
      </c>
      <c r="E4055" s="17" t="s">
        <v>1237</v>
      </c>
      <c r="F4055" s="16" t="s">
        <v>12528</v>
      </c>
    </row>
    <row r="4056" spans="1:6" x14ac:dyDescent="0.25">
      <c r="A4056" s="16" t="s">
        <v>12529</v>
      </c>
      <c r="B4056" s="17" t="s">
        <v>12530</v>
      </c>
      <c r="C4056" s="17" t="s">
        <v>11</v>
      </c>
      <c r="D4056" s="17" t="s">
        <v>12</v>
      </c>
      <c r="E4056" s="17" t="s">
        <v>13</v>
      </c>
      <c r="F4056" s="16" t="s">
        <v>12531</v>
      </c>
    </row>
    <row r="4057" spans="1:6" x14ac:dyDescent="0.25">
      <c r="A4057" s="16" t="s">
        <v>12532</v>
      </c>
      <c r="B4057" s="17" t="s">
        <v>12533</v>
      </c>
      <c r="C4057" s="17" t="s">
        <v>11</v>
      </c>
      <c r="D4057" s="17" t="s">
        <v>12</v>
      </c>
      <c r="E4057" s="17" t="s">
        <v>13</v>
      </c>
      <c r="F4057" s="16" t="s">
        <v>12534</v>
      </c>
    </row>
    <row r="4058" spans="1:6" x14ac:dyDescent="0.25">
      <c r="A4058" s="16" t="s">
        <v>12535</v>
      </c>
      <c r="B4058" s="17" t="s">
        <v>12536</v>
      </c>
      <c r="C4058" s="17" t="s">
        <v>1235</v>
      </c>
      <c r="D4058" s="17" t="s">
        <v>12217</v>
      </c>
      <c r="E4058" s="17" t="s">
        <v>1237</v>
      </c>
      <c r="F4058" s="16" t="s">
        <v>12537</v>
      </c>
    </row>
    <row r="4059" spans="1:6" x14ac:dyDescent="0.25">
      <c r="A4059" s="16" t="s">
        <v>12538</v>
      </c>
      <c r="B4059" s="17" t="s">
        <v>12539</v>
      </c>
      <c r="C4059" s="17" t="s">
        <v>11</v>
      </c>
      <c r="D4059" s="17" t="s">
        <v>32</v>
      </c>
      <c r="E4059" s="17" t="s">
        <v>20</v>
      </c>
      <c r="F4059" s="16" t="s">
        <v>12540</v>
      </c>
    </row>
    <row r="4060" spans="1:6" x14ac:dyDescent="0.25">
      <c r="A4060" s="16" t="s">
        <v>12541</v>
      </c>
      <c r="B4060" s="17" t="s">
        <v>12542</v>
      </c>
      <c r="C4060" s="17" t="s">
        <v>11</v>
      </c>
      <c r="D4060" s="17" t="s">
        <v>83</v>
      </c>
      <c r="E4060" s="17" t="s">
        <v>20</v>
      </c>
      <c r="F4060" s="16" t="s">
        <v>12543</v>
      </c>
    </row>
    <row r="4061" spans="1:6" x14ac:dyDescent="0.25">
      <c r="A4061" s="16" t="s">
        <v>12544</v>
      </c>
      <c r="B4061" s="17" t="s">
        <v>12545</v>
      </c>
      <c r="C4061" s="17" t="s">
        <v>11</v>
      </c>
      <c r="D4061" s="17" t="s">
        <v>32</v>
      </c>
      <c r="E4061" s="17" t="s">
        <v>20</v>
      </c>
      <c r="F4061" s="16" t="s">
        <v>12546</v>
      </c>
    </row>
    <row r="4062" spans="1:6" x14ac:dyDescent="0.25">
      <c r="A4062" s="16" t="s">
        <v>12547</v>
      </c>
      <c r="B4062" s="17" t="s">
        <v>12548</v>
      </c>
      <c r="C4062" s="17" t="s">
        <v>11</v>
      </c>
      <c r="D4062" s="17" t="s">
        <v>74</v>
      </c>
      <c r="E4062" s="17" t="s">
        <v>20</v>
      </c>
      <c r="F4062" s="16" t="s">
        <v>12549</v>
      </c>
    </row>
    <row r="4063" spans="1:6" x14ac:dyDescent="0.25">
      <c r="A4063" s="16" t="s">
        <v>12550</v>
      </c>
      <c r="B4063" s="17" t="s">
        <v>12551</v>
      </c>
      <c r="C4063" s="17" t="s">
        <v>11</v>
      </c>
      <c r="D4063" s="17" t="s">
        <v>83</v>
      </c>
      <c r="E4063" s="17" t="s">
        <v>20</v>
      </c>
      <c r="F4063" s="16" t="s">
        <v>12552</v>
      </c>
    </row>
    <row r="4064" spans="1:6" x14ac:dyDescent="0.25">
      <c r="A4064" s="16" t="s">
        <v>12553</v>
      </c>
      <c r="B4064" s="17" t="s">
        <v>12554</v>
      </c>
      <c r="C4064" s="17" t="s">
        <v>11</v>
      </c>
      <c r="D4064" s="17" t="s">
        <v>182</v>
      </c>
      <c r="E4064" s="17" t="s">
        <v>20</v>
      </c>
      <c r="F4064" s="16" t="s">
        <v>12555</v>
      </c>
    </row>
    <row r="4065" spans="1:6" x14ac:dyDescent="0.25">
      <c r="A4065" s="16" t="s">
        <v>12556</v>
      </c>
      <c r="B4065" s="17" t="s">
        <v>12557</v>
      </c>
      <c r="C4065" s="17" t="s">
        <v>11</v>
      </c>
      <c r="D4065" s="17" t="s">
        <v>12</v>
      </c>
      <c r="E4065" s="17" t="s">
        <v>13</v>
      </c>
      <c r="F4065" s="16" t="s">
        <v>12558</v>
      </c>
    </row>
    <row r="4066" spans="1:6" x14ac:dyDescent="0.25">
      <c r="A4066" s="16" t="s">
        <v>12559</v>
      </c>
      <c r="B4066" s="17" t="s">
        <v>12560</v>
      </c>
      <c r="C4066" s="17" t="s">
        <v>11</v>
      </c>
      <c r="D4066" s="17" t="s">
        <v>32</v>
      </c>
      <c r="E4066" s="17" t="s">
        <v>20</v>
      </c>
      <c r="F4066" s="16" t="s">
        <v>12561</v>
      </c>
    </row>
    <row r="4067" spans="1:6" x14ac:dyDescent="0.25">
      <c r="A4067" s="16" t="s">
        <v>12562</v>
      </c>
      <c r="B4067" s="17" t="s">
        <v>12563</v>
      </c>
      <c r="C4067" s="17" t="s">
        <v>11</v>
      </c>
      <c r="D4067" s="17" t="s">
        <v>74</v>
      </c>
      <c r="E4067" s="17" t="s">
        <v>20</v>
      </c>
      <c r="F4067" s="16" t="s">
        <v>12564</v>
      </c>
    </row>
    <row r="4068" spans="1:6" x14ac:dyDescent="0.25">
      <c r="A4068" s="16" t="s">
        <v>12565</v>
      </c>
      <c r="B4068" s="17" t="s">
        <v>12566</v>
      </c>
      <c r="C4068" s="17" t="s">
        <v>11</v>
      </c>
      <c r="D4068" s="17" t="s">
        <v>83</v>
      </c>
      <c r="E4068" s="17" t="s">
        <v>20</v>
      </c>
      <c r="F4068" s="16" t="s">
        <v>12567</v>
      </c>
    </row>
    <row r="4069" spans="1:6" x14ac:dyDescent="0.25">
      <c r="A4069" s="16" t="s">
        <v>12568</v>
      </c>
      <c r="B4069" s="17" t="s">
        <v>12569</v>
      </c>
      <c r="C4069" s="17" t="s">
        <v>11</v>
      </c>
      <c r="D4069" s="17" t="s">
        <v>74</v>
      </c>
      <c r="E4069" s="17" t="s">
        <v>20</v>
      </c>
      <c r="F4069" s="16" t="s">
        <v>12570</v>
      </c>
    </row>
    <row r="4070" spans="1:6" x14ac:dyDescent="0.25">
      <c r="A4070" s="16" t="s">
        <v>12571</v>
      </c>
      <c r="B4070" s="17" t="s">
        <v>12572</v>
      </c>
      <c r="C4070" s="17" t="s">
        <v>11</v>
      </c>
      <c r="D4070" s="17" t="s">
        <v>83</v>
      </c>
      <c r="E4070" s="17" t="s">
        <v>20</v>
      </c>
      <c r="F4070" s="16" t="s">
        <v>12573</v>
      </c>
    </row>
    <row r="4071" spans="1:6" x14ac:dyDescent="0.25">
      <c r="A4071" s="16" t="s">
        <v>12574</v>
      </c>
      <c r="B4071" s="17" t="s">
        <v>12575</v>
      </c>
      <c r="C4071" s="17" t="s">
        <v>359</v>
      </c>
      <c r="D4071" s="17" t="s">
        <v>32</v>
      </c>
      <c r="E4071" s="17" t="s">
        <v>20</v>
      </c>
      <c r="F4071" s="16" t="s">
        <v>12576</v>
      </c>
    </row>
    <row r="4072" spans="1:6" x14ac:dyDescent="0.25">
      <c r="A4072" s="16" t="s">
        <v>12577</v>
      </c>
      <c r="B4072" s="17" t="s">
        <v>12578</v>
      </c>
      <c r="C4072" s="17" t="s">
        <v>11</v>
      </c>
      <c r="D4072" s="17" t="s">
        <v>74</v>
      </c>
      <c r="E4072" s="17" t="s">
        <v>20</v>
      </c>
      <c r="F4072" s="16" t="s">
        <v>12579</v>
      </c>
    </row>
    <row r="4073" spans="1:6" x14ac:dyDescent="0.25">
      <c r="A4073" s="16" t="s">
        <v>12580</v>
      </c>
      <c r="B4073" s="17" t="s">
        <v>12581</v>
      </c>
      <c r="C4073" s="17" t="s">
        <v>11</v>
      </c>
      <c r="D4073" s="17" t="s">
        <v>148</v>
      </c>
      <c r="E4073" s="17" t="s">
        <v>20</v>
      </c>
      <c r="F4073" s="16" t="s">
        <v>12582</v>
      </c>
    </row>
    <row r="4074" spans="1:6" x14ac:dyDescent="0.25">
      <c r="A4074" s="16" t="s">
        <v>12583</v>
      </c>
      <c r="B4074" s="17" t="s">
        <v>12584</v>
      </c>
      <c r="C4074" s="17" t="s">
        <v>11</v>
      </c>
      <c r="D4074" s="17" t="s">
        <v>1337</v>
      </c>
      <c r="E4074" s="17" t="s">
        <v>1299</v>
      </c>
      <c r="F4074" s="16" t="s">
        <v>12585</v>
      </c>
    </row>
    <row r="4075" spans="1:6" x14ac:dyDescent="0.25">
      <c r="A4075" s="16" t="s">
        <v>12586</v>
      </c>
      <c r="B4075" s="17" t="s">
        <v>12587</v>
      </c>
      <c r="C4075" s="17" t="s">
        <v>11</v>
      </c>
      <c r="D4075" s="17" t="s">
        <v>32</v>
      </c>
      <c r="E4075" s="17" t="s">
        <v>20</v>
      </c>
      <c r="F4075" s="16" t="s">
        <v>12588</v>
      </c>
    </row>
    <row r="4076" spans="1:6" x14ac:dyDescent="0.25">
      <c r="A4076" s="16" t="s">
        <v>12589</v>
      </c>
      <c r="B4076" s="17" t="s">
        <v>12590</v>
      </c>
      <c r="C4076" s="17" t="s">
        <v>11</v>
      </c>
      <c r="D4076" s="17" t="s">
        <v>32</v>
      </c>
      <c r="E4076" s="17" t="s">
        <v>20</v>
      </c>
      <c r="F4076" s="16" t="s">
        <v>12591</v>
      </c>
    </row>
    <row r="4077" spans="1:6" x14ac:dyDescent="0.25">
      <c r="A4077" s="16" t="s">
        <v>12592</v>
      </c>
      <c r="B4077" s="17" t="s">
        <v>12593</v>
      </c>
      <c r="C4077" s="17" t="s">
        <v>11</v>
      </c>
      <c r="D4077" s="17" t="s">
        <v>811</v>
      </c>
      <c r="E4077" s="17" t="s">
        <v>20</v>
      </c>
      <c r="F4077" s="16" t="s">
        <v>12594</v>
      </c>
    </row>
    <row r="4078" spans="1:6" x14ac:dyDescent="0.25">
      <c r="A4078" s="16" t="s">
        <v>12595</v>
      </c>
      <c r="B4078" s="17" t="s">
        <v>12596</v>
      </c>
      <c r="C4078" s="17" t="s">
        <v>1235</v>
      </c>
      <c r="D4078" s="17" t="s">
        <v>244</v>
      </c>
      <c r="E4078" s="17" t="s">
        <v>1237</v>
      </c>
      <c r="F4078" s="16" t="s">
        <v>12597</v>
      </c>
    </row>
    <row r="4079" spans="1:6" x14ac:dyDescent="0.25">
      <c r="A4079" s="16" t="s">
        <v>12598</v>
      </c>
      <c r="B4079" s="17" t="s">
        <v>12599</v>
      </c>
      <c r="C4079" s="17" t="s">
        <v>11</v>
      </c>
      <c r="D4079" s="17" t="s">
        <v>182</v>
      </c>
      <c r="E4079" s="17" t="s">
        <v>20</v>
      </c>
      <c r="F4079" s="16" t="s">
        <v>12600</v>
      </c>
    </row>
    <row r="4080" spans="1:6" x14ac:dyDescent="0.25">
      <c r="A4080" s="16" t="s">
        <v>12601</v>
      </c>
      <c r="B4080" s="17" t="s">
        <v>12602</v>
      </c>
      <c r="C4080" s="17" t="s">
        <v>11</v>
      </c>
      <c r="D4080" s="17" t="s">
        <v>32</v>
      </c>
      <c r="E4080" s="17" t="s">
        <v>20</v>
      </c>
      <c r="F4080" s="16" t="s">
        <v>12603</v>
      </c>
    </row>
    <row r="4081" spans="1:6" x14ac:dyDescent="0.25">
      <c r="A4081" s="16" t="s">
        <v>12604</v>
      </c>
      <c r="B4081" s="17" t="s">
        <v>12605</v>
      </c>
      <c r="C4081" s="17" t="s">
        <v>11</v>
      </c>
      <c r="D4081" s="17" t="s">
        <v>32</v>
      </c>
      <c r="E4081" s="17" t="s">
        <v>20</v>
      </c>
      <c r="F4081" s="16" t="s">
        <v>12606</v>
      </c>
    </row>
    <row r="4082" spans="1:6" x14ac:dyDescent="0.25">
      <c r="A4082" s="16" t="s">
        <v>12607</v>
      </c>
      <c r="B4082" s="17" t="s">
        <v>12608</v>
      </c>
      <c r="C4082" s="17" t="s">
        <v>11</v>
      </c>
      <c r="D4082" s="17" t="s">
        <v>83</v>
      </c>
      <c r="E4082" s="17" t="s">
        <v>20</v>
      </c>
      <c r="F4082" s="16" t="s">
        <v>12609</v>
      </c>
    </row>
    <row r="4083" spans="1:6" x14ac:dyDescent="0.25">
      <c r="A4083" s="16" t="s">
        <v>12610</v>
      </c>
      <c r="B4083" s="17" t="s">
        <v>12611</v>
      </c>
      <c r="C4083" s="17" t="s">
        <v>11</v>
      </c>
      <c r="D4083" s="17" t="s">
        <v>80</v>
      </c>
      <c r="E4083" s="17" t="s">
        <v>20</v>
      </c>
      <c r="F4083" s="16" t="s">
        <v>12612</v>
      </c>
    </row>
    <row r="4084" spans="1:6" x14ac:dyDescent="0.25">
      <c r="A4084" s="16" t="s">
        <v>12613</v>
      </c>
      <c r="B4084" s="17" t="s">
        <v>12614</v>
      </c>
      <c r="C4084" s="17" t="s">
        <v>11</v>
      </c>
      <c r="D4084" s="17" t="s">
        <v>291</v>
      </c>
      <c r="E4084" s="17" t="s">
        <v>20</v>
      </c>
      <c r="F4084" s="16" t="s">
        <v>12615</v>
      </c>
    </row>
    <row r="4085" spans="1:6" x14ac:dyDescent="0.25">
      <c r="A4085" s="16" t="s">
        <v>12616</v>
      </c>
      <c r="B4085" s="17" t="s">
        <v>12617</v>
      </c>
      <c r="C4085" s="17" t="s">
        <v>11</v>
      </c>
      <c r="D4085" s="17" t="s">
        <v>12</v>
      </c>
      <c r="E4085" s="17" t="s">
        <v>13</v>
      </c>
      <c r="F4085" s="16" t="s">
        <v>12618</v>
      </c>
    </row>
    <row r="4086" spans="1:6" x14ac:dyDescent="0.25">
      <c r="A4086" s="16" t="s">
        <v>12619</v>
      </c>
      <c r="B4086" s="17" t="s">
        <v>12620</v>
      </c>
      <c r="C4086" s="17" t="s">
        <v>11</v>
      </c>
      <c r="D4086" s="17" t="s">
        <v>12</v>
      </c>
      <c r="E4086" s="17" t="s">
        <v>13</v>
      </c>
      <c r="F4086" s="16" t="s">
        <v>12621</v>
      </c>
    </row>
    <row r="4087" spans="1:6" x14ac:dyDescent="0.25">
      <c r="A4087" s="16" t="s">
        <v>12622</v>
      </c>
      <c r="B4087" s="17" t="s">
        <v>12623</v>
      </c>
      <c r="C4087" s="17" t="s">
        <v>11</v>
      </c>
      <c r="D4087" s="17" t="s">
        <v>12</v>
      </c>
      <c r="E4087" s="17" t="s">
        <v>13</v>
      </c>
      <c r="F4087" s="16" t="s">
        <v>12624</v>
      </c>
    </row>
    <row r="4088" spans="1:6" x14ac:dyDescent="0.25">
      <c r="A4088" s="16" t="s">
        <v>12625</v>
      </c>
      <c r="B4088" s="17" t="s">
        <v>12626</v>
      </c>
      <c r="C4088" s="17" t="s">
        <v>11</v>
      </c>
      <c r="D4088" s="17" t="s">
        <v>32</v>
      </c>
      <c r="E4088" s="17" t="s">
        <v>20</v>
      </c>
      <c r="F4088" s="16" t="s">
        <v>12627</v>
      </c>
    </row>
    <row r="4089" spans="1:6" x14ac:dyDescent="0.25">
      <c r="A4089" s="16" t="s">
        <v>12628</v>
      </c>
      <c r="B4089" s="17" t="s">
        <v>12629</v>
      </c>
      <c r="C4089" s="17" t="s">
        <v>11</v>
      </c>
      <c r="D4089" s="17" t="s">
        <v>32</v>
      </c>
      <c r="E4089" s="17" t="s">
        <v>20</v>
      </c>
      <c r="F4089" s="16" t="s">
        <v>12630</v>
      </c>
    </row>
    <row r="4090" spans="1:6" x14ac:dyDescent="0.25">
      <c r="A4090" s="16" t="s">
        <v>12631</v>
      </c>
      <c r="B4090" s="17" t="s">
        <v>12632</v>
      </c>
      <c r="C4090" s="17" t="s">
        <v>11</v>
      </c>
      <c r="D4090" s="17" t="s">
        <v>12</v>
      </c>
      <c r="E4090" s="17" t="s">
        <v>13</v>
      </c>
      <c r="F4090" s="16" t="s">
        <v>12633</v>
      </c>
    </row>
    <row r="4091" spans="1:6" x14ac:dyDescent="0.25">
      <c r="A4091" s="16" t="s">
        <v>12634</v>
      </c>
      <c r="B4091" s="17" t="s">
        <v>12635</v>
      </c>
      <c r="C4091" s="17" t="s">
        <v>11</v>
      </c>
      <c r="D4091" s="17" t="s">
        <v>12</v>
      </c>
      <c r="E4091" s="17" t="s">
        <v>13</v>
      </c>
      <c r="F4091" s="16" t="s">
        <v>12636</v>
      </c>
    </row>
    <row r="4092" spans="1:6" x14ac:dyDescent="0.25">
      <c r="A4092" s="16" t="s">
        <v>12637</v>
      </c>
      <c r="B4092" s="17" t="s">
        <v>12638</v>
      </c>
      <c r="C4092" s="17" t="s">
        <v>11</v>
      </c>
      <c r="D4092" s="17" t="s">
        <v>1989</v>
      </c>
      <c r="E4092" s="17" t="s">
        <v>13</v>
      </c>
      <c r="F4092" s="16" t="s">
        <v>12639</v>
      </c>
    </row>
    <row r="4093" spans="1:6" x14ac:dyDescent="0.25">
      <c r="A4093" s="16" t="s">
        <v>12640</v>
      </c>
      <c r="B4093" s="17" t="s">
        <v>12641</v>
      </c>
      <c r="C4093" s="17" t="s">
        <v>11</v>
      </c>
      <c r="D4093" s="17" t="s">
        <v>32</v>
      </c>
      <c r="E4093" s="17" t="s">
        <v>20</v>
      </c>
      <c r="F4093" s="16" t="s">
        <v>12642</v>
      </c>
    </row>
    <row r="4094" spans="1:6" x14ac:dyDescent="0.25">
      <c r="A4094" s="16" t="s">
        <v>12643</v>
      </c>
      <c r="B4094" s="17" t="s">
        <v>12644</v>
      </c>
      <c r="C4094" s="17" t="s">
        <v>11</v>
      </c>
      <c r="D4094" s="17" t="s">
        <v>83</v>
      </c>
      <c r="E4094" s="17" t="s">
        <v>20</v>
      </c>
      <c r="F4094" s="16" t="s">
        <v>12645</v>
      </c>
    </row>
    <row r="4095" spans="1:6" x14ac:dyDescent="0.25">
      <c r="A4095" s="16" t="s">
        <v>12646</v>
      </c>
      <c r="B4095" s="17" t="s">
        <v>12647</v>
      </c>
      <c r="C4095" s="17" t="s">
        <v>11</v>
      </c>
      <c r="D4095" s="17" t="s">
        <v>12</v>
      </c>
      <c r="E4095" s="17" t="s">
        <v>13</v>
      </c>
      <c r="F4095" s="16" t="s">
        <v>12648</v>
      </c>
    </row>
    <row r="4096" spans="1:6" x14ac:dyDescent="0.25">
      <c r="A4096" s="16" t="s">
        <v>12649</v>
      </c>
      <c r="B4096" s="17" t="s">
        <v>12650</v>
      </c>
      <c r="C4096" s="17" t="s">
        <v>11</v>
      </c>
      <c r="D4096" s="17" t="s">
        <v>32</v>
      </c>
      <c r="E4096" s="17" t="s">
        <v>20</v>
      </c>
      <c r="F4096" s="16" t="s">
        <v>12651</v>
      </c>
    </row>
    <row r="4097" spans="1:6" x14ac:dyDescent="0.25">
      <c r="A4097" s="16" t="s">
        <v>12652</v>
      </c>
      <c r="B4097" s="17" t="s">
        <v>12653</v>
      </c>
      <c r="C4097" s="17" t="s">
        <v>214</v>
      </c>
      <c r="D4097" s="17" t="s">
        <v>74</v>
      </c>
      <c r="E4097" s="17" t="s">
        <v>20</v>
      </c>
      <c r="F4097" s="16" t="s">
        <v>12654</v>
      </c>
    </row>
    <row r="4098" spans="1:6" x14ac:dyDescent="0.25">
      <c r="A4098" s="16" t="s">
        <v>12655</v>
      </c>
      <c r="B4098" s="17" t="s">
        <v>12656</v>
      </c>
      <c r="C4098" s="17" t="s">
        <v>11</v>
      </c>
      <c r="D4098" s="17" t="s">
        <v>649</v>
      </c>
      <c r="E4098" s="17" t="s">
        <v>20</v>
      </c>
      <c r="F4098" s="16" t="s">
        <v>12657</v>
      </c>
    </row>
    <row r="4099" spans="1:6" x14ac:dyDescent="0.25">
      <c r="A4099" s="16" t="s">
        <v>12658</v>
      </c>
      <c r="B4099" s="17" t="s">
        <v>12659</v>
      </c>
      <c r="C4099" s="17" t="s">
        <v>11</v>
      </c>
      <c r="D4099" s="17" t="s">
        <v>811</v>
      </c>
      <c r="E4099" s="17" t="s">
        <v>20</v>
      </c>
      <c r="F4099" s="16" t="s">
        <v>12660</v>
      </c>
    </row>
    <row r="4100" spans="1:6" x14ac:dyDescent="0.25">
      <c r="A4100" s="16" t="s">
        <v>12661</v>
      </c>
      <c r="B4100" s="17" t="s">
        <v>12662</v>
      </c>
      <c r="C4100" s="17" t="s">
        <v>11</v>
      </c>
      <c r="D4100" s="17" t="s">
        <v>576</v>
      </c>
      <c r="E4100" s="17" t="s">
        <v>20</v>
      </c>
      <c r="F4100" s="16" t="s">
        <v>12663</v>
      </c>
    </row>
    <row r="4101" spans="1:6" x14ac:dyDescent="0.25">
      <c r="A4101" s="16" t="s">
        <v>12664</v>
      </c>
      <c r="B4101" s="17" t="s">
        <v>12665</v>
      </c>
      <c r="C4101" s="17" t="s">
        <v>214</v>
      </c>
      <c r="D4101" s="17" t="s">
        <v>32</v>
      </c>
      <c r="E4101" s="17" t="s">
        <v>20</v>
      </c>
      <c r="F4101" s="16" t="s">
        <v>12666</v>
      </c>
    </row>
    <row r="4102" spans="1:6" x14ac:dyDescent="0.25">
      <c r="A4102" s="16" t="s">
        <v>12667</v>
      </c>
      <c r="B4102" s="17" t="s">
        <v>12668</v>
      </c>
      <c r="C4102" s="17" t="s">
        <v>11</v>
      </c>
      <c r="D4102" s="17" t="s">
        <v>83</v>
      </c>
      <c r="E4102" s="17" t="s">
        <v>20</v>
      </c>
      <c r="F4102" s="16" t="s">
        <v>12669</v>
      </c>
    </row>
    <row r="4103" spans="1:6" x14ac:dyDescent="0.25">
      <c r="A4103" s="16" t="s">
        <v>12670</v>
      </c>
      <c r="B4103" s="17" t="s">
        <v>12671</v>
      </c>
      <c r="C4103" s="17" t="s">
        <v>11</v>
      </c>
      <c r="D4103" s="17" t="s">
        <v>670</v>
      </c>
      <c r="E4103" s="17" t="s">
        <v>20</v>
      </c>
      <c r="F4103" s="16" t="s">
        <v>12672</v>
      </c>
    </row>
    <row r="4104" spans="1:6" x14ac:dyDescent="0.25">
      <c r="A4104" s="16" t="s">
        <v>12673</v>
      </c>
      <c r="B4104" s="17" t="s">
        <v>12674</v>
      </c>
      <c r="C4104" s="17" t="s">
        <v>11</v>
      </c>
      <c r="D4104" s="17" t="s">
        <v>32</v>
      </c>
      <c r="E4104" s="17" t="s">
        <v>20</v>
      </c>
      <c r="F4104" s="16" t="s">
        <v>12675</v>
      </c>
    </row>
    <row r="4105" spans="1:6" x14ac:dyDescent="0.25">
      <c r="A4105" s="16" t="s">
        <v>12676</v>
      </c>
      <c r="B4105" s="17" t="s">
        <v>12677</v>
      </c>
      <c r="C4105" s="17" t="s">
        <v>11</v>
      </c>
      <c r="D4105" s="17" t="s">
        <v>32</v>
      </c>
      <c r="E4105" s="17" t="s">
        <v>20</v>
      </c>
      <c r="F4105" s="16" t="s">
        <v>12678</v>
      </c>
    </row>
    <row r="4106" spans="1:6" x14ac:dyDescent="0.25">
      <c r="A4106" s="16" t="s">
        <v>12679</v>
      </c>
      <c r="B4106" s="17" t="s">
        <v>12680</v>
      </c>
      <c r="C4106" s="17" t="s">
        <v>11</v>
      </c>
      <c r="D4106" s="17" t="s">
        <v>26</v>
      </c>
      <c r="E4106" s="17" t="s">
        <v>20</v>
      </c>
      <c r="F4106" s="16" t="s">
        <v>12681</v>
      </c>
    </row>
    <row r="4107" spans="1:6" x14ac:dyDescent="0.25">
      <c r="A4107" s="16" t="s">
        <v>12682</v>
      </c>
      <c r="B4107" s="17" t="s">
        <v>12683</v>
      </c>
      <c r="C4107" s="17" t="s">
        <v>11</v>
      </c>
      <c r="D4107" s="17" t="s">
        <v>570</v>
      </c>
      <c r="E4107" s="17" t="s">
        <v>20</v>
      </c>
      <c r="F4107" s="16" t="s">
        <v>12684</v>
      </c>
    </row>
    <row r="4108" spans="1:6" x14ac:dyDescent="0.25">
      <c r="A4108" s="16" t="s">
        <v>12685</v>
      </c>
      <c r="B4108" s="17" t="s">
        <v>12686</v>
      </c>
      <c r="C4108" s="17" t="s">
        <v>11</v>
      </c>
      <c r="D4108" s="17" t="s">
        <v>182</v>
      </c>
      <c r="E4108" s="17" t="s">
        <v>20</v>
      </c>
      <c r="F4108" s="16" t="s">
        <v>12687</v>
      </c>
    </row>
    <row r="4109" spans="1:6" x14ac:dyDescent="0.25">
      <c r="A4109" s="16" t="s">
        <v>12688</v>
      </c>
      <c r="B4109" s="17" t="s">
        <v>12689</v>
      </c>
      <c r="C4109" s="17" t="s">
        <v>11</v>
      </c>
      <c r="D4109" s="17" t="s">
        <v>148</v>
      </c>
      <c r="E4109" s="17" t="s">
        <v>20</v>
      </c>
      <c r="F4109" s="16" t="s">
        <v>12690</v>
      </c>
    </row>
    <row r="4110" spans="1:6" x14ac:dyDescent="0.25">
      <c r="A4110" s="16" t="s">
        <v>12691</v>
      </c>
      <c r="B4110" s="17" t="s">
        <v>12692</v>
      </c>
      <c r="C4110" s="17" t="s">
        <v>11</v>
      </c>
      <c r="D4110" s="17" t="s">
        <v>32</v>
      </c>
      <c r="E4110" s="17" t="s">
        <v>20</v>
      </c>
      <c r="F4110" s="16" t="s">
        <v>12693</v>
      </c>
    </row>
    <row r="4111" spans="1:6" x14ac:dyDescent="0.25">
      <c r="A4111" s="16" t="s">
        <v>12694</v>
      </c>
      <c r="B4111" s="17" t="s">
        <v>12695</v>
      </c>
      <c r="C4111" s="17" t="s">
        <v>11</v>
      </c>
      <c r="D4111" s="17" t="s">
        <v>32</v>
      </c>
      <c r="E4111" s="17" t="s">
        <v>20</v>
      </c>
      <c r="F4111" s="16" t="s">
        <v>12696</v>
      </c>
    </row>
    <row r="4112" spans="1:6" x14ac:dyDescent="0.25">
      <c r="A4112" s="16" t="s">
        <v>12697</v>
      </c>
      <c r="B4112" s="17" t="s">
        <v>12698</v>
      </c>
      <c r="C4112" s="17" t="s">
        <v>11</v>
      </c>
      <c r="D4112" s="17" t="s">
        <v>68</v>
      </c>
      <c r="E4112" s="17" t="s">
        <v>20</v>
      </c>
      <c r="F4112" s="16" t="s">
        <v>12699</v>
      </c>
    </row>
    <row r="4113" spans="1:6" x14ac:dyDescent="0.25">
      <c r="A4113" s="16" t="s">
        <v>12700</v>
      </c>
      <c r="B4113" s="17" t="s">
        <v>12701</v>
      </c>
      <c r="C4113" s="17" t="s">
        <v>11</v>
      </c>
      <c r="D4113" s="17" t="s">
        <v>32</v>
      </c>
      <c r="E4113" s="17" t="s">
        <v>20</v>
      </c>
      <c r="F4113" s="16" t="s">
        <v>12702</v>
      </c>
    </row>
    <row r="4114" spans="1:6" x14ac:dyDescent="0.25">
      <c r="A4114" s="16" t="s">
        <v>12703</v>
      </c>
      <c r="B4114" s="17" t="s">
        <v>12704</v>
      </c>
      <c r="C4114" s="17" t="s">
        <v>11</v>
      </c>
      <c r="D4114" s="17" t="s">
        <v>32</v>
      </c>
      <c r="E4114" s="17" t="s">
        <v>20</v>
      </c>
      <c r="F4114" s="16" t="s">
        <v>12705</v>
      </c>
    </row>
    <row r="4115" spans="1:6" x14ac:dyDescent="0.25">
      <c r="A4115" s="16" t="s">
        <v>12706</v>
      </c>
      <c r="B4115" s="17" t="s">
        <v>12707</v>
      </c>
      <c r="C4115" s="17" t="s">
        <v>11</v>
      </c>
      <c r="D4115" s="17" t="s">
        <v>83</v>
      </c>
      <c r="E4115" s="17" t="s">
        <v>20</v>
      </c>
      <c r="F4115" s="16" t="s">
        <v>12708</v>
      </c>
    </row>
    <row r="4116" spans="1:6" x14ac:dyDescent="0.25">
      <c r="A4116" s="16" t="s">
        <v>12709</v>
      </c>
      <c r="B4116" s="17" t="s">
        <v>12710</v>
      </c>
      <c r="C4116" s="17" t="s">
        <v>11</v>
      </c>
      <c r="D4116" s="17" t="s">
        <v>32</v>
      </c>
      <c r="E4116" s="17" t="s">
        <v>20</v>
      </c>
      <c r="F4116" s="16" t="s">
        <v>12711</v>
      </c>
    </row>
    <row r="4117" spans="1:6" x14ac:dyDescent="0.25">
      <c r="A4117" s="16" t="s">
        <v>12712</v>
      </c>
      <c r="B4117" s="17" t="s">
        <v>12713</v>
      </c>
      <c r="C4117" s="17" t="s">
        <v>11</v>
      </c>
      <c r="D4117" s="17" t="s">
        <v>148</v>
      </c>
      <c r="E4117" s="17" t="s">
        <v>20</v>
      </c>
      <c r="F4117" s="16" t="s">
        <v>12714</v>
      </c>
    </row>
    <row r="4118" spans="1:6" x14ac:dyDescent="0.25">
      <c r="A4118" s="16" t="s">
        <v>12715</v>
      </c>
      <c r="B4118" s="17" t="s">
        <v>12716</v>
      </c>
      <c r="C4118" s="17" t="s">
        <v>11</v>
      </c>
      <c r="D4118" s="17" t="s">
        <v>32</v>
      </c>
      <c r="E4118" s="17" t="s">
        <v>20</v>
      </c>
      <c r="F4118" s="16" t="s">
        <v>12717</v>
      </c>
    </row>
    <row r="4119" spans="1:6" x14ac:dyDescent="0.25">
      <c r="A4119" s="16" t="s">
        <v>12718</v>
      </c>
      <c r="B4119" s="17" t="s">
        <v>12719</v>
      </c>
      <c r="C4119" s="17" t="s">
        <v>11</v>
      </c>
      <c r="D4119" s="17" t="s">
        <v>32</v>
      </c>
      <c r="E4119" s="17" t="s">
        <v>20</v>
      </c>
      <c r="F4119" s="16" t="s">
        <v>12720</v>
      </c>
    </row>
    <row r="4120" spans="1:6" x14ac:dyDescent="0.25">
      <c r="A4120" s="16" t="s">
        <v>12721</v>
      </c>
      <c r="B4120" s="17" t="s">
        <v>12722</v>
      </c>
      <c r="C4120" s="17" t="s">
        <v>11</v>
      </c>
      <c r="D4120" s="17" t="s">
        <v>32</v>
      </c>
      <c r="E4120" s="17" t="s">
        <v>20</v>
      </c>
      <c r="F4120" s="16" t="s">
        <v>12723</v>
      </c>
    </row>
    <row r="4121" spans="1:6" x14ac:dyDescent="0.25">
      <c r="A4121" s="16" t="s">
        <v>12724</v>
      </c>
      <c r="B4121" s="17" t="s">
        <v>12725</v>
      </c>
      <c r="C4121" s="17" t="s">
        <v>11</v>
      </c>
      <c r="D4121" s="17" t="s">
        <v>32</v>
      </c>
      <c r="E4121" s="17" t="s">
        <v>20</v>
      </c>
      <c r="F4121" s="16" t="s">
        <v>12726</v>
      </c>
    </row>
    <row r="4122" spans="1:6" x14ac:dyDescent="0.25">
      <c r="A4122" s="16" t="s">
        <v>12727</v>
      </c>
      <c r="B4122" s="17" t="s">
        <v>12728</v>
      </c>
      <c r="C4122" s="17" t="s">
        <v>11</v>
      </c>
      <c r="D4122" s="17" t="s">
        <v>182</v>
      </c>
      <c r="E4122" s="17" t="s">
        <v>20</v>
      </c>
      <c r="F4122" s="16" t="s">
        <v>12729</v>
      </c>
    </row>
    <row r="4123" spans="1:6" x14ac:dyDescent="0.25">
      <c r="A4123" s="16" t="s">
        <v>12730</v>
      </c>
      <c r="B4123" s="17" t="s">
        <v>12731</v>
      </c>
      <c r="C4123" s="17" t="s">
        <v>11</v>
      </c>
      <c r="D4123" s="17" t="s">
        <v>32</v>
      </c>
      <c r="E4123" s="17" t="s">
        <v>20</v>
      </c>
      <c r="F4123" s="16" t="s">
        <v>12732</v>
      </c>
    </row>
    <row r="4124" spans="1:6" x14ac:dyDescent="0.25">
      <c r="A4124" s="16" t="s">
        <v>12733</v>
      </c>
      <c r="B4124" s="17" t="s">
        <v>12734</v>
      </c>
      <c r="C4124" s="17" t="s">
        <v>11</v>
      </c>
      <c r="D4124" s="17" t="s">
        <v>68</v>
      </c>
      <c r="E4124" s="17" t="s">
        <v>20</v>
      </c>
      <c r="F4124" s="16" t="s">
        <v>12735</v>
      </c>
    </row>
    <row r="4125" spans="1:6" x14ac:dyDescent="0.25">
      <c r="A4125" s="16" t="s">
        <v>12736</v>
      </c>
      <c r="B4125" s="17" t="s">
        <v>12737</v>
      </c>
      <c r="C4125" s="17" t="s">
        <v>11</v>
      </c>
      <c r="D4125" s="17" t="s">
        <v>291</v>
      </c>
      <c r="E4125" s="17" t="s">
        <v>20</v>
      </c>
      <c r="F4125" s="16" t="s">
        <v>12738</v>
      </c>
    </row>
    <row r="4126" spans="1:6" x14ac:dyDescent="0.25">
      <c r="A4126" s="16" t="s">
        <v>12739</v>
      </c>
      <c r="B4126" s="17" t="s">
        <v>12740</v>
      </c>
      <c r="C4126" s="17" t="s">
        <v>11</v>
      </c>
      <c r="D4126" s="17" t="s">
        <v>148</v>
      </c>
      <c r="E4126" s="17" t="s">
        <v>20</v>
      </c>
      <c r="F4126" s="16" t="s">
        <v>12741</v>
      </c>
    </row>
    <row r="4127" spans="1:6" x14ac:dyDescent="0.25">
      <c r="A4127" s="16" t="s">
        <v>12742</v>
      </c>
      <c r="B4127" s="17" t="s">
        <v>12743</v>
      </c>
      <c r="C4127" s="17" t="s">
        <v>11</v>
      </c>
      <c r="D4127" s="17" t="s">
        <v>26</v>
      </c>
      <c r="E4127" s="17" t="s">
        <v>20</v>
      </c>
      <c r="F4127" s="16" t="s">
        <v>12744</v>
      </c>
    </row>
    <row r="4128" spans="1:6" x14ac:dyDescent="0.25">
      <c r="A4128" s="16" t="s">
        <v>12745</v>
      </c>
      <c r="B4128" s="17" t="s">
        <v>12746</v>
      </c>
      <c r="C4128" s="17" t="s">
        <v>11</v>
      </c>
      <c r="D4128" s="17" t="s">
        <v>80</v>
      </c>
      <c r="E4128" s="17" t="s">
        <v>20</v>
      </c>
      <c r="F4128" s="16" t="s">
        <v>12747</v>
      </c>
    </row>
    <row r="4129" spans="1:6" x14ac:dyDescent="0.25">
      <c r="A4129" s="16" t="s">
        <v>12748</v>
      </c>
      <c r="B4129" s="17" t="s">
        <v>12749</v>
      </c>
      <c r="C4129" s="17" t="s">
        <v>11</v>
      </c>
      <c r="D4129" s="17" t="s">
        <v>32</v>
      </c>
      <c r="E4129" s="17" t="s">
        <v>20</v>
      </c>
      <c r="F4129" s="16" t="s">
        <v>12750</v>
      </c>
    </row>
    <row r="4130" spans="1:6" x14ac:dyDescent="0.25">
      <c r="A4130" s="16" t="s">
        <v>12751</v>
      </c>
      <c r="B4130" s="17" t="s">
        <v>12752</v>
      </c>
      <c r="C4130" s="17" t="s">
        <v>11</v>
      </c>
      <c r="D4130" s="17" t="s">
        <v>26</v>
      </c>
      <c r="E4130" s="17" t="s">
        <v>20</v>
      </c>
      <c r="F4130" s="16" t="s">
        <v>12753</v>
      </c>
    </row>
    <row r="4131" spans="1:6" x14ac:dyDescent="0.25">
      <c r="A4131" s="16" t="s">
        <v>12754</v>
      </c>
      <c r="B4131" s="17" t="s">
        <v>12755</v>
      </c>
      <c r="C4131" s="17" t="s">
        <v>11</v>
      </c>
      <c r="D4131" s="17" t="s">
        <v>83</v>
      </c>
      <c r="E4131" s="17" t="s">
        <v>20</v>
      </c>
      <c r="F4131" s="16" t="s">
        <v>12756</v>
      </c>
    </row>
    <row r="4132" spans="1:6" x14ac:dyDescent="0.25">
      <c r="A4132" s="16" t="s">
        <v>12757</v>
      </c>
      <c r="B4132" s="17" t="s">
        <v>12758</v>
      </c>
      <c r="C4132" s="17" t="s">
        <v>11</v>
      </c>
      <c r="D4132" s="17" t="s">
        <v>74</v>
      </c>
      <c r="E4132" s="17" t="s">
        <v>20</v>
      </c>
      <c r="F4132" s="16" t="s">
        <v>12759</v>
      </c>
    </row>
    <row r="4133" spans="1:6" x14ac:dyDescent="0.25">
      <c r="A4133" s="16" t="s">
        <v>12760</v>
      </c>
      <c r="B4133" s="17" t="s">
        <v>12761</v>
      </c>
      <c r="C4133" s="17" t="s">
        <v>11</v>
      </c>
      <c r="D4133" s="17" t="s">
        <v>12</v>
      </c>
      <c r="E4133" s="17" t="s">
        <v>13</v>
      </c>
      <c r="F4133" s="16" t="s">
        <v>12762</v>
      </c>
    </row>
    <row r="4134" spans="1:6" x14ac:dyDescent="0.25">
      <c r="A4134" s="16" t="s">
        <v>12763</v>
      </c>
      <c r="B4134" s="17" t="s">
        <v>12764</v>
      </c>
      <c r="C4134" s="17" t="s">
        <v>11</v>
      </c>
      <c r="D4134" s="17" t="s">
        <v>32</v>
      </c>
      <c r="E4134" s="17" t="s">
        <v>20</v>
      </c>
      <c r="F4134" s="16" t="s">
        <v>12765</v>
      </c>
    </row>
    <row r="4135" spans="1:6" x14ac:dyDescent="0.25">
      <c r="A4135" s="16" t="s">
        <v>12766</v>
      </c>
      <c r="B4135" s="17" t="s">
        <v>12767</v>
      </c>
      <c r="C4135" s="17" t="s">
        <v>11</v>
      </c>
      <c r="D4135" s="17" t="s">
        <v>32</v>
      </c>
      <c r="E4135" s="17" t="s">
        <v>20</v>
      </c>
      <c r="F4135" s="16" t="s">
        <v>12768</v>
      </c>
    </row>
    <row r="4136" spans="1:6" x14ac:dyDescent="0.25">
      <c r="A4136" s="16" t="s">
        <v>12769</v>
      </c>
      <c r="B4136" s="17" t="s">
        <v>12770</v>
      </c>
      <c r="C4136" s="17" t="s">
        <v>11</v>
      </c>
      <c r="D4136" s="17" t="s">
        <v>36</v>
      </c>
      <c r="E4136" s="17" t="s">
        <v>20</v>
      </c>
      <c r="F4136" s="16" t="s">
        <v>12771</v>
      </c>
    </row>
    <row r="4137" spans="1:6" x14ac:dyDescent="0.25">
      <c r="A4137" s="16" t="s">
        <v>12772</v>
      </c>
      <c r="B4137" s="17" t="s">
        <v>12773</v>
      </c>
      <c r="C4137" s="17" t="s">
        <v>11</v>
      </c>
      <c r="D4137" s="17" t="s">
        <v>32</v>
      </c>
      <c r="E4137" s="17" t="s">
        <v>20</v>
      </c>
      <c r="F4137" s="16" t="s">
        <v>12774</v>
      </c>
    </row>
    <row r="4138" spans="1:6" x14ac:dyDescent="0.25">
      <c r="A4138" s="16" t="s">
        <v>12775</v>
      </c>
      <c r="B4138" s="17" t="s">
        <v>12776</v>
      </c>
      <c r="C4138" s="17" t="s">
        <v>11</v>
      </c>
      <c r="D4138" s="17" t="s">
        <v>74</v>
      </c>
      <c r="E4138" s="17" t="s">
        <v>20</v>
      </c>
      <c r="F4138" s="16" t="s">
        <v>12777</v>
      </c>
    </row>
    <row r="4139" spans="1:6" x14ac:dyDescent="0.25">
      <c r="A4139" s="16" t="s">
        <v>12778</v>
      </c>
      <c r="B4139" s="17" t="s">
        <v>12779</v>
      </c>
      <c r="C4139" s="17" t="s">
        <v>11</v>
      </c>
      <c r="D4139" s="17" t="s">
        <v>811</v>
      </c>
      <c r="E4139" s="17" t="s">
        <v>20</v>
      </c>
      <c r="F4139" s="16" t="s">
        <v>12780</v>
      </c>
    </row>
    <row r="4140" spans="1:6" x14ac:dyDescent="0.25">
      <c r="A4140" s="16" t="s">
        <v>12781</v>
      </c>
      <c r="B4140" s="17" t="s">
        <v>12782</v>
      </c>
      <c r="C4140" s="17" t="s">
        <v>11</v>
      </c>
      <c r="D4140" s="17" t="s">
        <v>32</v>
      </c>
      <c r="E4140" s="17" t="s">
        <v>20</v>
      </c>
      <c r="F4140" s="16" t="s">
        <v>12783</v>
      </c>
    </row>
    <row r="4141" spans="1:6" x14ac:dyDescent="0.25">
      <c r="A4141" s="16" t="s">
        <v>12784</v>
      </c>
      <c r="B4141" s="17" t="s">
        <v>12785</v>
      </c>
      <c r="C4141" s="17" t="s">
        <v>11</v>
      </c>
      <c r="D4141" s="17" t="s">
        <v>74</v>
      </c>
      <c r="E4141" s="17" t="s">
        <v>20</v>
      </c>
      <c r="F4141" s="16" t="s">
        <v>12786</v>
      </c>
    </row>
    <row r="4142" spans="1:6" x14ac:dyDescent="0.25">
      <c r="A4142" s="16" t="s">
        <v>12787</v>
      </c>
      <c r="B4142" s="17" t="s">
        <v>12788</v>
      </c>
      <c r="C4142" s="17" t="s">
        <v>11</v>
      </c>
      <c r="D4142" s="17" t="s">
        <v>12</v>
      </c>
      <c r="E4142" s="17" t="s">
        <v>13</v>
      </c>
      <c r="F4142" s="16" t="s">
        <v>12789</v>
      </c>
    </row>
    <row r="4143" spans="1:6" x14ac:dyDescent="0.25">
      <c r="A4143" s="16" t="s">
        <v>12790</v>
      </c>
      <c r="B4143" s="17" t="s">
        <v>12791</v>
      </c>
      <c r="C4143" s="17" t="s">
        <v>11</v>
      </c>
      <c r="D4143" s="17" t="s">
        <v>12</v>
      </c>
      <c r="E4143" s="17" t="s">
        <v>13</v>
      </c>
      <c r="F4143" s="16" t="s">
        <v>12792</v>
      </c>
    </row>
    <row r="4144" spans="1:6" x14ac:dyDescent="0.25">
      <c r="A4144" s="16" t="s">
        <v>12793</v>
      </c>
      <c r="B4144" s="17" t="s">
        <v>12794</v>
      </c>
      <c r="C4144" s="17" t="s">
        <v>11</v>
      </c>
      <c r="D4144" s="17" t="s">
        <v>12</v>
      </c>
      <c r="E4144" s="17" t="s">
        <v>13</v>
      </c>
      <c r="F4144" s="16" t="s">
        <v>12795</v>
      </c>
    </row>
    <row r="4145" spans="1:6" x14ac:dyDescent="0.25">
      <c r="A4145" s="16" t="s">
        <v>12796</v>
      </c>
      <c r="B4145" s="17" t="s">
        <v>12797</v>
      </c>
      <c r="C4145" s="17" t="s">
        <v>11</v>
      </c>
      <c r="D4145" s="17" t="s">
        <v>32</v>
      </c>
      <c r="E4145" s="17" t="s">
        <v>20</v>
      </c>
      <c r="F4145" s="16" t="s">
        <v>12798</v>
      </c>
    </row>
    <row r="4146" spans="1:6" x14ac:dyDescent="0.25">
      <c r="A4146" s="16" t="s">
        <v>12799</v>
      </c>
      <c r="B4146" s="17" t="s">
        <v>12800</v>
      </c>
      <c r="C4146" s="17" t="s">
        <v>11</v>
      </c>
      <c r="D4146" s="17" t="s">
        <v>26</v>
      </c>
      <c r="E4146" s="17" t="s">
        <v>20</v>
      </c>
      <c r="F4146" s="16" t="s">
        <v>12801</v>
      </c>
    </row>
    <row r="4147" spans="1:6" x14ac:dyDescent="0.25">
      <c r="A4147" s="16" t="s">
        <v>12802</v>
      </c>
      <c r="B4147" s="17" t="s">
        <v>12803</v>
      </c>
      <c r="C4147" s="17" t="s">
        <v>11</v>
      </c>
      <c r="D4147" s="17" t="s">
        <v>291</v>
      </c>
      <c r="E4147" s="17" t="s">
        <v>20</v>
      </c>
      <c r="F4147" s="16" t="s">
        <v>12804</v>
      </c>
    </row>
    <row r="4148" spans="1:6" x14ac:dyDescent="0.25">
      <c r="A4148" s="16" t="s">
        <v>12805</v>
      </c>
      <c r="B4148" s="17" t="s">
        <v>12806</v>
      </c>
      <c r="C4148" s="17" t="s">
        <v>11</v>
      </c>
      <c r="D4148" s="17" t="s">
        <v>83</v>
      </c>
      <c r="E4148" s="17" t="s">
        <v>20</v>
      </c>
      <c r="F4148" s="16" t="s">
        <v>12807</v>
      </c>
    </row>
    <row r="4149" spans="1:6" x14ac:dyDescent="0.25">
      <c r="A4149" s="16" t="s">
        <v>12808</v>
      </c>
      <c r="B4149" s="17" t="s">
        <v>12809</v>
      </c>
      <c r="C4149" s="17" t="s">
        <v>11</v>
      </c>
      <c r="D4149" s="17" t="s">
        <v>32</v>
      </c>
      <c r="E4149" s="17" t="s">
        <v>20</v>
      </c>
      <c r="F4149" s="16" t="s">
        <v>12810</v>
      </c>
    </row>
    <row r="4150" spans="1:6" x14ac:dyDescent="0.25">
      <c r="A4150" s="16" t="s">
        <v>12811</v>
      </c>
      <c r="B4150" s="17" t="s">
        <v>12812</v>
      </c>
      <c r="C4150" s="17" t="s">
        <v>11</v>
      </c>
      <c r="D4150" s="17" t="s">
        <v>250</v>
      </c>
      <c r="E4150" s="17" t="s">
        <v>20</v>
      </c>
      <c r="F4150" s="16" t="s">
        <v>12813</v>
      </c>
    </row>
    <row r="4151" spans="1:6" x14ac:dyDescent="0.25">
      <c r="A4151" s="16" t="s">
        <v>12814</v>
      </c>
      <c r="B4151" s="17" t="s">
        <v>12815</v>
      </c>
      <c r="C4151" s="17" t="s">
        <v>11</v>
      </c>
      <c r="D4151" s="17" t="s">
        <v>74</v>
      </c>
      <c r="E4151" s="17" t="s">
        <v>20</v>
      </c>
      <c r="F4151" s="16" t="s">
        <v>12816</v>
      </c>
    </row>
    <row r="4152" spans="1:6" x14ac:dyDescent="0.25">
      <c r="A4152" s="16" t="s">
        <v>12817</v>
      </c>
      <c r="B4152" s="17" t="s">
        <v>12818</v>
      </c>
      <c r="C4152" s="17" t="s">
        <v>11</v>
      </c>
      <c r="D4152" s="17" t="s">
        <v>83</v>
      </c>
      <c r="E4152" s="17" t="s">
        <v>20</v>
      </c>
      <c r="F4152" s="16" t="s">
        <v>12819</v>
      </c>
    </row>
    <row r="4153" spans="1:6" x14ac:dyDescent="0.25">
      <c r="A4153" s="16" t="s">
        <v>12820</v>
      </c>
      <c r="B4153" s="17" t="s">
        <v>12821</v>
      </c>
      <c r="C4153" s="17" t="s">
        <v>11</v>
      </c>
      <c r="D4153" s="17" t="s">
        <v>89</v>
      </c>
      <c r="E4153" s="17" t="s">
        <v>20</v>
      </c>
      <c r="F4153" s="16" t="s">
        <v>12822</v>
      </c>
    </row>
    <row r="4154" spans="1:6" x14ac:dyDescent="0.25">
      <c r="A4154" s="16" t="s">
        <v>12823</v>
      </c>
      <c r="B4154" s="17" t="s">
        <v>12824</v>
      </c>
      <c r="C4154" s="17" t="s">
        <v>11</v>
      </c>
      <c r="D4154" s="17" t="s">
        <v>83</v>
      </c>
      <c r="E4154" s="17" t="s">
        <v>20</v>
      </c>
      <c r="F4154" s="16" t="s">
        <v>12825</v>
      </c>
    </row>
    <row r="4155" spans="1:6" x14ac:dyDescent="0.25">
      <c r="A4155" s="16" t="s">
        <v>12826</v>
      </c>
      <c r="B4155" s="17" t="s">
        <v>12827</v>
      </c>
      <c r="C4155" s="17" t="s">
        <v>11</v>
      </c>
      <c r="D4155" s="17" t="s">
        <v>32</v>
      </c>
      <c r="E4155" s="17" t="s">
        <v>20</v>
      </c>
      <c r="F4155" s="16" t="s">
        <v>12828</v>
      </c>
    </row>
    <row r="4156" spans="1:6" x14ac:dyDescent="0.25">
      <c r="A4156" s="16" t="s">
        <v>12829</v>
      </c>
      <c r="B4156" s="17" t="s">
        <v>12830</v>
      </c>
      <c r="C4156" s="17" t="s">
        <v>11</v>
      </c>
      <c r="D4156" s="17" t="s">
        <v>12</v>
      </c>
      <c r="E4156" s="17" t="s">
        <v>13</v>
      </c>
      <c r="F4156" s="16" t="s">
        <v>12831</v>
      </c>
    </row>
    <row r="4157" spans="1:6" x14ac:dyDescent="0.25">
      <c r="A4157" s="16" t="s">
        <v>12832</v>
      </c>
      <c r="B4157" s="17" t="s">
        <v>12833</v>
      </c>
      <c r="C4157" s="17" t="s">
        <v>11</v>
      </c>
      <c r="D4157" s="17" t="s">
        <v>12</v>
      </c>
      <c r="E4157" s="17" t="s">
        <v>13</v>
      </c>
      <c r="F4157" s="16" t="s">
        <v>12834</v>
      </c>
    </row>
    <row r="4158" spans="1:6" x14ac:dyDescent="0.25">
      <c r="A4158" s="16" t="s">
        <v>12835</v>
      </c>
      <c r="B4158" s="17" t="s">
        <v>12836</v>
      </c>
      <c r="C4158" s="17" t="s">
        <v>11</v>
      </c>
      <c r="D4158" s="17" t="s">
        <v>80</v>
      </c>
      <c r="E4158" s="17" t="s">
        <v>20</v>
      </c>
      <c r="F4158" s="16" t="s">
        <v>12837</v>
      </c>
    </row>
    <row r="4159" spans="1:6" x14ac:dyDescent="0.25">
      <c r="A4159" s="16" t="s">
        <v>12838</v>
      </c>
      <c r="B4159" s="17" t="s">
        <v>12839</v>
      </c>
      <c r="C4159" s="17" t="s">
        <v>11</v>
      </c>
      <c r="D4159" s="17" t="s">
        <v>12</v>
      </c>
      <c r="E4159" s="17" t="s">
        <v>13</v>
      </c>
      <c r="F4159" s="16" t="s">
        <v>12840</v>
      </c>
    </row>
    <row r="4160" spans="1:6" x14ac:dyDescent="0.25">
      <c r="A4160" s="16" t="s">
        <v>12841</v>
      </c>
      <c r="B4160" s="17" t="s">
        <v>12842</v>
      </c>
      <c r="C4160" s="17" t="s">
        <v>11</v>
      </c>
      <c r="D4160" s="17" t="s">
        <v>12</v>
      </c>
      <c r="E4160" s="17" t="s">
        <v>13</v>
      </c>
      <c r="F4160" s="16" t="s">
        <v>12843</v>
      </c>
    </row>
    <row r="4161" spans="1:6" x14ac:dyDescent="0.25">
      <c r="A4161" s="16" t="s">
        <v>12844</v>
      </c>
      <c r="B4161" s="17" t="s">
        <v>12845</v>
      </c>
      <c r="C4161" s="17" t="s">
        <v>11</v>
      </c>
      <c r="D4161" s="17" t="s">
        <v>12</v>
      </c>
      <c r="E4161" s="17" t="s">
        <v>13</v>
      </c>
      <c r="F4161" s="16" t="s">
        <v>12846</v>
      </c>
    </row>
    <row r="4162" spans="1:6" x14ac:dyDescent="0.25">
      <c r="A4162" s="16" t="s">
        <v>12847</v>
      </c>
      <c r="B4162" s="17" t="s">
        <v>12848</v>
      </c>
      <c r="C4162" s="17" t="s">
        <v>11</v>
      </c>
      <c r="D4162" s="17" t="s">
        <v>32</v>
      </c>
      <c r="E4162" s="17" t="s">
        <v>20</v>
      </c>
      <c r="F4162" s="16" t="s">
        <v>12849</v>
      </c>
    </row>
    <row r="4163" spans="1:6" x14ac:dyDescent="0.25">
      <c r="A4163" s="16" t="s">
        <v>12850</v>
      </c>
      <c r="B4163" s="17" t="s">
        <v>12851</v>
      </c>
      <c r="C4163" s="17" t="s">
        <v>11</v>
      </c>
      <c r="D4163" s="17" t="s">
        <v>12</v>
      </c>
      <c r="E4163" s="17" t="s">
        <v>13</v>
      </c>
      <c r="F4163" s="16" t="s">
        <v>12852</v>
      </c>
    </row>
    <row r="4164" spans="1:6" x14ac:dyDescent="0.25">
      <c r="A4164" s="16" t="s">
        <v>12853</v>
      </c>
      <c r="B4164" s="17" t="s">
        <v>12854</v>
      </c>
      <c r="C4164" s="17" t="s">
        <v>11</v>
      </c>
      <c r="D4164" s="17" t="s">
        <v>12</v>
      </c>
      <c r="E4164" s="17" t="s">
        <v>13</v>
      </c>
      <c r="F4164" s="16" t="s">
        <v>12855</v>
      </c>
    </row>
    <row r="4165" spans="1:6" x14ac:dyDescent="0.25">
      <c r="A4165" s="16" t="s">
        <v>12856</v>
      </c>
      <c r="B4165" s="17" t="s">
        <v>12857</v>
      </c>
      <c r="C4165" s="17" t="s">
        <v>11</v>
      </c>
      <c r="D4165" s="17" t="s">
        <v>12</v>
      </c>
      <c r="E4165" s="17" t="s">
        <v>13</v>
      </c>
      <c r="F4165" s="16" t="s">
        <v>12858</v>
      </c>
    </row>
    <row r="4166" spans="1:6" x14ac:dyDescent="0.25">
      <c r="A4166" s="16" t="s">
        <v>12859</v>
      </c>
      <c r="B4166" s="17" t="s">
        <v>12860</v>
      </c>
      <c r="C4166" s="17" t="s">
        <v>11</v>
      </c>
      <c r="D4166" s="17" t="s">
        <v>12</v>
      </c>
      <c r="E4166" s="17" t="s">
        <v>13</v>
      </c>
      <c r="F4166" s="16" t="s">
        <v>12861</v>
      </c>
    </row>
    <row r="4167" spans="1:6" x14ac:dyDescent="0.25">
      <c r="A4167" s="16" t="s">
        <v>12862</v>
      </c>
      <c r="B4167" s="17" t="s">
        <v>12863</v>
      </c>
      <c r="C4167" s="17" t="s">
        <v>11</v>
      </c>
      <c r="D4167" s="17" t="s">
        <v>12</v>
      </c>
      <c r="E4167" s="17" t="s">
        <v>13</v>
      </c>
      <c r="F4167" s="16" t="s">
        <v>12864</v>
      </c>
    </row>
    <row r="4168" spans="1:6" x14ac:dyDescent="0.25">
      <c r="A4168" s="16" t="s">
        <v>12865</v>
      </c>
      <c r="B4168" s="17" t="s">
        <v>12866</v>
      </c>
      <c r="C4168" s="17" t="s">
        <v>11</v>
      </c>
      <c r="D4168" s="17" t="s">
        <v>12</v>
      </c>
      <c r="E4168" s="17" t="s">
        <v>13</v>
      </c>
      <c r="F4168" s="16" t="s">
        <v>12867</v>
      </c>
    </row>
    <row r="4169" spans="1:6" x14ac:dyDescent="0.25">
      <c r="A4169" s="16" t="s">
        <v>12868</v>
      </c>
      <c r="B4169" s="17" t="s">
        <v>12869</v>
      </c>
      <c r="C4169" s="17" t="s">
        <v>11</v>
      </c>
      <c r="D4169" s="17" t="s">
        <v>12</v>
      </c>
      <c r="E4169" s="17" t="s">
        <v>13</v>
      </c>
      <c r="F4169" s="16" t="s">
        <v>12870</v>
      </c>
    </row>
    <row r="4170" spans="1:6" x14ac:dyDescent="0.25">
      <c r="A4170" s="16" t="s">
        <v>12871</v>
      </c>
      <c r="B4170" s="17" t="s">
        <v>12872</v>
      </c>
      <c r="C4170" s="17" t="s">
        <v>11</v>
      </c>
      <c r="D4170" s="17" t="s">
        <v>12</v>
      </c>
      <c r="E4170" s="17" t="s">
        <v>13</v>
      </c>
      <c r="F4170" s="16" t="s">
        <v>12873</v>
      </c>
    </row>
    <row r="4171" spans="1:6" x14ac:dyDescent="0.25">
      <c r="A4171" s="16" t="s">
        <v>12874</v>
      </c>
      <c r="B4171" s="17" t="s">
        <v>12875</v>
      </c>
      <c r="C4171" s="17" t="s">
        <v>11</v>
      </c>
      <c r="D4171" s="17" t="s">
        <v>32</v>
      </c>
      <c r="E4171" s="17" t="s">
        <v>20</v>
      </c>
      <c r="F4171" s="16" t="s">
        <v>12876</v>
      </c>
    </row>
    <row r="4172" spans="1:6" x14ac:dyDescent="0.25">
      <c r="A4172" s="16" t="s">
        <v>12877</v>
      </c>
      <c r="B4172" s="17" t="s">
        <v>12878</v>
      </c>
      <c r="C4172" s="17" t="s">
        <v>11</v>
      </c>
      <c r="D4172" s="17" t="s">
        <v>12</v>
      </c>
      <c r="E4172" s="17" t="s">
        <v>13</v>
      </c>
      <c r="F4172" s="16" t="s">
        <v>12879</v>
      </c>
    </row>
    <row r="4173" spans="1:6" x14ac:dyDescent="0.25">
      <c r="A4173" s="16" t="s">
        <v>12880</v>
      </c>
      <c r="B4173" s="17" t="s">
        <v>12881</v>
      </c>
      <c r="C4173" s="17" t="s">
        <v>11</v>
      </c>
      <c r="D4173" s="17" t="s">
        <v>83</v>
      </c>
      <c r="E4173" s="17" t="s">
        <v>20</v>
      </c>
      <c r="F4173" s="16" t="s">
        <v>12882</v>
      </c>
    </row>
    <row r="4174" spans="1:6" x14ac:dyDescent="0.25">
      <c r="A4174" s="16" t="s">
        <v>12883</v>
      </c>
      <c r="B4174" s="17" t="s">
        <v>12884</v>
      </c>
      <c r="C4174" s="17" t="s">
        <v>11</v>
      </c>
      <c r="D4174" s="17" t="s">
        <v>12</v>
      </c>
      <c r="E4174" s="17" t="s">
        <v>13</v>
      </c>
      <c r="F4174" s="16" t="s">
        <v>12885</v>
      </c>
    </row>
    <row r="4175" spans="1:6" x14ac:dyDescent="0.25">
      <c r="A4175" s="16" t="s">
        <v>12886</v>
      </c>
      <c r="B4175" s="17" t="s">
        <v>12887</v>
      </c>
      <c r="C4175" s="17" t="s">
        <v>11</v>
      </c>
      <c r="D4175" s="17" t="s">
        <v>12</v>
      </c>
      <c r="E4175" s="17" t="s">
        <v>13</v>
      </c>
      <c r="F4175" s="16" t="s">
        <v>12888</v>
      </c>
    </row>
    <row r="4176" spans="1:6" x14ac:dyDescent="0.25">
      <c r="A4176" s="16" t="s">
        <v>12889</v>
      </c>
      <c r="B4176" s="17" t="s">
        <v>12890</v>
      </c>
      <c r="C4176" s="17" t="s">
        <v>11</v>
      </c>
      <c r="D4176" s="17" t="s">
        <v>12</v>
      </c>
      <c r="E4176" s="17" t="s">
        <v>13</v>
      </c>
      <c r="F4176" s="16" t="s">
        <v>12891</v>
      </c>
    </row>
    <row r="4177" spans="1:6" x14ac:dyDescent="0.25">
      <c r="A4177" s="16" t="s">
        <v>12892</v>
      </c>
      <c r="B4177" s="17" t="s">
        <v>12893</v>
      </c>
      <c r="C4177" s="17" t="s">
        <v>11</v>
      </c>
      <c r="D4177" s="17" t="s">
        <v>811</v>
      </c>
      <c r="E4177" s="17" t="s">
        <v>20</v>
      </c>
      <c r="F4177" s="16" t="s">
        <v>12894</v>
      </c>
    </row>
    <row r="4178" spans="1:6" x14ac:dyDescent="0.25">
      <c r="A4178" s="16" t="s">
        <v>12895</v>
      </c>
      <c r="B4178" s="17" t="s">
        <v>12896</v>
      </c>
      <c r="C4178" s="17" t="s">
        <v>11</v>
      </c>
      <c r="D4178" s="17" t="s">
        <v>32</v>
      </c>
      <c r="E4178" s="17" t="s">
        <v>20</v>
      </c>
      <c r="F4178" s="16" t="s">
        <v>12897</v>
      </c>
    </row>
    <row r="4179" spans="1:6" x14ac:dyDescent="0.25">
      <c r="A4179" s="16" t="s">
        <v>12898</v>
      </c>
      <c r="B4179" s="17" t="s">
        <v>12899</v>
      </c>
      <c r="C4179" s="17" t="s">
        <v>11</v>
      </c>
      <c r="D4179" s="17" t="s">
        <v>83</v>
      </c>
      <c r="E4179" s="17" t="s">
        <v>20</v>
      </c>
      <c r="F4179" s="16" t="s">
        <v>12900</v>
      </c>
    </row>
    <row r="4180" spans="1:6" x14ac:dyDescent="0.25">
      <c r="A4180" s="16" t="s">
        <v>12901</v>
      </c>
      <c r="B4180" s="17" t="s">
        <v>12902</v>
      </c>
      <c r="C4180" s="17" t="s">
        <v>11</v>
      </c>
      <c r="D4180" s="17" t="s">
        <v>12</v>
      </c>
      <c r="E4180" s="17" t="s">
        <v>13</v>
      </c>
      <c r="F4180" s="16" t="s">
        <v>12903</v>
      </c>
    </row>
    <row r="4181" spans="1:6" x14ac:dyDescent="0.25">
      <c r="A4181" s="16" t="s">
        <v>12904</v>
      </c>
      <c r="B4181" s="17" t="s">
        <v>12905</v>
      </c>
      <c r="C4181" s="17" t="s">
        <v>11</v>
      </c>
      <c r="D4181" s="17" t="s">
        <v>26</v>
      </c>
      <c r="E4181" s="17" t="s">
        <v>20</v>
      </c>
      <c r="F4181" s="16" t="s">
        <v>12906</v>
      </c>
    </row>
    <row r="4182" spans="1:6" x14ac:dyDescent="0.25">
      <c r="A4182" s="16" t="s">
        <v>12907</v>
      </c>
      <c r="B4182" s="17" t="s">
        <v>12908</v>
      </c>
      <c r="C4182" s="17" t="s">
        <v>11</v>
      </c>
      <c r="D4182" s="17" t="s">
        <v>12</v>
      </c>
      <c r="E4182" s="17" t="s">
        <v>13</v>
      </c>
      <c r="F4182" s="16" t="s">
        <v>12909</v>
      </c>
    </row>
    <row r="4183" spans="1:6" x14ac:dyDescent="0.25">
      <c r="A4183" s="16" t="s">
        <v>12910</v>
      </c>
      <c r="B4183" s="17" t="s">
        <v>12911</v>
      </c>
      <c r="C4183" s="17" t="s">
        <v>11</v>
      </c>
      <c r="D4183" s="17" t="s">
        <v>12</v>
      </c>
      <c r="E4183" s="17" t="s">
        <v>13</v>
      </c>
      <c r="F4183" s="16" t="s">
        <v>12912</v>
      </c>
    </row>
    <row r="4184" spans="1:6" x14ac:dyDescent="0.25">
      <c r="A4184" s="16" t="s">
        <v>12913</v>
      </c>
      <c r="B4184" s="17" t="s">
        <v>12914</v>
      </c>
      <c r="C4184" s="17" t="s">
        <v>11</v>
      </c>
      <c r="D4184" s="17" t="s">
        <v>12</v>
      </c>
      <c r="E4184" s="17" t="s">
        <v>13</v>
      </c>
      <c r="F4184" s="16" t="s">
        <v>12915</v>
      </c>
    </row>
    <row r="4185" spans="1:6" x14ac:dyDescent="0.25">
      <c r="A4185" s="16" t="s">
        <v>12916</v>
      </c>
      <c r="B4185" s="17" t="s">
        <v>12917</v>
      </c>
      <c r="C4185" s="17" t="s">
        <v>11</v>
      </c>
      <c r="D4185" s="17" t="s">
        <v>12</v>
      </c>
      <c r="E4185" s="17" t="s">
        <v>13</v>
      </c>
      <c r="F4185" s="16" t="s">
        <v>12918</v>
      </c>
    </row>
    <row r="4186" spans="1:6" x14ac:dyDescent="0.25">
      <c r="A4186" s="16" t="s">
        <v>12919</v>
      </c>
      <c r="B4186" s="17" t="s">
        <v>12920</v>
      </c>
      <c r="C4186" s="17" t="s">
        <v>11</v>
      </c>
      <c r="D4186" s="17" t="s">
        <v>83</v>
      </c>
      <c r="E4186" s="17" t="s">
        <v>20</v>
      </c>
      <c r="F4186" s="16" t="s">
        <v>12921</v>
      </c>
    </row>
    <row r="4187" spans="1:6" x14ac:dyDescent="0.25">
      <c r="A4187" s="16" t="s">
        <v>12922</v>
      </c>
      <c r="B4187" s="17" t="s">
        <v>12923</v>
      </c>
      <c r="C4187" s="17" t="s">
        <v>11</v>
      </c>
      <c r="D4187" s="17" t="s">
        <v>59</v>
      </c>
      <c r="E4187" s="17" t="s">
        <v>13</v>
      </c>
      <c r="F4187" s="16" t="s">
        <v>12924</v>
      </c>
    </row>
    <row r="4188" spans="1:6" x14ac:dyDescent="0.25">
      <c r="A4188" s="16" t="s">
        <v>12925</v>
      </c>
      <c r="B4188" s="17" t="s">
        <v>12926</v>
      </c>
      <c r="C4188" s="17" t="s">
        <v>11</v>
      </c>
      <c r="D4188" s="17" t="s">
        <v>32</v>
      </c>
      <c r="E4188" s="17" t="s">
        <v>20</v>
      </c>
      <c r="F4188" s="16" t="s">
        <v>12927</v>
      </c>
    </row>
    <row r="4189" spans="1:6" x14ac:dyDescent="0.25">
      <c r="A4189" s="16" t="s">
        <v>12928</v>
      </c>
      <c r="B4189" s="17" t="s">
        <v>12929</v>
      </c>
      <c r="C4189" s="17" t="s">
        <v>11</v>
      </c>
      <c r="D4189" s="17" t="s">
        <v>83</v>
      </c>
      <c r="E4189" s="17" t="s">
        <v>20</v>
      </c>
      <c r="F4189" s="16" t="s">
        <v>12930</v>
      </c>
    </row>
    <row r="4190" spans="1:6" x14ac:dyDescent="0.25">
      <c r="A4190" s="16" t="s">
        <v>12931</v>
      </c>
      <c r="B4190" s="17" t="s">
        <v>12932</v>
      </c>
      <c r="C4190" s="17" t="s">
        <v>11</v>
      </c>
      <c r="D4190" s="17" t="s">
        <v>250</v>
      </c>
      <c r="E4190" s="17" t="s">
        <v>20</v>
      </c>
      <c r="F4190" s="16" t="s">
        <v>12933</v>
      </c>
    </row>
    <row r="4191" spans="1:6" x14ac:dyDescent="0.25">
      <c r="A4191" s="16" t="s">
        <v>12934</v>
      </c>
      <c r="B4191" s="17" t="s">
        <v>12935</v>
      </c>
      <c r="C4191" s="17" t="s">
        <v>11</v>
      </c>
      <c r="D4191" s="17" t="s">
        <v>12</v>
      </c>
      <c r="E4191" s="17" t="s">
        <v>13</v>
      </c>
      <c r="F4191" s="16" t="s">
        <v>12936</v>
      </c>
    </row>
    <row r="4192" spans="1:6" x14ac:dyDescent="0.25">
      <c r="A4192" s="16" t="s">
        <v>12937</v>
      </c>
      <c r="B4192" s="17" t="s">
        <v>12938</v>
      </c>
      <c r="C4192" s="17" t="s">
        <v>11</v>
      </c>
      <c r="D4192" s="17" t="s">
        <v>32</v>
      </c>
      <c r="E4192" s="17" t="s">
        <v>20</v>
      </c>
      <c r="F4192" s="16" t="s">
        <v>12939</v>
      </c>
    </row>
    <row r="4193" spans="1:6" x14ac:dyDescent="0.25">
      <c r="A4193" s="16" t="s">
        <v>12940</v>
      </c>
      <c r="B4193" s="17" t="s">
        <v>12941</v>
      </c>
      <c r="C4193" s="17" t="s">
        <v>11</v>
      </c>
      <c r="D4193" s="17" t="s">
        <v>83</v>
      </c>
      <c r="E4193" s="17" t="s">
        <v>20</v>
      </c>
      <c r="F4193" s="16" t="s">
        <v>12942</v>
      </c>
    </row>
    <row r="4194" spans="1:6" x14ac:dyDescent="0.25">
      <c r="A4194" s="16" t="s">
        <v>12943</v>
      </c>
      <c r="B4194" s="17" t="s">
        <v>12944</v>
      </c>
      <c r="C4194" s="17" t="s">
        <v>11</v>
      </c>
      <c r="D4194" s="17" t="s">
        <v>26</v>
      </c>
      <c r="E4194" s="17" t="s">
        <v>20</v>
      </c>
      <c r="F4194" s="16" t="s">
        <v>12945</v>
      </c>
    </row>
    <row r="4195" spans="1:6" x14ac:dyDescent="0.25">
      <c r="A4195" s="16" t="s">
        <v>12946</v>
      </c>
      <c r="B4195" s="17" t="s">
        <v>12947</v>
      </c>
      <c r="C4195" s="17" t="s">
        <v>11</v>
      </c>
      <c r="D4195" s="17" t="s">
        <v>32</v>
      </c>
      <c r="E4195" s="17" t="s">
        <v>20</v>
      </c>
      <c r="F4195" s="16" t="s">
        <v>12948</v>
      </c>
    </row>
    <row r="4196" spans="1:6" x14ac:dyDescent="0.25">
      <c r="A4196" s="16" t="s">
        <v>12949</v>
      </c>
      <c r="B4196" s="17" t="s">
        <v>12950</v>
      </c>
      <c r="C4196" s="17" t="s">
        <v>11</v>
      </c>
      <c r="D4196" s="17" t="s">
        <v>80</v>
      </c>
      <c r="E4196" s="17" t="s">
        <v>20</v>
      </c>
      <c r="F4196" s="16" t="s">
        <v>12951</v>
      </c>
    </row>
    <row r="4197" spans="1:6" x14ac:dyDescent="0.25">
      <c r="A4197" s="16" t="s">
        <v>12952</v>
      </c>
      <c r="B4197" s="17" t="s">
        <v>12953</v>
      </c>
      <c r="C4197" s="17" t="s">
        <v>11</v>
      </c>
      <c r="D4197" s="17" t="s">
        <v>83</v>
      </c>
      <c r="E4197" s="17" t="s">
        <v>20</v>
      </c>
      <c r="F4197" s="16" t="s">
        <v>12954</v>
      </c>
    </row>
    <row r="4198" spans="1:6" x14ac:dyDescent="0.25">
      <c r="A4198" s="16" t="s">
        <v>12955</v>
      </c>
      <c r="B4198" s="17" t="s">
        <v>12956</v>
      </c>
      <c r="C4198" s="17" t="s">
        <v>11</v>
      </c>
      <c r="D4198" s="17" t="s">
        <v>83</v>
      </c>
      <c r="E4198" s="17" t="s">
        <v>20</v>
      </c>
      <c r="F4198" s="16" t="s">
        <v>12957</v>
      </c>
    </row>
    <row r="4199" spans="1:6" x14ac:dyDescent="0.25">
      <c r="A4199" s="16" t="s">
        <v>12958</v>
      </c>
      <c r="B4199" s="17" t="s">
        <v>12959</v>
      </c>
      <c r="C4199" s="17" t="s">
        <v>11</v>
      </c>
      <c r="D4199" s="17" t="s">
        <v>32</v>
      </c>
      <c r="E4199" s="17" t="s">
        <v>20</v>
      </c>
      <c r="F4199" s="16" t="s">
        <v>12960</v>
      </c>
    </row>
    <row r="4200" spans="1:6" x14ac:dyDescent="0.25">
      <c r="A4200" s="16" t="s">
        <v>12961</v>
      </c>
      <c r="B4200" s="17" t="s">
        <v>12962</v>
      </c>
      <c r="C4200" s="17" t="s">
        <v>11</v>
      </c>
      <c r="D4200" s="17" t="s">
        <v>83</v>
      </c>
      <c r="E4200" s="17" t="s">
        <v>20</v>
      </c>
      <c r="F4200" s="16" t="s">
        <v>12963</v>
      </c>
    </row>
    <row r="4201" spans="1:6" x14ac:dyDescent="0.25">
      <c r="A4201" s="16" t="s">
        <v>12964</v>
      </c>
      <c r="B4201" s="17" t="s">
        <v>12965</v>
      </c>
      <c r="C4201" s="17" t="s">
        <v>11</v>
      </c>
      <c r="D4201" s="17" t="s">
        <v>32</v>
      </c>
      <c r="E4201" s="17" t="s">
        <v>20</v>
      </c>
      <c r="F4201" s="16" t="s">
        <v>12966</v>
      </c>
    </row>
    <row r="4202" spans="1:6" x14ac:dyDescent="0.25">
      <c r="A4202" s="16" t="s">
        <v>12967</v>
      </c>
      <c r="B4202" s="17" t="s">
        <v>12968</v>
      </c>
      <c r="C4202" s="17" t="s">
        <v>11</v>
      </c>
      <c r="D4202" s="17" t="s">
        <v>186</v>
      </c>
      <c r="E4202" s="17" t="s">
        <v>20</v>
      </c>
      <c r="F4202" s="16" t="s">
        <v>12969</v>
      </c>
    </row>
    <row r="4203" spans="1:6" x14ac:dyDescent="0.25">
      <c r="A4203" s="16" t="s">
        <v>12970</v>
      </c>
      <c r="B4203" s="17" t="s">
        <v>12971</v>
      </c>
      <c r="C4203" s="17" t="s">
        <v>11</v>
      </c>
      <c r="D4203" s="17" t="s">
        <v>26</v>
      </c>
      <c r="E4203" s="17" t="s">
        <v>20</v>
      </c>
      <c r="F4203" s="16" t="s">
        <v>12972</v>
      </c>
    </row>
    <row r="4204" spans="1:6" x14ac:dyDescent="0.25">
      <c r="A4204" s="16" t="s">
        <v>12973</v>
      </c>
      <c r="B4204" s="17" t="s">
        <v>12974</v>
      </c>
      <c r="C4204" s="17" t="s">
        <v>11</v>
      </c>
      <c r="D4204" s="17" t="s">
        <v>148</v>
      </c>
      <c r="E4204" s="17" t="s">
        <v>20</v>
      </c>
      <c r="F4204" s="16" t="s">
        <v>12975</v>
      </c>
    </row>
    <row r="4205" spans="1:6" x14ac:dyDescent="0.25">
      <c r="A4205" s="16" t="s">
        <v>12976</v>
      </c>
      <c r="B4205" s="17" t="s">
        <v>12977</v>
      </c>
      <c r="C4205" s="17" t="s">
        <v>11</v>
      </c>
      <c r="D4205" s="17" t="s">
        <v>32</v>
      </c>
      <c r="E4205" s="17" t="s">
        <v>20</v>
      </c>
      <c r="F4205" s="16" t="s">
        <v>12978</v>
      </c>
    </row>
    <row r="4206" spans="1:6" x14ac:dyDescent="0.25">
      <c r="A4206" s="16" t="s">
        <v>12979</v>
      </c>
      <c r="B4206" s="17" t="s">
        <v>12980</v>
      </c>
      <c r="C4206" s="17" t="s">
        <v>11</v>
      </c>
      <c r="D4206" s="17" t="s">
        <v>148</v>
      </c>
      <c r="E4206" s="17" t="s">
        <v>20</v>
      </c>
      <c r="F4206" s="16" t="s">
        <v>12981</v>
      </c>
    </row>
    <row r="4207" spans="1:6" x14ac:dyDescent="0.25">
      <c r="A4207" s="16" t="s">
        <v>12982</v>
      </c>
      <c r="B4207" s="17" t="s">
        <v>12983</v>
      </c>
      <c r="C4207" s="17" t="s">
        <v>11</v>
      </c>
      <c r="D4207" s="17" t="s">
        <v>32</v>
      </c>
      <c r="E4207" s="17" t="s">
        <v>20</v>
      </c>
      <c r="F4207" s="16" t="s">
        <v>12984</v>
      </c>
    </row>
    <row r="4208" spans="1:6" x14ac:dyDescent="0.25">
      <c r="A4208" s="16" t="s">
        <v>12985</v>
      </c>
      <c r="B4208" s="17" t="s">
        <v>12986</v>
      </c>
      <c r="C4208" s="17" t="s">
        <v>11</v>
      </c>
      <c r="D4208" s="17" t="s">
        <v>148</v>
      </c>
      <c r="E4208" s="17" t="s">
        <v>20</v>
      </c>
      <c r="F4208" s="16" t="s">
        <v>12987</v>
      </c>
    </row>
    <row r="4209" spans="1:6" x14ac:dyDescent="0.25">
      <c r="A4209" s="16" t="s">
        <v>12988</v>
      </c>
      <c r="B4209" s="17" t="s">
        <v>12989</v>
      </c>
      <c r="C4209" s="17" t="s">
        <v>11</v>
      </c>
      <c r="D4209" s="17" t="s">
        <v>83</v>
      </c>
      <c r="E4209" s="17" t="s">
        <v>20</v>
      </c>
      <c r="F4209" s="16" t="s">
        <v>12990</v>
      </c>
    </row>
    <row r="4210" spans="1:6" x14ac:dyDescent="0.25">
      <c r="A4210" s="16" t="s">
        <v>12991</v>
      </c>
      <c r="B4210" s="17" t="s">
        <v>12992</v>
      </c>
      <c r="C4210" s="17" t="s">
        <v>11</v>
      </c>
      <c r="D4210" s="17" t="s">
        <v>26</v>
      </c>
      <c r="E4210" s="17" t="s">
        <v>20</v>
      </c>
      <c r="F4210" s="16" t="s">
        <v>12993</v>
      </c>
    </row>
    <row r="4211" spans="1:6" x14ac:dyDescent="0.25">
      <c r="A4211" s="16" t="s">
        <v>12994</v>
      </c>
      <c r="B4211" s="17" t="s">
        <v>12995</v>
      </c>
      <c r="C4211" s="17" t="s">
        <v>11</v>
      </c>
      <c r="D4211" s="17" t="s">
        <v>83</v>
      </c>
      <c r="E4211" s="17" t="s">
        <v>20</v>
      </c>
      <c r="F4211" s="16" t="s">
        <v>12996</v>
      </c>
    </row>
    <row r="4212" spans="1:6" x14ac:dyDescent="0.25">
      <c r="A4212" s="16" t="s">
        <v>12997</v>
      </c>
      <c r="B4212" s="17" t="s">
        <v>12998</v>
      </c>
      <c r="C4212" s="17" t="s">
        <v>11</v>
      </c>
      <c r="D4212" s="17" t="s">
        <v>83</v>
      </c>
      <c r="E4212" s="17" t="s">
        <v>20</v>
      </c>
      <c r="F4212" s="16" t="s">
        <v>12999</v>
      </c>
    </row>
    <row r="4213" spans="1:6" x14ac:dyDescent="0.25">
      <c r="A4213" s="16" t="s">
        <v>13000</v>
      </c>
      <c r="B4213" s="17" t="s">
        <v>13001</v>
      </c>
      <c r="C4213" s="17" t="s">
        <v>11</v>
      </c>
      <c r="D4213" s="17" t="s">
        <v>83</v>
      </c>
      <c r="E4213" s="17" t="s">
        <v>20</v>
      </c>
      <c r="F4213" s="16" t="s">
        <v>13002</v>
      </c>
    </row>
    <row r="4214" spans="1:6" x14ac:dyDescent="0.25">
      <c r="A4214" s="16" t="s">
        <v>13003</v>
      </c>
      <c r="B4214" s="17" t="s">
        <v>13004</v>
      </c>
      <c r="C4214" s="17" t="s">
        <v>11</v>
      </c>
      <c r="D4214" s="17" t="s">
        <v>32</v>
      </c>
      <c r="E4214" s="17" t="s">
        <v>20</v>
      </c>
      <c r="F4214" s="16" t="s">
        <v>13005</v>
      </c>
    </row>
    <row r="4215" spans="1:6" x14ac:dyDescent="0.25">
      <c r="A4215" s="16" t="s">
        <v>13006</v>
      </c>
      <c r="B4215" s="17" t="s">
        <v>13007</v>
      </c>
      <c r="C4215" s="17" t="s">
        <v>11</v>
      </c>
      <c r="D4215" s="17" t="s">
        <v>148</v>
      </c>
      <c r="E4215" s="17" t="s">
        <v>20</v>
      </c>
      <c r="F4215" s="16" t="s">
        <v>13008</v>
      </c>
    </row>
    <row r="4216" spans="1:6" x14ac:dyDescent="0.25">
      <c r="A4216" s="16" t="s">
        <v>13009</v>
      </c>
      <c r="B4216" s="17" t="s">
        <v>13010</v>
      </c>
      <c r="C4216" s="17" t="s">
        <v>11</v>
      </c>
      <c r="D4216" s="17" t="s">
        <v>83</v>
      </c>
      <c r="E4216" s="17" t="s">
        <v>20</v>
      </c>
      <c r="F4216" s="16" t="s">
        <v>13011</v>
      </c>
    </row>
    <row r="4217" spans="1:6" x14ac:dyDescent="0.25">
      <c r="A4217" s="16" t="s">
        <v>13012</v>
      </c>
      <c r="B4217" s="17" t="s">
        <v>13013</v>
      </c>
      <c r="C4217" s="17" t="s">
        <v>11</v>
      </c>
      <c r="D4217" s="17" t="s">
        <v>12</v>
      </c>
      <c r="E4217" s="17" t="s">
        <v>13</v>
      </c>
      <c r="F4217" s="16" t="s">
        <v>13014</v>
      </c>
    </row>
    <row r="4218" spans="1:6" x14ac:dyDescent="0.25">
      <c r="A4218" s="16" t="s">
        <v>13015</v>
      </c>
      <c r="B4218" s="17" t="s">
        <v>13016</v>
      </c>
      <c r="C4218" s="17" t="s">
        <v>11</v>
      </c>
      <c r="D4218" s="17" t="s">
        <v>186</v>
      </c>
      <c r="E4218" s="17" t="s">
        <v>20</v>
      </c>
      <c r="F4218" s="16" t="s">
        <v>13017</v>
      </c>
    </row>
    <row r="4219" spans="1:6" x14ac:dyDescent="0.25">
      <c r="A4219" s="16" t="s">
        <v>13018</v>
      </c>
      <c r="B4219" s="17" t="s">
        <v>13019</v>
      </c>
      <c r="C4219" s="17" t="s">
        <v>11</v>
      </c>
      <c r="D4219" s="17" t="s">
        <v>12</v>
      </c>
      <c r="E4219" s="17" t="s">
        <v>13</v>
      </c>
      <c r="F4219" s="16" t="s">
        <v>13020</v>
      </c>
    </row>
    <row r="4220" spans="1:6" x14ac:dyDescent="0.25">
      <c r="A4220" s="16" t="s">
        <v>13021</v>
      </c>
      <c r="B4220" s="17" t="s">
        <v>13022</v>
      </c>
      <c r="C4220" s="17" t="s">
        <v>11</v>
      </c>
      <c r="D4220" s="17" t="s">
        <v>171</v>
      </c>
      <c r="E4220" s="17" t="s">
        <v>13</v>
      </c>
      <c r="F4220" s="16" t="s">
        <v>13023</v>
      </c>
    </row>
    <row r="4221" spans="1:6" x14ac:dyDescent="0.25">
      <c r="A4221" s="16" t="s">
        <v>13024</v>
      </c>
      <c r="B4221" s="17" t="s">
        <v>13025</v>
      </c>
      <c r="C4221" s="17" t="s">
        <v>11</v>
      </c>
      <c r="D4221" s="17" t="s">
        <v>80</v>
      </c>
      <c r="E4221" s="17" t="s">
        <v>20</v>
      </c>
      <c r="F4221" s="16" t="s">
        <v>13026</v>
      </c>
    </row>
    <row r="4222" spans="1:6" x14ac:dyDescent="0.25">
      <c r="A4222" s="16" t="s">
        <v>13027</v>
      </c>
      <c r="B4222" s="17" t="s">
        <v>13028</v>
      </c>
      <c r="C4222" s="17" t="s">
        <v>11</v>
      </c>
      <c r="D4222" s="17" t="s">
        <v>12</v>
      </c>
      <c r="E4222" s="17" t="s">
        <v>13</v>
      </c>
      <c r="F4222" s="16" t="s">
        <v>13029</v>
      </c>
    </row>
    <row r="4223" spans="1:6" x14ac:dyDescent="0.25">
      <c r="A4223" s="16" t="s">
        <v>13030</v>
      </c>
      <c r="B4223" s="17" t="s">
        <v>13031</v>
      </c>
      <c r="C4223" s="17" t="s">
        <v>11</v>
      </c>
      <c r="D4223" s="17" t="s">
        <v>3346</v>
      </c>
      <c r="E4223" s="17" t="s">
        <v>20</v>
      </c>
      <c r="F4223" s="16" t="s">
        <v>13032</v>
      </c>
    </row>
    <row r="4224" spans="1:6" x14ac:dyDescent="0.25">
      <c r="A4224" s="16" t="s">
        <v>13033</v>
      </c>
      <c r="B4224" s="17" t="s">
        <v>13034</v>
      </c>
      <c r="C4224" s="17" t="s">
        <v>11</v>
      </c>
      <c r="D4224" s="17" t="s">
        <v>80</v>
      </c>
      <c r="E4224" s="17" t="s">
        <v>20</v>
      </c>
      <c r="F4224" s="16" t="s">
        <v>13035</v>
      </c>
    </row>
    <row r="4225" spans="1:6" x14ac:dyDescent="0.25">
      <c r="A4225" s="16" t="s">
        <v>13036</v>
      </c>
      <c r="B4225" s="17" t="s">
        <v>13037</v>
      </c>
      <c r="C4225" s="17" t="s">
        <v>11</v>
      </c>
      <c r="D4225" s="17" t="s">
        <v>83</v>
      </c>
      <c r="E4225" s="17" t="s">
        <v>20</v>
      </c>
      <c r="F4225" s="16" t="s">
        <v>13038</v>
      </c>
    </row>
    <row r="4226" spans="1:6" x14ac:dyDescent="0.25">
      <c r="A4226" s="16" t="s">
        <v>13039</v>
      </c>
      <c r="B4226" s="17" t="s">
        <v>13040</v>
      </c>
      <c r="C4226" s="17" t="s">
        <v>11</v>
      </c>
      <c r="D4226" s="17" t="s">
        <v>83</v>
      </c>
      <c r="E4226" s="17" t="s">
        <v>20</v>
      </c>
      <c r="F4226" s="16" t="s">
        <v>13041</v>
      </c>
    </row>
    <row r="4227" spans="1:6" x14ac:dyDescent="0.25">
      <c r="A4227" s="16" t="s">
        <v>13042</v>
      </c>
      <c r="B4227" s="17" t="s">
        <v>13043</v>
      </c>
      <c r="C4227" s="17" t="s">
        <v>11</v>
      </c>
      <c r="D4227" s="17" t="s">
        <v>83</v>
      </c>
      <c r="E4227" s="17" t="s">
        <v>20</v>
      </c>
      <c r="F4227" s="16" t="s">
        <v>13044</v>
      </c>
    </row>
    <row r="4228" spans="1:6" x14ac:dyDescent="0.25">
      <c r="A4228" s="16" t="s">
        <v>13045</v>
      </c>
      <c r="B4228" s="17" t="s">
        <v>13046</v>
      </c>
      <c r="C4228" s="17" t="s">
        <v>11</v>
      </c>
      <c r="D4228" s="17" t="s">
        <v>32</v>
      </c>
      <c r="E4228" s="17" t="s">
        <v>20</v>
      </c>
      <c r="F4228" s="16" t="s">
        <v>13047</v>
      </c>
    </row>
    <row r="4229" spans="1:6" x14ac:dyDescent="0.25">
      <c r="A4229" s="16" t="s">
        <v>13048</v>
      </c>
      <c r="B4229" s="17" t="s">
        <v>13049</v>
      </c>
      <c r="C4229" s="17" t="s">
        <v>11</v>
      </c>
      <c r="D4229" s="17" t="s">
        <v>32</v>
      </c>
      <c r="E4229" s="17" t="s">
        <v>20</v>
      </c>
      <c r="F4229" s="16" t="s">
        <v>13050</v>
      </c>
    </row>
    <row r="4230" spans="1:6" x14ac:dyDescent="0.25">
      <c r="A4230" s="16" t="s">
        <v>13051</v>
      </c>
      <c r="B4230" s="17" t="s">
        <v>13052</v>
      </c>
      <c r="C4230" s="17" t="s">
        <v>11</v>
      </c>
      <c r="D4230" s="17" t="s">
        <v>83</v>
      </c>
      <c r="E4230" s="17" t="s">
        <v>20</v>
      </c>
      <c r="F4230" s="16" t="s">
        <v>13053</v>
      </c>
    </row>
    <row r="4231" spans="1:6" x14ac:dyDescent="0.25">
      <c r="A4231" s="16" t="s">
        <v>13054</v>
      </c>
      <c r="B4231" s="17" t="s">
        <v>13055</v>
      </c>
      <c r="C4231" s="17" t="s">
        <v>11</v>
      </c>
      <c r="D4231" s="17" t="s">
        <v>83</v>
      </c>
      <c r="E4231" s="17" t="s">
        <v>20</v>
      </c>
      <c r="F4231" s="16" t="s">
        <v>13056</v>
      </c>
    </row>
    <row r="4232" spans="1:6" x14ac:dyDescent="0.25">
      <c r="A4232" s="16" t="s">
        <v>13057</v>
      </c>
      <c r="B4232" s="17" t="s">
        <v>13058</v>
      </c>
      <c r="C4232" s="17" t="s">
        <v>11</v>
      </c>
      <c r="D4232" s="17" t="s">
        <v>544</v>
      </c>
      <c r="E4232" s="17" t="s">
        <v>20</v>
      </c>
      <c r="F4232" s="16" t="s">
        <v>13059</v>
      </c>
    </row>
    <row r="4233" spans="1:6" x14ac:dyDescent="0.25">
      <c r="A4233" s="16" t="s">
        <v>13060</v>
      </c>
      <c r="B4233" s="17" t="s">
        <v>13061</v>
      </c>
      <c r="C4233" s="17" t="s">
        <v>11</v>
      </c>
      <c r="D4233" s="17" t="s">
        <v>32</v>
      </c>
      <c r="E4233" s="17" t="s">
        <v>20</v>
      </c>
      <c r="F4233" s="16" t="s">
        <v>13062</v>
      </c>
    </row>
    <row r="4234" spans="1:6" x14ac:dyDescent="0.25">
      <c r="A4234" s="16" t="s">
        <v>13063</v>
      </c>
      <c r="B4234" s="17" t="s">
        <v>13064</v>
      </c>
      <c r="C4234" s="17" t="s">
        <v>11</v>
      </c>
      <c r="D4234" s="17" t="s">
        <v>32</v>
      </c>
      <c r="E4234" s="17" t="s">
        <v>20</v>
      </c>
      <c r="F4234" s="16" t="s">
        <v>13065</v>
      </c>
    </row>
    <row r="4235" spans="1:6" x14ac:dyDescent="0.25">
      <c r="A4235" s="16" t="s">
        <v>13066</v>
      </c>
      <c r="B4235" s="17" t="s">
        <v>13067</v>
      </c>
      <c r="C4235" s="17" t="s">
        <v>11</v>
      </c>
      <c r="D4235" s="17" t="s">
        <v>83</v>
      </c>
      <c r="E4235" s="17" t="s">
        <v>20</v>
      </c>
      <c r="F4235" s="16" t="s">
        <v>13068</v>
      </c>
    </row>
    <row r="4236" spans="1:6" x14ac:dyDescent="0.25">
      <c r="A4236" s="16" t="s">
        <v>13069</v>
      </c>
      <c r="B4236" s="17" t="s">
        <v>13070</v>
      </c>
      <c r="C4236" s="17" t="s">
        <v>11</v>
      </c>
      <c r="D4236" s="17" t="s">
        <v>83</v>
      </c>
      <c r="E4236" s="17" t="s">
        <v>20</v>
      </c>
      <c r="F4236" s="16" t="s">
        <v>13071</v>
      </c>
    </row>
    <row r="4237" spans="1:6" x14ac:dyDescent="0.25">
      <c r="A4237" s="16" t="s">
        <v>13072</v>
      </c>
      <c r="B4237" s="17" t="s">
        <v>13073</v>
      </c>
      <c r="C4237" s="17" t="s">
        <v>11</v>
      </c>
      <c r="D4237" s="17" t="s">
        <v>80</v>
      </c>
      <c r="E4237" s="17" t="s">
        <v>20</v>
      </c>
      <c r="F4237" s="16" t="s">
        <v>13074</v>
      </c>
    </row>
    <row r="4238" spans="1:6" x14ac:dyDescent="0.25">
      <c r="A4238" s="16" t="s">
        <v>13075</v>
      </c>
      <c r="B4238" s="17" t="s">
        <v>13076</v>
      </c>
      <c r="C4238" s="17" t="s">
        <v>11</v>
      </c>
      <c r="D4238" s="17" t="s">
        <v>74</v>
      </c>
      <c r="E4238" s="17" t="s">
        <v>20</v>
      </c>
      <c r="F4238" s="16" t="s">
        <v>13077</v>
      </c>
    </row>
    <row r="4239" spans="1:6" x14ac:dyDescent="0.25">
      <c r="A4239" s="16" t="s">
        <v>13078</v>
      </c>
      <c r="B4239" s="17" t="s">
        <v>13079</v>
      </c>
      <c r="C4239" s="17" t="s">
        <v>359</v>
      </c>
      <c r="D4239" s="17" t="s">
        <v>32</v>
      </c>
      <c r="E4239" s="17" t="s">
        <v>20</v>
      </c>
      <c r="F4239" s="16" t="s">
        <v>13080</v>
      </c>
    </row>
    <row r="4240" spans="1:6" x14ac:dyDescent="0.25">
      <c r="A4240" s="16" t="s">
        <v>13081</v>
      </c>
      <c r="B4240" s="17" t="s">
        <v>13082</v>
      </c>
      <c r="C4240" s="17" t="s">
        <v>11</v>
      </c>
      <c r="D4240" s="17" t="s">
        <v>811</v>
      </c>
      <c r="E4240" s="17" t="s">
        <v>20</v>
      </c>
      <c r="F4240" s="16" t="s">
        <v>13083</v>
      </c>
    </row>
    <row r="4241" spans="1:6" x14ac:dyDescent="0.25">
      <c r="A4241" s="16" t="s">
        <v>13084</v>
      </c>
      <c r="B4241" s="17" t="s">
        <v>13085</v>
      </c>
      <c r="C4241" s="17" t="s">
        <v>11</v>
      </c>
      <c r="D4241" s="17" t="s">
        <v>32</v>
      </c>
      <c r="E4241" s="17" t="s">
        <v>20</v>
      </c>
      <c r="F4241" s="16" t="s">
        <v>13086</v>
      </c>
    </row>
    <row r="4242" spans="1:6" x14ac:dyDescent="0.25">
      <c r="A4242" s="16" t="s">
        <v>13087</v>
      </c>
      <c r="B4242" s="17" t="s">
        <v>13088</v>
      </c>
      <c r="C4242" s="17" t="s">
        <v>11</v>
      </c>
      <c r="D4242" s="17" t="s">
        <v>83</v>
      </c>
      <c r="E4242" s="17" t="s">
        <v>20</v>
      </c>
      <c r="F4242" s="16" t="s">
        <v>13089</v>
      </c>
    </row>
    <row r="4243" spans="1:6" x14ac:dyDescent="0.25">
      <c r="A4243" s="16" t="s">
        <v>13090</v>
      </c>
      <c r="B4243" s="17" t="s">
        <v>13091</v>
      </c>
      <c r="C4243" s="17" t="s">
        <v>11</v>
      </c>
      <c r="D4243" s="17" t="s">
        <v>148</v>
      </c>
      <c r="E4243" s="17" t="s">
        <v>20</v>
      </c>
      <c r="F4243" s="16" t="s">
        <v>13092</v>
      </c>
    </row>
    <row r="4244" spans="1:6" x14ac:dyDescent="0.25">
      <c r="A4244" s="16" t="s">
        <v>13093</v>
      </c>
      <c r="B4244" s="17" t="s">
        <v>13094</v>
      </c>
      <c r="C4244" s="17" t="s">
        <v>11</v>
      </c>
      <c r="D4244" s="17" t="s">
        <v>83</v>
      </c>
      <c r="E4244" s="17" t="s">
        <v>20</v>
      </c>
      <c r="F4244" s="16" t="s">
        <v>13095</v>
      </c>
    </row>
    <row r="4245" spans="1:6" x14ac:dyDescent="0.25">
      <c r="A4245" s="16" t="s">
        <v>13096</v>
      </c>
      <c r="B4245" s="17" t="s">
        <v>13097</v>
      </c>
      <c r="C4245" s="17" t="s">
        <v>11</v>
      </c>
      <c r="D4245" s="17" t="s">
        <v>83</v>
      </c>
      <c r="E4245" s="17" t="s">
        <v>20</v>
      </c>
      <c r="F4245" s="16" t="s">
        <v>13098</v>
      </c>
    </row>
    <row r="4246" spans="1:6" x14ac:dyDescent="0.25">
      <c r="A4246" s="16" t="s">
        <v>13099</v>
      </c>
      <c r="B4246" s="17" t="s">
        <v>13100</v>
      </c>
      <c r="C4246" s="17" t="s">
        <v>11</v>
      </c>
      <c r="D4246" s="17" t="s">
        <v>83</v>
      </c>
      <c r="E4246" s="17" t="s">
        <v>20</v>
      </c>
      <c r="F4246" s="16" t="s">
        <v>13101</v>
      </c>
    </row>
    <row r="4247" spans="1:6" x14ac:dyDescent="0.25">
      <c r="A4247" s="16" t="s">
        <v>13102</v>
      </c>
      <c r="B4247" s="17" t="s">
        <v>13103</v>
      </c>
      <c r="C4247" s="17" t="s">
        <v>11</v>
      </c>
      <c r="D4247" s="17" t="s">
        <v>32</v>
      </c>
      <c r="E4247" s="17" t="s">
        <v>20</v>
      </c>
      <c r="F4247" s="16" t="s">
        <v>13104</v>
      </c>
    </row>
    <row r="4248" spans="1:6" x14ac:dyDescent="0.25">
      <c r="A4248" s="16" t="s">
        <v>13105</v>
      </c>
      <c r="B4248" s="17" t="s">
        <v>13106</v>
      </c>
      <c r="C4248" s="17" t="s">
        <v>11</v>
      </c>
      <c r="D4248" s="17" t="s">
        <v>32</v>
      </c>
      <c r="E4248" s="17" t="s">
        <v>20</v>
      </c>
      <c r="F4248" s="16" t="s">
        <v>13107</v>
      </c>
    </row>
    <row r="4249" spans="1:6" x14ac:dyDescent="0.25">
      <c r="A4249" s="16" t="s">
        <v>13108</v>
      </c>
      <c r="B4249" s="17" t="s">
        <v>13109</v>
      </c>
      <c r="C4249" s="17" t="s">
        <v>11</v>
      </c>
      <c r="D4249" s="17" t="s">
        <v>32</v>
      </c>
      <c r="E4249" s="17" t="s">
        <v>20</v>
      </c>
      <c r="F4249" s="16" t="s">
        <v>13110</v>
      </c>
    </row>
    <row r="4250" spans="1:6" x14ac:dyDescent="0.25">
      <c r="A4250" s="16" t="s">
        <v>13111</v>
      </c>
      <c r="B4250" s="17" t="s">
        <v>13112</v>
      </c>
      <c r="C4250" s="17" t="s">
        <v>11</v>
      </c>
      <c r="D4250" s="17" t="s">
        <v>32</v>
      </c>
      <c r="E4250" s="17" t="s">
        <v>20</v>
      </c>
      <c r="F4250" s="16" t="s">
        <v>13113</v>
      </c>
    </row>
    <row r="4251" spans="1:6" x14ac:dyDescent="0.25">
      <c r="A4251" s="16" t="s">
        <v>13114</v>
      </c>
      <c r="B4251" s="17" t="s">
        <v>13115</v>
      </c>
      <c r="C4251" s="17" t="s">
        <v>11</v>
      </c>
      <c r="D4251" s="17" t="s">
        <v>83</v>
      </c>
      <c r="E4251" s="17" t="s">
        <v>20</v>
      </c>
      <c r="F4251" s="16" t="s">
        <v>13116</v>
      </c>
    </row>
    <row r="4252" spans="1:6" x14ac:dyDescent="0.25">
      <c r="A4252" s="16" t="s">
        <v>13117</v>
      </c>
      <c r="B4252" s="17" t="s">
        <v>13118</v>
      </c>
      <c r="C4252" s="17" t="s">
        <v>11</v>
      </c>
      <c r="D4252" s="17" t="s">
        <v>83</v>
      </c>
      <c r="E4252" s="17" t="s">
        <v>20</v>
      </c>
      <c r="F4252" s="16" t="s">
        <v>13119</v>
      </c>
    </row>
    <row r="4253" spans="1:6" x14ac:dyDescent="0.25">
      <c r="A4253" s="16" t="s">
        <v>13120</v>
      </c>
      <c r="B4253" s="17" t="s">
        <v>13121</v>
      </c>
      <c r="C4253" s="17" t="s">
        <v>11</v>
      </c>
      <c r="D4253" s="17" t="s">
        <v>250</v>
      </c>
      <c r="E4253" s="17" t="s">
        <v>20</v>
      </c>
      <c r="F4253" s="16" t="s">
        <v>13122</v>
      </c>
    </row>
    <row r="4254" spans="1:6" x14ac:dyDescent="0.25">
      <c r="A4254" s="16" t="s">
        <v>13123</v>
      </c>
      <c r="B4254" s="17" t="s">
        <v>13124</v>
      </c>
      <c r="C4254" s="17" t="s">
        <v>11</v>
      </c>
      <c r="D4254" s="17" t="s">
        <v>32</v>
      </c>
      <c r="E4254" s="17" t="s">
        <v>20</v>
      </c>
      <c r="F4254" s="16" t="s">
        <v>13125</v>
      </c>
    </row>
    <row r="4255" spans="1:6" x14ac:dyDescent="0.25">
      <c r="A4255" s="16" t="s">
        <v>13126</v>
      </c>
      <c r="B4255" s="17" t="s">
        <v>13127</v>
      </c>
      <c r="C4255" s="17" t="s">
        <v>11</v>
      </c>
      <c r="D4255" s="17" t="s">
        <v>80</v>
      </c>
      <c r="E4255" s="17" t="s">
        <v>20</v>
      </c>
      <c r="F4255" s="16" t="s">
        <v>13128</v>
      </c>
    </row>
    <row r="4256" spans="1:6" x14ac:dyDescent="0.25">
      <c r="A4256" s="16" t="s">
        <v>13129</v>
      </c>
      <c r="B4256" s="17" t="s">
        <v>13130</v>
      </c>
      <c r="C4256" s="17" t="s">
        <v>11</v>
      </c>
      <c r="D4256" s="17" t="s">
        <v>544</v>
      </c>
      <c r="E4256" s="17" t="s">
        <v>20</v>
      </c>
      <c r="F4256" s="16" t="s">
        <v>13131</v>
      </c>
    </row>
    <row r="4257" spans="1:6" x14ac:dyDescent="0.25">
      <c r="A4257" s="16" t="s">
        <v>13132</v>
      </c>
      <c r="B4257" s="17" t="s">
        <v>13133</v>
      </c>
      <c r="C4257" s="17" t="s">
        <v>11</v>
      </c>
      <c r="D4257" s="17" t="s">
        <v>74</v>
      </c>
      <c r="E4257" s="17" t="s">
        <v>20</v>
      </c>
      <c r="F4257" s="16" t="s">
        <v>13134</v>
      </c>
    </row>
    <row r="4258" spans="1:6" x14ac:dyDescent="0.25">
      <c r="A4258" s="16" t="s">
        <v>13135</v>
      </c>
      <c r="B4258" s="17" t="s">
        <v>13136</v>
      </c>
      <c r="C4258" s="17" t="s">
        <v>11</v>
      </c>
      <c r="D4258" s="17" t="s">
        <v>32</v>
      </c>
      <c r="E4258" s="17" t="s">
        <v>20</v>
      </c>
      <c r="F4258" s="16" t="s">
        <v>13137</v>
      </c>
    </row>
    <row r="4259" spans="1:6" x14ac:dyDescent="0.25">
      <c r="A4259" s="16" t="s">
        <v>13138</v>
      </c>
      <c r="B4259" s="17" t="s">
        <v>13139</v>
      </c>
      <c r="C4259" s="17" t="s">
        <v>11</v>
      </c>
      <c r="D4259" s="17" t="s">
        <v>32</v>
      </c>
      <c r="E4259" s="17" t="s">
        <v>20</v>
      </c>
      <c r="F4259" s="16" t="s">
        <v>13140</v>
      </c>
    </row>
    <row r="4260" spans="1:6" x14ac:dyDescent="0.25">
      <c r="A4260" s="16" t="s">
        <v>13141</v>
      </c>
      <c r="B4260" s="17" t="s">
        <v>13142</v>
      </c>
      <c r="C4260" s="17" t="s">
        <v>11</v>
      </c>
      <c r="D4260" s="17" t="s">
        <v>32</v>
      </c>
      <c r="E4260" s="17" t="s">
        <v>20</v>
      </c>
      <c r="F4260" s="16" t="s">
        <v>13143</v>
      </c>
    </row>
    <row r="4261" spans="1:6" x14ac:dyDescent="0.25">
      <c r="A4261" s="16" t="s">
        <v>13144</v>
      </c>
      <c r="B4261" s="17" t="s">
        <v>13145</v>
      </c>
      <c r="C4261" s="17" t="s">
        <v>11</v>
      </c>
      <c r="D4261" s="17" t="s">
        <v>12</v>
      </c>
      <c r="E4261" s="17" t="s">
        <v>13</v>
      </c>
      <c r="F4261" s="16" t="s">
        <v>13146</v>
      </c>
    </row>
    <row r="4262" spans="1:6" x14ac:dyDescent="0.25">
      <c r="A4262" s="16" t="s">
        <v>13147</v>
      </c>
      <c r="B4262" s="17" t="s">
        <v>13148</v>
      </c>
      <c r="C4262" s="17" t="s">
        <v>11</v>
      </c>
      <c r="D4262" s="17" t="s">
        <v>12</v>
      </c>
      <c r="E4262" s="17" t="s">
        <v>13</v>
      </c>
      <c r="F4262" s="16" t="s">
        <v>13149</v>
      </c>
    </row>
    <row r="4263" spans="1:6" x14ac:dyDescent="0.25">
      <c r="A4263" s="16" t="s">
        <v>13150</v>
      </c>
      <c r="B4263" s="17" t="s">
        <v>13151</v>
      </c>
      <c r="C4263" s="17" t="s">
        <v>11</v>
      </c>
      <c r="D4263" s="17" t="s">
        <v>12</v>
      </c>
      <c r="E4263" s="17" t="s">
        <v>13</v>
      </c>
      <c r="F4263" s="16" t="s">
        <v>13152</v>
      </c>
    </row>
    <row r="4264" spans="1:6" x14ac:dyDescent="0.25">
      <c r="A4264" s="16" t="s">
        <v>13153</v>
      </c>
      <c r="B4264" s="17" t="s">
        <v>13154</v>
      </c>
      <c r="C4264" s="17" t="s">
        <v>11</v>
      </c>
      <c r="D4264" s="17" t="s">
        <v>12</v>
      </c>
      <c r="E4264" s="17" t="s">
        <v>13</v>
      </c>
      <c r="F4264" s="16" t="s">
        <v>13155</v>
      </c>
    </row>
    <row r="4265" spans="1:6" x14ac:dyDescent="0.25">
      <c r="A4265" s="16" t="s">
        <v>13156</v>
      </c>
      <c r="B4265" s="17" t="s">
        <v>13157</v>
      </c>
      <c r="C4265" s="17" t="s">
        <v>11</v>
      </c>
      <c r="D4265" s="17" t="s">
        <v>12</v>
      </c>
      <c r="E4265" s="17" t="s">
        <v>13</v>
      </c>
      <c r="F4265" s="16" t="s">
        <v>13158</v>
      </c>
    </row>
    <row r="4266" spans="1:6" x14ac:dyDescent="0.25">
      <c r="A4266" s="16" t="s">
        <v>13159</v>
      </c>
      <c r="B4266" s="17" t="s">
        <v>13160</v>
      </c>
      <c r="C4266" s="17" t="s">
        <v>11</v>
      </c>
      <c r="D4266" s="17" t="s">
        <v>250</v>
      </c>
      <c r="E4266" s="17" t="s">
        <v>20</v>
      </c>
      <c r="F4266" s="16" t="s">
        <v>13161</v>
      </c>
    </row>
    <row r="4267" spans="1:6" x14ac:dyDescent="0.25">
      <c r="A4267" s="16" t="s">
        <v>13162</v>
      </c>
      <c r="B4267" s="17" t="s">
        <v>13163</v>
      </c>
      <c r="C4267" s="17" t="s">
        <v>11</v>
      </c>
      <c r="D4267" s="17" t="s">
        <v>12</v>
      </c>
      <c r="E4267" s="17" t="s">
        <v>13</v>
      </c>
      <c r="F4267" s="16" t="s">
        <v>13164</v>
      </c>
    </row>
    <row r="4268" spans="1:6" x14ac:dyDescent="0.25">
      <c r="A4268" s="16" t="s">
        <v>13165</v>
      </c>
      <c r="B4268" s="17" t="s">
        <v>13166</v>
      </c>
      <c r="C4268" s="17" t="s">
        <v>11</v>
      </c>
      <c r="D4268" s="17" t="s">
        <v>12</v>
      </c>
      <c r="E4268" s="17" t="s">
        <v>13</v>
      </c>
      <c r="F4268" s="16" t="s">
        <v>13167</v>
      </c>
    </row>
    <row r="4269" spans="1:6" x14ac:dyDescent="0.25">
      <c r="A4269" s="16" t="s">
        <v>13168</v>
      </c>
      <c r="B4269" s="17" t="s">
        <v>13169</v>
      </c>
      <c r="C4269" s="17" t="s">
        <v>11</v>
      </c>
      <c r="D4269" s="17" t="s">
        <v>12</v>
      </c>
      <c r="E4269" s="17" t="s">
        <v>13</v>
      </c>
      <c r="F4269" s="16" t="s">
        <v>13170</v>
      </c>
    </row>
    <row r="4270" spans="1:6" x14ac:dyDescent="0.25">
      <c r="A4270" s="16" t="s">
        <v>13171</v>
      </c>
      <c r="B4270" s="17" t="s">
        <v>13172</v>
      </c>
      <c r="C4270" s="17" t="s">
        <v>11</v>
      </c>
      <c r="D4270" s="17" t="s">
        <v>12</v>
      </c>
      <c r="E4270" s="17" t="s">
        <v>13</v>
      </c>
      <c r="F4270" s="16" t="s">
        <v>13173</v>
      </c>
    </row>
    <row r="4271" spans="1:6" x14ac:dyDescent="0.25">
      <c r="A4271" s="16" t="s">
        <v>13174</v>
      </c>
      <c r="B4271" s="17" t="s">
        <v>13175</v>
      </c>
      <c r="C4271" s="17" t="s">
        <v>11</v>
      </c>
      <c r="D4271" s="17" t="s">
        <v>12</v>
      </c>
      <c r="E4271" s="17" t="s">
        <v>13</v>
      </c>
      <c r="F4271" s="16" t="s">
        <v>13176</v>
      </c>
    </row>
    <row r="4272" spans="1:6" x14ac:dyDescent="0.25">
      <c r="A4272" s="16" t="s">
        <v>13177</v>
      </c>
      <c r="B4272" s="17" t="s">
        <v>13178</v>
      </c>
      <c r="C4272" s="17" t="s">
        <v>11</v>
      </c>
      <c r="D4272" s="17" t="s">
        <v>291</v>
      </c>
      <c r="E4272" s="17" t="s">
        <v>20</v>
      </c>
      <c r="F4272" s="16" t="s">
        <v>13179</v>
      </c>
    </row>
    <row r="4273" spans="1:6" x14ac:dyDescent="0.25">
      <c r="A4273" s="16" t="s">
        <v>13180</v>
      </c>
      <c r="B4273" s="17" t="s">
        <v>13181</v>
      </c>
      <c r="C4273" s="17" t="s">
        <v>11</v>
      </c>
      <c r="D4273" s="17" t="s">
        <v>233</v>
      </c>
      <c r="E4273" s="17" t="s">
        <v>20</v>
      </c>
      <c r="F4273" s="16" t="s">
        <v>13182</v>
      </c>
    </row>
    <row r="4274" spans="1:6" x14ac:dyDescent="0.25">
      <c r="A4274" s="16" t="s">
        <v>13183</v>
      </c>
      <c r="B4274" s="17" t="s">
        <v>13184</v>
      </c>
      <c r="C4274" s="17" t="s">
        <v>11</v>
      </c>
      <c r="D4274" s="17" t="s">
        <v>12</v>
      </c>
      <c r="E4274" s="17" t="s">
        <v>13</v>
      </c>
      <c r="F4274" s="16" t="s">
        <v>13185</v>
      </c>
    </row>
    <row r="4275" spans="1:6" x14ac:dyDescent="0.25">
      <c r="A4275" s="16" t="s">
        <v>13186</v>
      </c>
      <c r="B4275" s="17" t="s">
        <v>13187</v>
      </c>
      <c r="C4275" s="17" t="s">
        <v>11</v>
      </c>
      <c r="D4275" s="17" t="s">
        <v>12</v>
      </c>
      <c r="E4275" s="17" t="s">
        <v>13</v>
      </c>
      <c r="F4275" s="16" t="s">
        <v>13188</v>
      </c>
    </row>
    <row r="4276" spans="1:6" x14ac:dyDescent="0.25">
      <c r="A4276" s="16" t="s">
        <v>13189</v>
      </c>
      <c r="B4276" s="17" t="s">
        <v>13190</v>
      </c>
      <c r="C4276" s="17" t="s">
        <v>11</v>
      </c>
      <c r="D4276" s="17" t="s">
        <v>12</v>
      </c>
      <c r="E4276" s="17" t="s">
        <v>13</v>
      </c>
      <c r="F4276" s="16" t="s">
        <v>13191</v>
      </c>
    </row>
    <row r="4277" spans="1:6" x14ac:dyDescent="0.25">
      <c r="A4277" s="16" t="s">
        <v>13192</v>
      </c>
      <c r="B4277" s="17" t="s">
        <v>13193</v>
      </c>
      <c r="C4277" s="17" t="s">
        <v>11</v>
      </c>
      <c r="D4277" s="17" t="s">
        <v>12</v>
      </c>
      <c r="E4277" s="17" t="s">
        <v>13</v>
      </c>
      <c r="F4277" s="16" t="s">
        <v>13194</v>
      </c>
    </row>
    <row r="4278" spans="1:6" x14ac:dyDescent="0.25">
      <c r="A4278" s="16" t="s">
        <v>13195</v>
      </c>
      <c r="B4278" s="17" t="s">
        <v>13196</v>
      </c>
      <c r="C4278" s="17" t="s">
        <v>11</v>
      </c>
      <c r="D4278" s="17" t="s">
        <v>12</v>
      </c>
      <c r="E4278" s="17" t="s">
        <v>13</v>
      </c>
      <c r="F4278" s="16" t="s">
        <v>13197</v>
      </c>
    </row>
    <row r="4279" spans="1:6" x14ac:dyDescent="0.25">
      <c r="A4279" s="16" t="s">
        <v>13198</v>
      </c>
      <c r="B4279" s="17" t="s">
        <v>13199</v>
      </c>
      <c r="C4279" s="17" t="s">
        <v>11</v>
      </c>
      <c r="D4279" s="17" t="s">
        <v>12</v>
      </c>
      <c r="E4279" s="17" t="s">
        <v>13</v>
      </c>
      <c r="F4279" s="16" t="s">
        <v>13200</v>
      </c>
    </row>
    <row r="4280" spans="1:6" x14ac:dyDescent="0.25">
      <c r="A4280" s="16" t="s">
        <v>13201</v>
      </c>
      <c r="B4280" s="17" t="s">
        <v>13202</v>
      </c>
      <c r="C4280" s="17" t="s">
        <v>11</v>
      </c>
      <c r="D4280" s="17" t="s">
        <v>12</v>
      </c>
      <c r="E4280" s="17" t="s">
        <v>13</v>
      </c>
      <c r="F4280" s="16" t="s">
        <v>13203</v>
      </c>
    </row>
    <row r="4281" spans="1:6" x14ac:dyDescent="0.25">
      <c r="A4281" s="16" t="s">
        <v>13204</v>
      </c>
      <c r="B4281" s="17" t="s">
        <v>13205</v>
      </c>
      <c r="C4281" s="17" t="s">
        <v>11</v>
      </c>
      <c r="D4281" s="17" t="s">
        <v>12</v>
      </c>
      <c r="E4281" s="17" t="s">
        <v>13</v>
      </c>
      <c r="F4281" s="16" t="s">
        <v>13206</v>
      </c>
    </row>
    <row r="4282" spans="1:6" x14ac:dyDescent="0.25">
      <c r="A4282" s="16" t="s">
        <v>13207</v>
      </c>
      <c r="B4282" s="17" t="s">
        <v>13208</v>
      </c>
      <c r="C4282" s="17" t="s">
        <v>11</v>
      </c>
      <c r="D4282" s="17" t="s">
        <v>12</v>
      </c>
      <c r="E4282" s="17" t="s">
        <v>13</v>
      </c>
      <c r="F4282" s="16" t="s">
        <v>13209</v>
      </c>
    </row>
    <row r="4283" spans="1:6" x14ac:dyDescent="0.25">
      <c r="A4283" s="16" t="s">
        <v>13210</v>
      </c>
      <c r="B4283" s="17" t="s">
        <v>13211</v>
      </c>
      <c r="C4283" s="17" t="s">
        <v>11</v>
      </c>
      <c r="D4283" s="17" t="s">
        <v>12</v>
      </c>
      <c r="E4283" s="17" t="s">
        <v>13</v>
      </c>
      <c r="F4283" s="16" t="s">
        <v>13212</v>
      </c>
    </row>
    <row r="4284" spans="1:6" x14ac:dyDescent="0.25">
      <c r="A4284" s="16" t="s">
        <v>13213</v>
      </c>
      <c r="B4284" s="17" t="s">
        <v>13214</v>
      </c>
      <c r="C4284" s="17" t="s">
        <v>11</v>
      </c>
      <c r="D4284" s="17" t="s">
        <v>12</v>
      </c>
      <c r="E4284" s="17" t="s">
        <v>13</v>
      </c>
      <c r="F4284" s="16" t="s">
        <v>13215</v>
      </c>
    </row>
    <row r="4285" spans="1:6" x14ac:dyDescent="0.25">
      <c r="A4285" s="16" t="s">
        <v>13216</v>
      </c>
      <c r="B4285" s="17" t="s">
        <v>13217</v>
      </c>
      <c r="C4285" s="17" t="s">
        <v>11</v>
      </c>
      <c r="D4285" s="17" t="s">
        <v>1318</v>
      </c>
      <c r="E4285" s="17" t="s">
        <v>20</v>
      </c>
      <c r="F4285" s="16" t="s">
        <v>13218</v>
      </c>
    </row>
    <row r="4286" spans="1:6" x14ac:dyDescent="0.25">
      <c r="A4286" s="16" t="s">
        <v>13219</v>
      </c>
      <c r="B4286" s="17" t="s">
        <v>13220</v>
      </c>
      <c r="C4286" s="17" t="s">
        <v>11</v>
      </c>
      <c r="D4286" s="17" t="s">
        <v>12</v>
      </c>
      <c r="E4286" s="17" t="s">
        <v>13</v>
      </c>
      <c r="F4286" s="16" t="s">
        <v>13221</v>
      </c>
    </row>
    <row r="4287" spans="1:6" x14ac:dyDescent="0.25">
      <c r="A4287" s="16" t="s">
        <v>13222</v>
      </c>
      <c r="B4287" s="17" t="s">
        <v>13223</v>
      </c>
      <c r="C4287" s="17" t="s">
        <v>11</v>
      </c>
      <c r="D4287" s="17" t="s">
        <v>250</v>
      </c>
      <c r="E4287" s="17" t="s">
        <v>20</v>
      </c>
      <c r="F4287" s="16" t="s">
        <v>13224</v>
      </c>
    </row>
    <row r="4288" spans="1:6" x14ac:dyDescent="0.25">
      <c r="A4288" s="16" t="s">
        <v>13225</v>
      </c>
      <c r="B4288" s="17" t="s">
        <v>13226</v>
      </c>
      <c r="C4288" s="17" t="s">
        <v>11</v>
      </c>
      <c r="D4288" s="17" t="s">
        <v>12</v>
      </c>
      <c r="E4288" s="17" t="s">
        <v>13</v>
      </c>
      <c r="F4288" s="16" t="s">
        <v>13227</v>
      </c>
    </row>
    <row r="4289" spans="1:6" x14ac:dyDescent="0.25">
      <c r="A4289" s="16" t="s">
        <v>13228</v>
      </c>
      <c r="B4289" s="17" t="s">
        <v>13229</v>
      </c>
      <c r="C4289" s="17" t="s">
        <v>11</v>
      </c>
      <c r="D4289" s="17" t="s">
        <v>12</v>
      </c>
      <c r="E4289" s="17" t="s">
        <v>13</v>
      </c>
      <c r="F4289" s="16" t="s">
        <v>13230</v>
      </c>
    </row>
    <row r="4290" spans="1:6" x14ac:dyDescent="0.25">
      <c r="A4290" s="16" t="s">
        <v>13231</v>
      </c>
      <c r="B4290" s="17" t="s">
        <v>13232</v>
      </c>
      <c r="C4290" s="17" t="s">
        <v>11</v>
      </c>
      <c r="D4290" s="17" t="s">
        <v>12</v>
      </c>
      <c r="E4290" s="17" t="s">
        <v>13</v>
      </c>
      <c r="F4290" s="16" t="s">
        <v>13233</v>
      </c>
    </row>
    <row r="4291" spans="1:6" x14ac:dyDescent="0.25">
      <c r="A4291" s="16" t="s">
        <v>13234</v>
      </c>
      <c r="B4291" s="17" t="s">
        <v>13235</v>
      </c>
      <c r="C4291" s="17" t="s">
        <v>11</v>
      </c>
      <c r="D4291" s="17" t="s">
        <v>12</v>
      </c>
      <c r="E4291" s="17" t="s">
        <v>13</v>
      </c>
      <c r="F4291" s="16" t="s">
        <v>13236</v>
      </c>
    </row>
    <row r="4292" spans="1:6" x14ac:dyDescent="0.25">
      <c r="A4292" s="16" t="s">
        <v>13237</v>
      </c>
      <c r="B4292" s="17" t="s">
        <v>13238</v>
      </c>
      <c r="C4292" s="17" t="s">
        <v>11</v>
      </c>
      <c r="D4292" s="17" t="s">
        <v>32</v>
      </c>
      <c r="E4292" s="17" t="s">
        <v>20</v>
      </c>
      <c r="F4292" s="16" t="s">
        <v>13239</v>
      </c>
    </row>
    <row r="4293" spans="1:6" x14ac:dyDescent="0.25">
      <c r="A4293" s="16" t="s">
        <v>13240</v>
      </c>
      <c r="B4293" s="17" t="s">
        <v>13241</v>
      </c>
      <c r="C4293" s="17" t="s">
        <v>11</v>
      </c>
      <c r="D4293" s="17" t="s">
        <v>12</v>
      </c>
      <c r="E4293" s="17" t="s">
        <v>13</v>
      </c>
      <c r="F4293" s="16" t="s">
        <v>13242</v>
      </c>
    </row>
    <row r="4294" spans="1:6" x14ac:dyDescent="0.25">
      <c r="A4294" s="16" t="s">
        <v>13243</v>
      </c>
      <c r="B4294" s="17" t="s">
        <v>13244</v>
      </c>
      <c r="C4294" s="17" t="s">
        <v>11</v>
      </c>
      <c r="D4294" s="17" t="s">
        <v>12</v>
      </c>
      <c r="E4294" s="17" t="s">
        <v>13</v>
      </c>
      <c r="F4294" s="16" t="s">
        <v>13245</v>
      </c>
    </row>
    <row r="4295" spans="1:6" x14ac:dyDescent="0.25">
      <c r="A4295" s="16" t="s">
        <v>13246</v>
      </c>
      <c r="B4295" s="17" t="s">
        <v>13247</v>
      </c>
      <c r="C4295" s="17" t="s">
        <v>11</v>
      </c>
      <c r="D4295" s="17" t="s">
        <v>570</v>
      </c>
      <c r="E4295" s="17" t="s">
        <v>20</v>
      </c>
      <c r="F4295" s="16" t="s">
        <v>13248</v>
      </c>
    </row>
    <row r="4296" spans="1:6" x14ac:dyDescent="0.25">
      <c r="A4296" s="16" t="s">
        <v>13249</v>
      </c>
      <c r="B4296" s="17" t="s">
        <v>13250</v>
      </c>
      <c r="C4296" s="17" t="s">
        <v>11</v>
      </c>
      <c r="D4296" s="17" t="s">
        <v>12</v>
      </c>
      <c r="E4296" s="17" t="s">
        <v>13</v>
      </c>
      <c r="F4296" s="16" t="s">
        <v>13251</v>
      </c>
    </row>
    <row r="4297" spans="1:6" x14ac:dyDescent="0.25">
      <c r="A4297" s="16" t="s">
        <v>13252</v>
      </c>
      <c r="B4297" s="17" t="s">
        <v>13253</v>
      </c>
      <c r="C4297" s="17" t="s">
        <v>11</v>
      </c>
      <c r="D4297" s="17" t="s">
        <v>12</v>
      </c>
      <c r="E4297" s="17" t="s">
        <v>13</v>
      </c>
      <c r="F4297" s="16" t="s">
        <v>13254</v>
      </c>
    </row>
    <row r="4298" spans="1:6" x14ac:dyDescent="0.25">
      <c r="A4298" s="16" t="s">
        <v>13255</v>
      </c>
      <c r="B4298" s="17" t="s">
        <v>13256</v>
      </c>
      <c r="C4298" s="17" t="s">
        <v>11</v>
      </c>
      <c r="D4298" s="17" t="s">
        <v>12</v>
      </c>
      <c r="E4298" s="17" t="s">
        <v>13</v>
      </c>
      <c r="F4298" s="16" t="s">
        <v>13257</v>
      </c>
    </row>
    <row r="4299" spans="1:6" x14ac:dyDescent="0.25">
      <c r="A4299" s="16" t="s">
        <v>13258</v>
      </c>
      <c r="B4299" s="17" t="s">
        <v>13259</v>
      </c>
      <c r="C4299" s="17" t="s">
        <v>11</v>
      </c>
      <c r="D4299" s="17" t="s">
        <v>12</v>
      </c>
      <c r="E4299" s="17" t="s">
        <v>13</v>
      </c>
      <c r="F4299" s="16" t="s">
        <v>13260</v>
      </c>
    </row>
    <row r="4300" spans="1:6" x14ac:dyDescent="0.25">
      <c r="A4300" s="16" t="s">
        <v>13261</v>
      </c>
      <c r="B4300" s="17" t="s">
        <v>13262</v>
      </c>
      <c r="C4300" s="17" t="s">
        <v>11</v>
      </c>
      <c r="D4300" s="17" t="s">
        <v>12</v>
      </c>
      <c r="E4300" s="17" t="s">
        <v>13</v>
      </c>
      <c r="F4300" s="16" t="s">
        <v>13263</v>
      </c>
    </row>
    <row r="4301" spans="1:6" x14ac:dyDescent="0.25">
      <c r="A4301" s="16" t="s">
        <v>13264</v>
      </c>
      <c r="B4301" s="17" t="s">
        <v>13265</v>
      </c>
      <c r="C4301" s="17" t="s">
        <v>11</v>
      </c>
      <c r="D4301" s="17" t="s">
        <v>12</v>
      </c>
      <c r="E4301" s="17" t="s">
        <v>13</v>
      </c>
      <c r="F4301" s="16" t="s">
        <v>13266</v>
      </c>
    </row>
    <row r="4302" spans="1:6" x14ac:dyDescent="0.25">
      <c r="A4302" s="16" t="s">
        <v>13267</v>
      </c>
      <c r="B4302" s="17" t="s">
        <v>13268</v>
      </c>
      <c r="C4302" s="17" t="s">
        <v>11</v>
      </c>
      <c r="D4302" s="17" t="s">
        <v>12</v>
      </c>
      <c r="E4302" s="17" t="s">
        <v>13</v>
      </c>
      <c r="F4302" s="16" t="s">
        <v>13269</v>
      </c>
    </row>
    <row r="4303" spans="1:6" x14ac:dyDescent="0.25">
      <c r="A4303" s="16" t="s">
        <v>13270</v>
      </c>
      <c r="B4303" s="17" t="s">
        <v>13271</v>
      </c>
      <c r="C4303" s="17" t="s">
        <v>11</v>
      </c>
      <c r="D4303" s="17" t="s">
        <v>12</v>
      </c>
      <c r="E4303" s="17" t="s">
        <v>13</v>
      </c>
      <c r="F4303" s="16" t="s">
        <v>13272</v>
      </c>
    </row>
    <row r="4304" spans="1:6" x14ac:dyDescent="0.25">
      <c r="A4304" s="16" t="s">
        <v>13273</v>
      </c>
      <c r="B4304" s="17" t="s">
        <v>13274</v>
      </c>
      <c r="C4304" s="17" t="s">
        <v>11</v>
      </c>
      <c r="D4304" s="17" t="s">
        <v>80</v>
      </c>
      <c r="E4304" s="17" t="s">
        <v>20</v>
      </c>
      <c r="F4304" s="16" t="s">
        <v>13275</v>
      </c>
    </row>
    <row r="4305" spans="1:6" x14ac:dyDescent="0.25">
      <c r="A4305" s="16" t="s">
        <v>13276</v>
      </c>
      <c r="B4305" s="17" t="s">
        <v>13277</v>
      </c>
      <c r="C4305" s="17" t="s">
        <v>11</v>
      </c>
      <c r="D4305" s="17" t="s">
        <v>12</v>
      </c>
      <c r="E4305" s="17" t="s">
        <v>13</v>
      </c>
      <c r="F4305" s="16" t="s">
        <v>13278</v>
      </c>
    </row>
    <row r="4306" spans="1:6" x14ac:dyDescent="0.25">
      <c r="A4306" s="16" t="s">
        <v>13279</v>
      </c>
      <c r="B4306" s="17" t="s">
        <v>13280</v>
      </c>
      <c r="C4306" s="17" t="s">
        <v>11</v>
      </c>
      <c r="D4306" s="17" t="s">
        <v>12</v>
      </c>
      <c r="E4306" s="17" t="s">
        <v>13</v>
      </c>
      <c r="F4306" s="16" t="s">
        <v>13281</v>
      </c>
    </row>
    <row r="4307" spans="1:6" x14ac:dyDescent="0.25">
      <c r="A4307" s="16" t="s">
        <v>13282</v>
      </c>
      <c r="B4307" s="17" t="s">
        <v>13283</v>
      </c>
      <c r="C4307" s="17" t="s">
        <v>11</v>
      </c>
      <c r="D4307" s="17" t="s">
        <v>32</v>
      </c>
      <c r="E4307" s="17" t="s">
        <v>20</v>
      </c>
      <c r="F4307" s="16" t="s">
        <v>13284</v>
      </c>
    </row>
    <row r="4308" spans="1:6" x14ac:dyDescent="0.25">
      <c r="A4308" s="16" t="s">
        <v>13285</v>
      </c>
      <c r="B4308" s="17" t="s">
        <v>13286</v>
      </c>
      <c r="C4308" s="17" t="s">
        <v>11</v>
      </c>
      <c r="D4308" s="17" t="s">
        <v>80</v>
      </c>
      <c r="E4308" s="17" t="s">
        <v>20</v>
      </c>
      <c r="F4308" s="16" t="s">
        <v>13287</v>
      </c>
    </row>
    <row r="4309" spans="1:6" x14ac:dyDescent="0.25">
      <c r="A4309" s="16" t="s">
        <v>13288</v>
      </c>
      <c r="B4309" s="17" t="s">
        <v>13289</v>
      </c>
      <c r="C4309" s="17" t="s">
        <v>11</v>
      </c>
      <c r="D4309" s="17" t="s">
        <v>80</v>
      </c>
      <c r="E4309" s="17" t="s">
        <v>20</v>
      </c>
      <c r="F4309" s="16" t="s">
        <v>13290</v>
      </c>
    </row>
    <row r="4310" spans="1:6" x14ac:dyDescent="0.25">
      <c r="A4310" s="16" t="s">
        <v>13291</v>
      </c>
      <c r="B4310" s="17" t="s">
        <v>13292</v>
      </c>
      <c r="C4310" s="17" t="s">
        <v>11</v>
      </c>
      <c r="D4310" s="17" t="s">
        <v>250</v>
      </c>
      <c r="E4310" s="17" t="s">
        <v>20</v>
      </c>
      <c r="F4310" s="16" t="s">
        <v>13293</v>
      </c>
    </row>
    <row r="4311" spans="1:6" x14ac:dyDescent="0.25">
      <c r="A4311" s="16" t="s">
        <v>13294</v>
      </c>
      <c r="B4311" s="17" t="s">
        <v>13295</v>
      </c>
      <c r="C4311" s="17" t="s">
        <v>11</v>
      </c>
      <c r="D4311" s="17" t="s">
        <v>80</v>
      </c>
      <c r="E4311" s="17" t="s">
        <v>20</v>
      </c>
      <c r="F4311" s="16" t="s">
        <v>13296</v>
      </c>
    </row>
    <row r="4312" spans="1:6" x14ac:dyDescent="0.25">
      <c r="A4312" s="16" t="s">
        <v>13297</v>
      </c>
      <c r="B4312" s="17" t="s">
        <v>13298</v>
      </c>
      <c r="C4312" s="17" t="s">
        <v>11</v>
      </c>
      <c r="D4312" s="17" t="s">
        <v>250</v>
      </c>
      <c r="E4312" s="17" t="s">
        <v>20</v>
      </c>
      <c r="F4312" s="16" t="s">
        <v>13299</v>
      </c>
    </row>
    <row r="4313" spans="1:6" x14ac:dyDescent="0.25">
      <c r="A4313" s="16" t="s">
        <v>13300</v>
      </c>
      <c r="B4313" s="17" t="s">
        <v>13301</v>
      </c>
      <c r="C4313" s="17" t="s">
        <v>11</v>
      </c>
      <c r="D4313" s="17" t="s">
        <v>80</v>
      </c>
      <c r="E4313" s="17" t="s">
        <v>20</v>
      </c>
      <c r="F4313" s="16" t="s">
        <v>13302</v>
      </c>
    </row>
    <row r="4314" spans="1:6" x14ac:dyDescent="0.25">
      <c r="A4314" s="16" t="s">
        <v>13303</v>
      </c>
      <c r="B4314" s="17" t="s">
        <v>13304</v>
      </c>
      <c r="C4314" s="17" t="s">
        <v>11</v>
      </c>
      <c r="D4314" s="17" t="s">
        <v>12</v>
      </c>
      <c r="E4314" s="17" t="s">
        <v>13</v>
      </c>
      <c r="F4314" s="16" t="s">
        <v>13305</v>
      </c>
    </row>
    <row r="4315" spans="1:6" x14ac:dyDescent="0.25">
      <c r="A4315" s="16" t="s">
        <v>13306</v>
      </c>
      <c r="B4315" s="17" t="s">
        <v>13307</v>
      </c>
      <c r="C4315" s="17" t="s">
        <v>11</v>
      </c>
      <c r="D4315" s="17" t="s">
        <v>80</v>
      </c>
      <c r="E4315" s="17" t="s">
        <v>20</v>
      </c>
      <c r="F4315" s="16" t="s">
        <v>13308</v>
      </c>
    </row>
    <row r="4316" spans="1:6" x14ac:dyDescent="0.25">
      <c r="A4316" s="16" t="s">
        <v>13309</v>
      </c>
      <c r="B4316" s="17" t="s">
        <v>13310</v>
      </c>
      <c r="C4316" s="17" t="s">
        <v>11</v>
      </c>
      <c r="D4316" s="17" t="s">
        <v>32</v>
      </c>
      <c r="E4316" s="17" t="s">
        <v>20</v>
      </c>
      <c r="F4316" s="16" t="s">
        <v>13311</v>
      </c>
    </row>
    <row r="4317" spans="1:6" x14ac:dyDescent="0.25">
      <c r="A4317" s="16" t="s">
        <v>13312</v>
      </c>
      <c r="B4317" s="17" t="s">
        <v>13313</v>
      </c>
      <c r="C4317" s="17" t="s">
        <v>11</v>
      </c>
      <c r="D4317" s="17" t="s">
        <v>32</v>
      </c>
      <c r="E4317" s="17" t="s">
        <v>20</v>
      </c>
      <c r="F4317" s="16" t="s">
        <v>13314</v>
      </c>
    </row>
    <row r="4318" spans="1:6" x14ac:dyDescent="0.25">
      <c r="A4318" s="16" t="s">
        <v>13315</v>
      </c>
      <c r="B4318" s="17" t="s">
        <v>13316</v>
      </c>
      <c r="C4318" s="17" t="s">
        <v>11</v>
      </c>
      <c r="D4318" s="17" t="s">
        <v>74</v>
      </c>
      <c r="E4318" s="17" t="s">
        <v>20</v>
      </c>
      <c r="F4318" s="16" t="s">
        <v>13317</v>
      </c>
    </row>
    <row r="4319" spans="1:6" x14ac:dyDescent="0.25">
      <c r="A4319" s="16" t="s">
        <v>13318</v>
      </c>
      <c r="B4319" s="17" t="s">
        <v>13319</v>
      </c>
      <c r="C4319" s="17" t="s">
        <v>11</v>
      </c>
      <c r="D4319" s="17" t="s">
        <v>32</v>
      </c>
      <c r="E4319" s="17" t="s">
        <v>20</v>
      </c>
      <c r="F4319" s="16" t="s">
        <v>13320</v>
      </c>
    </row>
    <row r="4320" spans="1:6" x14ac:dyDescent="0.25">
      <c r="A4320" s="16" t="s">
        <v>13321</v>
      </c>
      <c r="B4320" s="17" t="s">
        <v>13322</v>
      </c>
      <c r="C4320" s="17" t="s">
        <v>11</v>
      </c>
      <c r="D4320" s="17" t="s">
        <v>83</v>
      </c>
      <c r="E4320" s="17" t="s">
        <v>20</v>
      </c>
      <c r="F4320" s="16" t="s">
        <v>13323</v>
      </c>
    </row>
    <row r="4321" spans="1:6" x14ac:dyDescent="0.25">
      <c r="A4321" s="16" t="s">
        <v>13324</v>
      </c>
      <c r="B4321" s="17" t="s">
        <v>13325</v>
      </c>
      <c r="C4321" s="17" t="s">
        <v>11</v>
      </c>
      <c r="D4321" s="17" t="s">
        <v>36</v>
      </c>
      <c r="E4321" s="17" t="s">
        <v>20</v>
      </c>
      <c r="F4321" s="16" t="s">
        <v>13326</v>
      </c>
    </row>
    <row r="4322" spans="1:6" x14ac:dyDescent="0.25">
      <c r="A4322" s="16" t="s">
        <v>13327</v>
      </c>
      <c r="B4322" s="17" t="s">
        <v>13328</v>
      </c>
      <c r="C4322" s="17" t="s">
        <v>11</v>
      </c>
      <c r="D4322" s="17" t="s">
        <v>32</v>
      </c>
      <c r="E4322" s="17" t="s">
        <v>20</v>
      </c>
      <c r="F4322" s="16" t="s">
        <v>13329</v>
      </c>
    </row>
    <row r="4323" spans="1:6" x14ac:dyDescent="0.25">
      <c r="A4323" s="16" t="s">
        <v>13330</v>
      </c>
      <c r="B4323" s="17" t="s">
        <v>13331</v>
      </c>
      <c r="C4323" s="17" t="s">
        <v>11</v>
      </c>
      <c r="D4323" s="17" t="s">
        <v>83</v>
      </c>
      <c r="E4323" s="17" t="s">
        <v>20</v>
      </c>
      <c r="F4323" s="16" t="s">
        <v>13332</v>
      </c>
    </row>
    <row r="4324" spans="1:6" x14ac:dyDescent="0.25">
      <c r="A4324" s="16" t="s">
        <v>13333</v>
      </c>
      <c r="B4324" s="17" t="s">
        <v>13334</v>
      </c>
      <c r="C4324" s="17" t="s">
        <v>11</v>
      </c>
      <c r="D4324" s="17" t="s">
        <v>32</v>
      </c>
      <c r="E4324" s="17" t="s">
        <v>20</v>
      </c>
      <c r="F4324" s="16" t="s">
        <v>13335</v>
      </c>
    </row>
    <row r="4325" spans="1:6" x14ac:dyDescent="0.25">
      <c r="A4325" s="16" t="s">
        <v>13336</v>
      </c>
      <c r="B4325" s="17" t="s">
        <v>13337</v>
      </c>
      <c r="C4325" s="17" t="s">
        <v>11</v>
      </c>
      <c r="D4325" s="17" t="s">
        <v>186</v>
      </c>
      <c r="E4325" s="17" t="s">
        <v>20</v>
      </c>
      <c r="F4325" s="16" t="s">
        <v>13338</v>
      </c>
    </row>
    <row r="4326" spans="1:6" x14ac:dyDescent="0.25">
      <c r="A4326" s="16" t="s">
        <v>13339</v>
      </c>
      <c r="B4326" s="17" t="s">
        <v>13340</v>
      </c>
      <c r="C4326" s="17" t="s">
        <v>11</v>
      </c>
      <c r="D4326" s="17" t="s">
        <v>32</v>
      </c>
      <c r="E4326" s="17" t="s">
        <v>20</v>
      </c>
      <c r="F4326" s="16" t="s">
        <v>13341</v>
      </c>
    </row>
    <row r="4327" spans="1:6" x14ac:dyDescent="0.25">
      <c r="A4327" s="16" t="s">
        <v>13342</v>
      </c>
      <c r="B4327" s="17" t="s">
        <v>13343</v>
      </c>
      <c r="C4327" s="17" t="s">
        <v>11</v>
      </c>
      <c r="D4327" s="17" t="s">
        <v>544</v>
      </c>
      <c r="E4327" s="17" t="s">
        <v>20</v>
      </c>
      <c r="F4327" s="16" t="s">
        <v>13344</v>
      </c>
    </row>
    <row r="4328" spans="1:6" x14ac:dyDescent="0.25">
      <c r="A4328" s="16" t="s">
        <v>13345</v>
      </c>
      <c r="B4328" s="17" t="s">
        <v>13346</v>
      </c>
      <c r="C4328" s="17" t="s">
        <v>11</v>
      </c>
      <c r="D4328" s="17" t="s">
        <v>32</v>
      </c>
      <c r="E4328" s="17" t="s">
        <v>20</v>
      </c>
      <c r="F4328" s="16" t="s">
        <v>13347</v>
      </c>
    </row>
    <row r="4329" spans="1:6" x14ac:dyDescent="0.25">
      <c r="A4329" s="16" t="s">
        <v>13348</v>
      </c>
      <c r="B4329" s="17" t="s">
        <v>13349</v>
      </c>
      <c r="C4329" s="17" t="s">
        <v>11</v>
      </c>
      <c r="D4329" s="17" t="s">
        <v>148</v>
      </c>
      <c r="E4329" s="17" t="s">
        <v>20</v>
      </c>
      <c r="F4329" s="16" t="s">
        <v>13350</v>
      </c>
    </row>
    <row r="4330" spans="1:6" x14ac:dyDescent="0.25">
      <c r="A4330" s="16" t="s">
        <v>13351</v>
      </c>
      <c r="B4330" s="17" t="s">
        <v>13352</v>
      </c>
      <c r="C4330" s="17" t="s">
        <v>11</v>
      </c>
      <c r="D4330" s="17" t="s">
        <v>182</v>
      </c>
      <c r="E4330" s="17" t="s">
        <v>20</v>
      </c>
      <c r="F4330" s="16" t="s">
        <v>13353</v>
      </c>
    </row>
    <row r="4331" spans="1:6" x14ac:dyDescent="0.25">
      <c r="A4331" s="16" t="s">
        <v>13354</v>
      </c>
      <c r="B4331" s="17" t="s">
        <v>13355</v>
      </c>
      <c r="C4331" s="17" t="s">
        <v>11</v>
      </c>
      <c r="D4331" s="17" t="s">
        <v>26</v>
      </c>
      <c r="E4331" s="17" t="s">
        <v>20</v>
      </c>
      <c r="F4331" s="16" t="s">
        <v>13356</v>
      </c>
    </row>
    <row r="4332" spans="1:6" x14ac:dyDescent="0.25">
      <c r="A4332" s="16" t="s">
        <v>13357</v>
      </c>
      <c r="B4332" s="17" t="s">
        <v>13358</v>
      </c>
      <c r="C4332" s="17" t="s">
        <v>11</v>
      </c>
      <c r="D4332" s="17" t="s">
        <v>83</v>
      </c>
      <c r="E4332" s="17" t="s">
        <v>20</v>
      </c>
      <c r="F4332" s="16" t="s">
        <v>13359</v>
      </c>
    </row>
    <row r="4333" spans="1:6" x14ac:dyDescent="0.25">
      <c r="A4333" s="16" t="s">
        <v>13360</v>
      </c>
      <c r="B4333" s="17" t="s">
        <v>13361</v>
      </c>
      <c r="C4333" s="17" t="s">
        <v>11</v>
      </c>
      <c r="D4333" s="17" t="s">
        <v>26</v>
      </c>
      <c r="E4333" s="17" t="s">
        <v>20</v>
      </c>
      <c r="F4333" s="16" t="s">
        <v>13362</v>
      </c>
    </row>
    <row r="4334" spans="1:6" x14ac:dyDescent="0.25">
      <c r="A4334" s="16" t="s">
        <v>13363</v>
      </c>
      <c r="B4334" s="17" t="s">
        <v>13364</v>
      </c>
      <c r="C4334" s="17" t="s">
        <v>11</v>
      </c>
      <c r="D4334" s="17" t="s">
        <v>670</v>
      </c>
      <c r="E4334" s="17" t="s">
        <v>20</v>
      </c>
      <c r="F4334" s="16" t="s">
        <v>13365</v>
      </c>
    </row>
    <row r="4335" spans="1:6" x14ac:dyDescent="0.25">
      <c r="A4335" s="16" t="s">
        <v>13366</v>
      </c>
      <c r="B4335" s="17" t="s">
        <v>13367</v>
      </c>
      <c r="C4335" s="17" t="s">
        <v>11</v>
      </c>
      <c r="D4335" s="17" t="s">
        <v>32</v>
      </c>
      <c r="E4335" s="17" t="s">
        <v>20</v>
      </c>
      <c r="F4335" s="16" t="s">
        <v>13368</v>
      </c>
    </row>
    <row r="4336" spans="1:6" x14ac:dyDescent="0.25">
      <c r="A4336" s="16" t="s">
        <v>13369</v>
      </c>
      <c r="B4336" s="17" t="s">
        <v>13370</v>
      </c>
      <c r="C4336" s="17" t="s">
        <v>11</v>
      </c>
      <c r="D4336" s="17" t="s">
        <v>32</v>
      </c>
      <c r="E4336" s="17" t="s">
        <v>20</v>
      </c>
      <c r="F4336" s="16" t="s">
        <v>13371</v>
      </c>
    </row>
    <row r="4337" spans="1:6" x14ac:dyDescent="0.25">
      <c r="A4337" s="16" t="s">
        <v>13372</v>
      </c>
      <c r="B4337" s="17" t="s">
        <v>13373</v>
      </c>
      <c r="C4337" s="17" t="s">
        <v>11</v>
      </c>
      <c r="D4337" s="17" t="s">
        <v>182</v>
      </c>
      <c r="E4337" s="17" t="s">
        <v>20</v>
      </c>
      <c r="F4337" s="16" t="s">
        <v>13374</v>
      </c>
    </row>
    <row r="4338" spans="1:6" x14ac:dyDescent="0.25">
      <c r="A4338" s="16" t="s">
        <v>13375</v>
      </c>
      <c r="B4338" s="17" t="s">
        <v>13376</v>
      </c>
      <c r="C4338" s="17" t="s">
        <v>11</v>
      </c>
      <c r="D4338" s="17" t="s">
        <v>32</v>
      </c>
      <c r="E4338" s="17" t="s">
        <v>20</v>
      </c>
      <c r="F4338" s="16" t="s">
        <v>13377</v>
      </c>
    </row>
    <row r="4339" spans="1:6" x14ac:dyDescent="0.25">
      <c r="A4339" s="16" t="s">
        <v>13378</v>
      </c>
      <c r="B4339" s="17" t="s">
        <v>13379</v>
      </c>
      <c r="C4339" s="17" t="s">
        <v>214</v>
      </c>
      <c r="D4339" s="17" t="s">
        <v>186</v>
      </c>
      <c r="E4339" s="17" t="s">
        <v>20</v>
      </c>
      <c r="F4339" s="16" t="s">
        <v>13380</v>
      </c>
    </row>
    <row r="4340" spans="1:6" x14ac:dyDescent="0.25">
      <c r="A4340" s="16" t="s">
        <v>13381</v>
      </c>
      <c r="B4340" s="17" t="s">
        <v>13382</v>
      </c>
      <c r="C4340" s="17" t="s">
        <v>11</v>
      </c>
      <c r="D4340" s="17" t="s">
        <v>811</v>
      </c>
      <c r="E4340" s="17" t="s">
        <v>20</v>
      </c>
      <c r="F4340" s="16" t="s">
        <v>13383</v>
      </c>
    </row>
    <row r="4341" spans="1:6" x14ac:dyDescent="0.25">
      <c r="A4341" s="16" t="s">
        <v>13384</v>
      </c>
      <c r="B4341" s="17" t="s">
        <v>13385</v>
      </c>
      <c r="C4341" s="17" t="s">
        <v>11</v>
      </c>
      <c r="D4341" s="17" t="s">
        <v>32</v>
      </c>
      <c r="E4341" s="17" t="s">
        <v>20</v>
      </c>
      <c r="F4341" s="16" t="s">
        <v>13386</v>
      </c>
    </row>
    <row r="4342" spans="1:6" x14ac:dyDescent="0.25">
      <c r="A4342" s="16" t="s">
        <v>13387</v>
      </c>
      <c r="B4342" s="17" t="s">
        <v>13388</v>
      </c>
      <c r="C4342" s="17" t="s">
        <v>11</v>
      </c>
      <c r="D4342" s="17" t="s">
        <v>83</v>
      </c>
      <c r="E4342" s="17" t="s">
        <v>20</v>
      </c>
      <c r="F4342" s="16" t="s">
        <v>13389</v>
      </c>
    </row>
    <row r="4343" spans="1:6" x14ac:dyDescent="0.25">
      <c r="A4343" s="16" t="s">
        <v>13390</v>
      </c>
      <c r="B4343" s="17" t="s">
        <v>13391</v>
      </c>
      <c r="C4343" s="17" t="s">
        <v>11</v>
      </c>
      <c r="D4343" s="17" t="s">
        <v>32</v>
      </c>
      <c r="E4343" s="17" t="s">
        <v>20</v>
      </c>
      <c r="F4343" s="16" t="s">
        <v>13392</v>
      </c>
    </row>
    <row r="4344" spans="1:6" x14ac:dyDescent="0.25">
      <c r="A4344" s="16" t="s">
        <v>13393</v>
      </c>
      <c r="B4344" s="17" t="s">
        <v>13394</v>
      </c>
      <c r="C4344" s="17" t="s">
        <v>11</v>
      </c>
      <c r="D4344" s="17" t="s">
        <v>26</v>
      </c>
      <c r="E4344" s="17" t="s">
        <v>20</v>
      </c>
      <c r="F4344" s="16" t="s">
        <v>13395</v>
      </c>
    </row>
    <row r="4345" spans="1:6" x14ac:dyDescent="0.25">
      <c r="A4345" s="16" t="s">
        <v>13396</v>
      </c>
      <c r="B4345" s="17" t="s">
        <v>13397</v>
      </c>
      <c r="C4345" s="17" t="s">
        <v>11</v>
      </c>
      <c r="D4345" s="17" t="s">
        <v>26</v>
      </c>
      <c r="E4345" s="17" t="s">
        <v>20</v>
      </c>
      <c r="F4345" s="16" t="s">
        <v>13398</v>
      </c>
    </row>
    <row r="4346" spans="1:6" x14ac:dyDescent="0.25">
      <c r="A4346" s="16" t="s">
        <v>13399</v>
      </c>
      <c r="B4346" s="17" t="s">
        <v>13400</v>
      </c>
      <c r="C4346" s="17" t="s">
        <v>11</v>
      </c>
      <c r="D4346" s="17" t="s">
        <v>32</v>
      </c>
      <c r="E4346" s="17" t="s">
        <v>20</v>
      </c>
      <c r="F4346" s="16" t="s">
        <v>13401</v>
      </c>
    </row>
    <row r="4347" spans="1:6" x14ac:dyDescent="0.25">
      <c r="A4347" s="16" t="s">
        <v>13402</v>
      </c>
      <c r="B4347" s="17" t="s">
        <v>13403</v>
      </c>
      <c r="C4347" s="17" t="s">
        <v>11</v>
      </c>
      <c r="D4347" s="17" t="s">
        <v>83</v>
      </c>
      <c r="E4347" s="17" t="s">
        <v>20</v>
      </c>
      <c r="F4347" s="16" t="s">
        <v>13404</v>
      </c>
    </row>
    <row r="4348" spans="1:6" x14ac:dyDescent="0.25">
      <c r="A4348" s="16" t="s">
        <v>13405</v>
      </c>
      <c r="B4348" s="17" t="s">
        <v>13406</v>
      </c>
      <c r="C4348" s="17" t="s">
        <v>11</v>
      </c>
      <c r="D4348" s="17" t="s">
        <v>19</v>
      </c>
      <c r="E4348" s="17" t="s">
        <v>20</v>
      </c>
      <c r="F4348" s="16" t="s">
        <v>13407</v>
      </c>
    </row>
    <row r="4349" spans="1:6" x14ac:dyDescent="0.25">
      <c r="A4349" s="16" t="s">
        <v>13408</v>
      </c>
      <c r="B4349" s="17" t="s">
        <v>13409</v>
      </c>
      <c r="C4349" s="17" t="s">
        <v>11</v>
      </c>
      <c r="D4349" s="17" t="s">
        <v>26</v>
      </c>
      <c r="E4349" s="17" t="s">
        <v>20</v>
      </c>
      <c r="F4349" s="16" t="s">
        <v>13410</v>
      </c>
    </row>
    <row r="4350" spans="1:6" x14ac:dyDescent="0.25">
      <c r="A4350" s="16" t="s">
        <v>13411</v>
      </c>
      <c r="B4350" s="17" t="s">
        <v>13412</v>
      </c>
      <c r="C4350" s="17" t="s">
        <v>11</v>
      </c>
      <c r="D4350" s="17" t="s">
        <v>32</v>
      </c>
      <c r="E4350" s="17" t="s">
        <v>20</v>
      </c>
      <c r="F4350" s="16" t="s">
        <v>13413</v>
      </c>
    </row>
    <row r="4351" spans="1:6" x14ac:dyDescent="0.25">
      <c r="A4351" s="16" t="s">
        <v>13414</v>
      </c>
      <c r="B4351" s="17" t="s">
        <v>13415</v>
      </c>
      <c r="C4351" s="17" t="s">
        <v>11</v>
      </c>
      <c r="D4351" s="17" t="s">
        <v>32</v>
      </c>
      <c r="E4351" s="17" t="s">
        <v>20</v>
      </c>
      <c r="F4351" s="16" t="s">
        <v>13416</v>
      </c>
    </row>
    <row r="4352" spans="1:6" x14ac:dyDescent="0.25">
      <c r="A4352" s="16" t="s">
        <v>13417</v>
      </c>
      <c r="B4352" s="17" t="s">
        <v>13418</v>
      </c>
      <c r="C4352" s="17" t="s">
        <v>11</v>
      </c>
      <c r="D4352" s="17" t="s">
        <v>32</v>
      </c>
      <c r="E4352" s="17" t="s">
        <v>20</v>
      </c>
      <c r="F4352" s="16" t="s">
        <v>13419</v>
      </c>
    </row>
    <row r="4353" spans="1:6" x14ac:dyDescent="0.25">
      <c r="A4353" s="16" t="s">
        <v>13420</v>
      </c>
      <c r="B4353" s="17" t="s">
        <v>13421</v>
      </c>
      <c r="C4353" s="17" t="s">
        <v>11</v>
      </c>
      <c r="D4353" s="17" t="s">
        <v>148</v>
      </c>
      <c r="E4353" s="17" t="s">
        <v>20</v>
      </c>
      <c r="F4353" s="16" t="s">
        <v>13422</v>
      </c>
    </row>
    <row r="4354" spans="1:6" x14ac:dyDescent="0.25">
      <c r="A4354" s="16" t="s">
        <v>13423</v>
      </c>
      <c r="B4354" s="17" t="s">
        <v>13424</v>
      </c>
      <c r="C4354" s="17" t="s">
        <v>11</v>
      </c>
      <c r="D4354" s="17" t="s">
        <v>32</v>
      </c>
      <c r="E4354" s="17" t="s">
        <v>20</v>
      </c>
      <c r="F4354" s="16" t="s">
        <v>13425</v>
      </c>
    </row>
    <row r="4355" spans="1:6" x14ac:dyDescent="0.25">
      <c r="A4355" s="16" t="s">
        <v>13426</v>
      </c>
      <c r="B4355" s="17" t="s">
        <v>13427</v>
      </c>
      <c r="C4355" s="17" t="s">
        <v>11</v>
      </c>
      <c r="D4355" s="17" t="s">
        <v>12</v>
      </c>
      <c r="E4355" s="17" t="s">
        <v>13</v>
      </c>
      <c r="F4355" s="16" t="s">
        <v>13428</v>
      </c>
    </row>
    <row r="4356" spans="1:6" x14ac:dyDescent="0.25">
      <c r="A4356" s="16" t="s">
        <v>13429</v>
      </c>
      <c r="B4356" s="17" t="s">
        <v>13430</v>
      </c>
      <c r="C4356" s="17" t="s">
        <v>11</v>
      </c>
      <c r="D4356" s="17" t="s">
        <v>12</v>
      </c>
      <c r="E4356" s="17" t="s">
        <v>13</v>
      </c>
      <c r="F4356" s="16" t="s">
        <v>13431</v>
      </c>
    </row>
    <row r="4357" spans="1:6" x14ac:dyDescent="0.25">
      <c r="A4357" s="16" t="s">
        <v>13432</v>
      </c>
      <c r="B4357" s="17" t="s">
        <v>13433</v>
      </c>
      <c r="C4357" s="17" t="s">
        <v>11</v>
      </c>
      <c r="D4357" s="17" t="s">
        <v>12</v>
      </c>
      <c r="E4357" s="17" t="s">
        <v>13</v>
      </c>
      <c r="F4357" s="16" t="s">
        <v>13434</v>
      </c>
    </row>
    <row r="4358" spans="1:6" x14ac:dyDescent="0.25">
      <c r="A4358" s="16" t="s">
        <v>13435</v>
      </c>
      <c r="B4358" s="17" t="s">
        <v>13436</v>
      </c>
      <c r="C4358" s="17" t="s">
        <v>11</v>
      </c>
      <c r="D4358" s="17" t="s">
        <v>12</v>
      </c>
      <c r="E4358" s="17" t="s">
        <v>13</v>
      </c>
      <c r="F4358" s="16" t="s">
        <v>13437</v>
      </c>
    </row>
    <row r="4359" spans="1:6" x14ac:dyDescent="0.25">
      <c r="A4359" s="16" t="s">
        <v>13438</v>
      </c>
      <c r="B4359" s="17" t="s">
        <v>13439</v>
      </c>
      <c r="C4359" s="17" t="s">
        <v>11</v>
      </c>
      <c r="D4359" s="17" t="s">
        <v>12</v>
      </c>
      <c r="E4359" s="17" t="s">
        <v>13</v>
      </c>
      <c r="F4359" s="16" t="s">
        <v>13440</v>
      </c>
    </row>
    <row r="4360" spans="1:6" x14ac:dyDescent="0.25">
      <c r="A4360" s="16" t="s">
        <v>13441</v>
      </c>
      <c r="B4360" s="17" t="s">
        <v>13442</v>
      </c>
      <c r="C4360" s="17" t="s">
        <v>11</v>
      </c>
      <c r="D4360" s="17" t="s">
        <v>12</v>
      </c>
      <c r="E4360" s="17" t="s">
        <v>13</v>
      </c>
      <c r="F4360" s="16" t="s">
        <v>13443</v>
      </c>
    </row>
    <row r="4361" spans="1:6" x14ac:dyDescent="0.25">
      <c r="A4361" s="16" t="s">
        <v>13444</v>
      </c>
      <c r="B4361" s="17" t="s">
        <v>13445</v>
      </c>
      <c r="C4361" s="17" t="s">
        <v>11</v>
      </c>
      <c r="D4361" s="17" t="s">
        <v>32</v>
      </c>
      <c r="E4361" s="17" t="s">
        <v>20</v>
      </c>
      <c r="F4361" s="16" t="s">
        <v>13446</v>
      </c>
    </row>
    <row r="4362" spans="1:6" x14ac:dyDescent="0.25">
      <c r="A4362" s="16" t="s">
        <v>13447</v>
      </c>
      <c r="B4362" s="17" t="s">
        <v>13448</v>
      </c>
      <c r="C4362" s="17" t="s">
        <v>11</v>
      </c>
      <c r="D4362" s="17" t="s">
        <v>12</v>
      </c>
      <c r="E4362" s="17" t="s">
        <v>13</v>
      </c>
      <c r="F4362" s="16" t="s">
        <v>13449</v>
      </c>
    </row>
    <row r="4363" spans="1:6" x14ac:dyDescent="0.25">
      <c r="A4363" s="16" t="s">
        <v>13450</v>
      </c>
      <c r="B4363" s="17" t="s">
        <v>13451</v>
      </c>
      <c r="C4363" s="17" t="s">
        <v>11</v>
      </c>
      <c r="D4363" s="17" t="s">
        <v>12</v>
      </c>
      <c r="E4363" s="17" t="s">
        <v>13</v>
      </c>
      <c r="F4363" s="16" t="s">
        <v>13452</v>
      </c>
    </row>
    <row r="4364" spans="1:6" x14ac:dyDescent="0.25">
      <c r="A4364" s="16" t="s">
        <v>13453</v>
      </c>
      <c r="B4364" s="17" t="s">
        <v>13454</v>
      </c>
      <c r="C4364" s="17" t="s">
        <v>11</v>
      </c>
      <c r="D4364" s="17" t="s">
        <v>12</v>
      </c>
      <c r="E4364" s="17" t="s">
        <v>13</v>
      </c>
      <c r="F4364" s="16" t="s">
        <v>13455</v>
      </c>
    </row>
    <row r="4365" spans="1:6" x14ac:dyDescent="0.25">
      <c r="A4365" s="16" t="s">
        <v>13456</v>
      </c>
      <c r="B4365" s="17" t="s">
        <v>13457</v>
      </c>
      <c r="C4365" s="17" t="s">
        <v>11</v>
      </c>
      <c r="D4365" s="17" t="s">
        <v>12</v>
      </c>
      <c r="E4365" s="17" t="s">
        <v>13</v>
      </c>
      <c r="F4365" s="16" t="s">
        <v>13458</v>
      </c>
    </row>
    <row r="4366" spans="1:6" x14ac:dyDescent="0.25">
      <c r="A4366" s="16" t="s">
        <v>13459</v>
      </c>
      <c r="B4366" s="17" t="s">
        <v>13460</v>
      </c>
      <c r="C4366" s="17" t="s">
        <v>11</v>
      </c>
      <c r="D4366" s="17" t="s">
        <v>12</v>
      </c>
      <c r="E4366" s="17" t="s">
        <v>13</v>
      </c>
      <c r="F4366" s="16" t="s">
        <v>13461</v>
      </c>
    </row>
    <row r="4367" spans="1:6" x14ac:dyDescent="0.25">
      <c r="A4367" s="16" t="s">
        <v>13462</v>
      </c>
      <c r="B4367" s="17" t="s">
        <v>13463</v>
      </c>
      <c r="C4367" s="17" t="s">
        <v>11</v>
      </c>
      <c r="D4367" s="17" t="s">
        <v>12</v>
      </c>
      <c r="E4367" s="17" t="s">
        <v>13</v>
      </c>
      <c r="F4367" s="16" t="s">
        <v>13464</v>
      </c>
    </row>
    <row r="4368" spans="1:6" x14ac:dyDescent="0.25">
      <c r="A4368" s="16" t="s">
        <v>13465</v>
      </c>
      <c r="B4368" s="17" t="s">
        <v>13466</v>
      </c>
      <c r="C4368" s="17" t="s">
        <v>11</v>
      </c>
      <c r="D4368" s="17" t="s">
        <v>12</v>
      </c>
      <c r="E4368" s="17" t="s">
        <v>13</v>
      </c>
      <c r="F4368" s="16" t="s">
        <v>13467</v>
      </c>
    </row>
    <row r="4369" spans="1:6" x14ac:dyDescent="0.25">
      <c r="A4369" s="16" t="s">
        <v>13468</v>
      </c>
      <c r="B4369" s="17" t="s">
        <v>13469</v>
      </c>
      <c r="C4369" s="17" t="s">
        <v>11</v>
      </c>
      <c r="D4369" s="17" t="s">
        <v>12</v>
      </c>
      <c r="E4369" s="17" t="s">
        <v>13</v>
      </c>
      <c r="F4369" s="16" t="s">
        <v>13470</v>
      </c>
    </row>
    <row r="4370" spans="1:6" x14ac:dyDescent="0.25">
      <c r="A4370" s="16" t="s">
        <v>13471</v>
      </c>
      <c r="B4370" s="17" t="s">
        <v>13472</v>
      </c>
      <c r="C4370" s="17" t="s">
        <v>11</v>
      </c>
      <c r="D4370" s="17" t="s">
        <v>32</v>
      </c>
      <c r="E4370" s="17" t="s">
        <v>20</v>
      </c>
      <c r="F4370" s="16" t="s">
        <v>13473</v>
      </c>
    </row>
    <row r="4371" spans="1:6" x14ac:dyDescent="0.25">
      <c r="A4371" s="16" t="s">
        <v>13474</v>
      </c>
      <c r="B4371" s="17" t="s">
        <v>13475</v>
      </c>
      <c r="C4371" s="17" t="s">
        <v>11</v>
      </c>
      <c r="D4371" s="17" t="s">
        <v>12</v>
      </c>
      <c r="E4371" s="17" t="s">
        <v>13</v>
      </c>
      <c r="F4371" s="16" t="s">
        <v>13476</v>
      </c>
    </row>
    <row r="4372" spans="1:6" x14ac:dyDescent="0.25">
      <c r="A4372" s="16" t="s">
        <v>13477</v>
      </c>
      <c r="B4372" s="17" t="s">
        <v>13478</v>
      </c>
      <c r="C4372" s="17" t="s">
        <v>11</v>
      </c>
      <c r="D4372" s="17" t="s">
        <v>12</v>
      </c>
      <c r="E4372" s="17" t="s">
        <v>13</v>
      </c>
      <c r="F4372" s="16" t="s">
        <v>13479</v>
      </c>
    </row>
    <row r="4373" spans="1:6" x14ac:dyDescent="0.25">
      <c r="A4373" s="16" t="s">
        <v>13480</v>
      </c>
      <c r="B4373" s="17" t="s">
        <v>13481</v>
      </c>
      <c r="C4373" s="17" t="s">
        <v>11</v>
      </c>
      <c r="D4373" s="17" t="s">
        <v>12</v>
      </c>
      <c r="E4373" s="17" t="s">
        <v>13</v>
      </c>
      <c r="F4373" s="16" t="s">
        <v>13482</v>
      </c>
    </row>
    <row r="4374" spans="1:6" x14ac:dyDescent="0.25">
      <c r="A4374" s="16" t="s">
        <v>13483</v>
      </c>
      <c r="B4374" s="17" t="s">
        <v>13484</v>
      </c>
      <c r="C4374" s="17" t="s">
        <v>11</v>
      </c>
      <c r="D4374" s="17" t="s">
        <v>12</v>
      </c>
      <c r="E4374" s="17" t="s">
        <v>13</v>
      </c>
      <c r="F4374" s="16" t="s">
        <v>13485</v>
      </c>
    </row>
    <row r="4375" spans="1:6" x14ac:dyDescent="0.25">
      <c r="A4375" s="16" t="s">
        <v>13486</v>
      </c>
      <c r="B4375" s="17" t="s">
        <v>13487</v>
      </c>
      <c r="C4375" s="17" t="s">
        <v>11</v>
      </c>
      <c r="D4375" s="17" t="s">
        <v>12</v>
      </c>
      <c r="E4375" s="17" t="s">
        <v>13</v>
      </c>
      <c r="F4375" s="16" t="s">
        <v>13488</v>
      </c>
    </row>
    <row r="4376" spans="1:6" x14ac:dyDescent="0.25">
      <c r="A4376" s="16" t="s">
        <v>13489</v>
      </c>
      <c r="B4376" s="17" t="s">
        <v>13490</v>
      </c>
      <c r="C4376" s="17" t="s">
        <v>11</v>
      </c>
      <c r="D4376" s="17" t="s">
        <v>12</v>
      </c>
      <c r="E4376" s="17" t="s">
        <v>13</v>
      </c>
      <c r="F4376" s="16" t="s">
        <v>13491</v>
      </c>
    </row>
    <row r="4377" spans="1:6" x14ac:dyDescent="0.25">
      <c r="A4377" s="16" t="s">
        <v>13492</v>
      </c>
      <c r="B4377" s="17" t="s">
        <v>13493</v>
      </c>
      <c r="C4377" s="17" t="s">
        <v>11</v>
      </c>
      <c r="D4377" s="17" t="s">
        <v>12</v>
      </c>
      <c r="E4377" s="17" t="s">
        <v>13</v>
      </c>
      <c r="F4377" s="16" t="s">
        <v>13494</v>
      </c>
    </row>
    <row r="4378" spans="1:6" x14ac:dyDescent="0.25">
      <c r="A4378" s="16" t="s">
        <v>13495</v>
      </c>
      <c r="B4378" s="17" t="s">
        <v>13496</v>
      </c>
      <c r="C4378" s="17" t="s">
        <v>11</v>
      </c>
      <c r="D4378" s="17" t="s">
        <v>12</v>
      </c>
      <c r="E4378" s="17" t="s">
        <v>13</v>
      </c>
      <c r="F4378" s="16" t="s">
        <v>13497</v>
      </c>
    </row>
    <row r="4379" spans="1:6" x14ac:dyDescent="0.25">
      <c r="A4379" s="16" t="s">
        <v>13498</v>
      </c>
      <c r="B4379" s="17" t="s">
        <v>13499</v>
      </c>
      <c r="C4379" s="17" t="s">
        <v>11</v>
      </c>
      <c r="D4379" s="17" t="s">
        <v>12</v>
      </c>
      <c r="E4379" s="17" t="s">
        <v>13</v>
      </c>
      <c r="F4379" s="16" t="s">
        <v>13500</v>
      </c>
    </row>
    <row r="4380" spans="1:6" x14ac:dyDescent="0.25">
      <c r="A4380" s="16" t="s">
        <v>13501</v>
      </c>
      <c r="B4380" s="17" t="s">
        <v>13502</v>
      </c>
      <c r="C4380" s="17" t="s">
        <v>11</v>
      </c>
      <c r="D4380" s="17" t="s">
        <v>12</v>
      </c>
      <c r="E4380" s="17" t="s">
        <v>13</v>
      </c>
      <c r="F4380" s="16" t="s">
        <v>13503</v>
      </c>
    </row>
    <row r="4381" spans="1:6" x14ac:dyDescent="0.25">
      <c r="A4381" s="16" t="s">
        <v>13504</v>
      </c>
      <c r="B4381" s="17" t="s">
        <v>13505</v>
      </c>
      <c r="C4381" s="17" t="s">
        <v>11</v>
      </c>
      <c r="D4381" s="17" t="s">
        <v>12</v>
      </c>
      <c r="E4381" s="17" t="s">
        <v>13</v>
      </c>
      <c r="F4381" s="16" t="s">
        <v>13506</v>
      </c>
    </row>
    <row r="4382" spans="1:6" x14ac:dyDescent="0.25">
      <c r="A4382" s="16" t="s">
        <v>13507</v>
      </c>
      <c r="B4382" s="17" t="s">
        <v>13508</v>
      </c>
      <c r="C4382" s="17" t="s">
        <v>11</v>
      </c>
      <c r="D4382" s="17" t="s">
        <v>12</v>
      </c>
      <c r="E4382" s="17" t="s">
        <v>13</v>
      </c>
      <c r="F4382" s="16" t="s">
        <v>13509</v>
      </c>
    </row>
    <row r="4383" spans="1:6" x14ac:dyDescent="0.25">
      <c r="A4383" s="16" t="s">
        <v>13510</v>
      </c>
      <c r="B4383" s="17" t="s">
        <v>13511</v>
      </c>
      <c r="C4383" s="17" t="s">
        <v>11</v>
      </c>
      <c r="D4383" s="17" t="s">
        <v>12</v>
      </c>
      <c r="E4383" s="17" t="s">
        <v>13</v>
      </c>
      <c r="F4383" s="16" t="s">
        <v>13512</v>
      </c>
    </row>
    <row r="4384" spans="1:6" x14ac:dyDescent="0.25">
      <c r="A4384" s="16" t="s">
        <v>13513</v>
      </c>
      <c r="B4384" s="17" t="s">
        <v>13514</v>
      </c>
      <c r="C4384" s="17" t="s">
        <v>11</v>
      </c>
      <c r="D4384" s="17" t="s">
        <v>32</v>
      </c>
      <c r="E4384" s="17" t="s">
        <v>20</v>
      </c>
      <c r="F4384" s="16" t="s">
        <v>13515</v>
      </c>
    </row>
    <row r="4385" spans="1:6" x14ac:dyDescent="0.25">
      <c r="A4385" s="16" t="s">
        <v>13516</v>
      </c>
      <c r="B4385" s="17" t="s">
        <v>13517</v>
      </c>
      <c r="C4385" s="17" t="s">
        <v>11</v>
      </c>
      <c r="D4385" s="17" t="s">
        <v>12</v>
      </c>
      <c r="E4385" s="17" t="s">
        <v>13</v>
      </c>
      <c r="F4385" s="16" t="s">
        <v>13518</v>
      </c>
    </row>
    <row r="4386" spans="1:6" x14ac:dyDescent="0.25">
      <c r="A4386" s="16" t="s">
        <v>13519</v>
      </c>
      <c r="B4386" s="17" t="s">
        <v>13520</v>
      </c>
      <c r="C4386" s="17" t="s">
        <v>11</v>
      </c>
      <c r="D4386" s="17" t="s">
        <v>12</v>
      </c>
      <c r="E4386" s="17" t="s">
        <v>13</v>
      </c>
      <c r="F4386" s="16" t="s">
        <v>13521</v>
      </c>
    </row>
    <row r="4387" spans="1:6" x14ac:dyDescent="0.25">
      <c r="A4387" s="16" t="s">
        <v>13522</v>
      </c>
      <c r="B4387" s="17" t="s">
        <v>13523</v>
      </c>
      <c r="C4387" s="17" t="s">
        <v>11</v>
      </c>
      <c r="D4387" s="17" t="s">
        <v>12</v>
      </c>
      <c r="E4387" s="17" t="s">
        <v>13</v>
      </c>
      <c r="F4387" s="16" t="s">
        <v>13524</v>
      </c>
    </row>
    <row r="4388" spans="1:6" x14ac:dyDescent="0.25">
      <c r="A4388" s="16" t="s">
        <v>13525</v>
      </c>
      <c r="B4388" s="17" t="s">
        <v>13526</v>
      </c>
      <c r="C4388" s="17" t="s">
        <v>11</v>
      </c>
      <c r="D4388" s="17" t="s">
        <v>12</v>
      </c>
      <c r="E4388" s="17" t="s">
        <v>13</v>
      </c>
      <c r="F4388" s="16" t="s">
        <v>13527</v>
      </c>
    </row>
    <row r="4389" spans="1:6" x14ac:dyDescent="0.25">
      <c r="A4389" s="16" t="s">
        <v>13528</v>
      </c>
      <c r="B4389" s="17" t="s">
        <v>13529</v>
      </c>
      <c r="C4389" s="17" t="s">
        <v>11</v>
      </c>
      <c r="D4389" s="17" t="s">
        <v>12</v>
      </c>
      <c r="E4389" s="17" t="s">
        <v>13</v>
      </c>
      <c r="F4389" s="16" t="s">
        <v>13530</v>
      </c>
    </row>
    <row r="4390" spans="1:6" x14ac:dyDescent="0.25">
      <c r="A4390" s="16" t="s">
        <v>13531</v>
      </c>
      <c r="B4390" s="17" t="s">
        <v>13532</v>
      </c>
      <c r="C4390" s="17" t="s">
        <v>11</v>
      </c>
      <c r="D4390" s="17" t="s">
        <v>12</v>
      </c>
      <c r="E4390" s="17" t="s">
        <v>13</v>
      </c>
      <c r="F4390" s="16" t="s">
        <v>13533</v>
      </c>
    </row>
    <row r="4391" spans="1:6" x14ac:dyDescent="0.25">
      <c r="A4391" s="16" t="s">
        <v>13534</v>
      </c>
      <c r="B4391" s="17" t="s">
        <v>13535</v>
      </c>
      <c r="C4391" s="17" t="s">
        <v>11</v>
      </c>
      <c r="D4391" s="17" t="s">
        <v>59</v>
      </c>
      <c r="E4391" s="17" t="s">
        <v>13</v>
      </c>
      <c r="F4391" s="16" t="s">
        <v>13536</v>
      </c>
    </row>
    <row r="4392" spans="1:6" x14ac:dyDescent="0.25">
      <c r="A4392" s="16" t="s">
        <v>13537</v>
      </c>
      <c r="B4392" s="17" t="s">
        <v>13538</v>
      </c>
      <c r="C4392" s="17" t="s">
        <v>11</v>
      </c>
      <c r="D4392" s="17" t="s">
        <v>12</v>
      </c>
      <c r="E4392" s="17" t="s">
        <v>13</v>
      </c>
      <c r="F4392" s="16" t="s">
        <v>13539</v>
      </c>
    </row>
    <row r="4393" spans="1:6" x14ac:dyDescent="0.25">
      <c r="A4393" s="16" t="s">
        <v>13540</v>
      </c>
      <c r="B4393" s="17" t="s">
        <v>13541</v>
      </c>
      <c r="C4393" s="17" t="s">
        <v>11</v>
      </c>
      <c r="D4393" s="17" t="s">
        <v>12</v>
      </c>
      <c r="E4393" s="17" t="s">
        <v>13</v>
      </c>
      <c r="F4393" s="16" t="s">
        <v>13542</v>
      </c>
    </row>
    <row r="4394" spans="1:6" x14ac:dyDescent="0.25">
      <c r="A4394" s="16" t="s">
        <v>13543</v>
      </c>
      <c r="B4394" s="17" t="s">
        <v>13544</v>
      </c>
      <c r="C4394" s="17" t="s">
        <v>11</v>
      </c>
      <c r="D4394" s="17" t="s">
        <v>12</v>
      </c>
      <c r="E4394" s="17" t="s">
        <v>13</v>
      </c>
      <c r="F4394" s="16" t="s">
        <v>13545</v>
      </c>
    </row>
    <row r="4395" spans="1:6" x14ac:dyDescent="0.25">
      <c r="A4395" s="16" t="s">
        <v>13546</v>
      </c>
      <c r="B4395" s="17" t="s">
        <v>13547</v>
      </c>
      <c r="C4395" s="17" t="s">
        <v>11</v>
      </c>
      <c r="D4395" s="17" t="s">
        <v>12</v>
      </c>
      <c r="E4395" s="17" t="s">
        <v>13</v>
      </c>
      <c r="F4395" s="16" t="s">
        <v>13548</v>
      </c>
    </row>
    <row r="4396" spans="1:6" x14ac:dyDescent="0.25">
      <c r="A4396" s="16" t="s">
        <v>13549</v>
      </c>
      <c r="B4396" s="17" t="s">
        <v>13550</v>
      </c>
      <c r="C4396" s="17" t="s">
        <v>214</v>
      </c>
      <c r="D4396" s="17" t="s">
        <v>32</v>
      </c>
      <c r="E4396" s="17" t="s">
        <v>20</v>
      </c>
      <c r="F4396" s="16" t="s">
        <v>13551</v>
      </c>
    </row>
    <row r="4397" spans="1:6" x14ac:dyDescent="0.25">
      <c r="A4397" s="16" t="s">
        <v>13552</v>
      </c>
      <c r="B4397" s="17" t="s">
        <v>13553</v>
      </c>
      <c r="C4397" s="17" t="s">
        <v>11</v>
      </c>
      <c r="D4397" s="17" t="s">
        <v>12</v>
      </c>
      <c r="E4397" s="17" t="s">
        <v>13</v>
      </c>
      <c r="F4397" s="16" t="s">
        <v>13554</v>
      </c>
    </row>
    <row r="4398" spans="1:6" x14ac:dyDescent="0.25">
      <c r="A4398" s="16" t="s">
        <v>13555</v>
      </c>
      <c r="B4398" s="17" t="s">
        <v>13556</v>
      </c>
      <c r="C4398" s="17" t="s">
        <v>11</v>
      </c>
      <c r="D4398" s="17" t="s">
        <v>12</v>
      </c>
      <c r="E4398" s="17" t="s">
        <v>13</v>
      </c>
      <c r="F4398" s="16" t="s">
        <v>13557</v>
      </c>
    </row>
    <row r="4399" spans="1:6" x14ac:dyDescent="0.25">
      <c r="A4399" s="16" t="s">
        <v>13558</v>
      </c>
      <c r="B4399" s="17" t="s">
        <v>13559</v>
      </c>
      <c r="C4399" s="17" t="s">
        <v>11</v>
      </c>
      <c r="D4399" s="17" t="s">
        <v>12</v>
      </c>
      <c r="E4399" s="17" t="s">
        <v>13</v>
      </c>
      <c r="F4399" s="16" t="s">
        <v>13560</v>
      </c>
    </row>
    <row r="4400" spans="1:6" x14ac:dyDescent="0.25">
      <c r="A4400" s="16" t="s">
        <v>13561</v>
      </c>
      <c r="B4400" s="17" t="s">
        <v>13562</v>
      </c>
      <c r="C4400" s="17" t="s">
        <v>11</v>
      </c>
      <c r="D4400" s="17" t="s">
        <v>12</v>
      </c>
      <c r="E4400" s="17" t="s">
        <v>13</v>
      </c>
      <c r="F4400" s="16" t="s">
        <v>13563</v>
      </c>
    </row>
    <row r="4401" spans="1:6" x14ac:dyDescent="0.25">
      <c r="A4401" s="16" t="s">
        <v>13564</v>
      </c>
      <c r="B4401" s="17" t="s">
        <v>13565</v>
      </c>
      <c r="C4401" s="17" t="s">
        <v>11</v>
      </c>
      <c r="D4401" s="17" t="s">
        <v>12</v>
      </c>
      <c r="E4401" s="17" t="s">
        <v>13</v>
      </c>
      <c r="F4401" s="16" t="s">
        <v>13566</v>
      </c>
    </row>
    <row r="4402" spans="1:6" x14ac:dyDescent="0.25">
      <c r="A4402" s="16" t="s">
        <v>13567</v>
      </c>
      <c r="B4402" s="17" t="s">
        <v>13568</v>
      </c>
      <c r="C4402" s="17" t="s">
        <v>11</v>
      </c>
      <c r="D4402" s="17" t="s">
        <v>12</v>
      </c>
      <c r="E4402" s="17" t="s">
        <v>13</v>
      </c>
      <c r="F4402" s="16" t="s">
        <v>13569</v>
      </c>
    </row>
    <row r="4403" spans="1:6" x14ac:dyDescent="0.25">
      <c r="A4403" s="16" t="s">
        <v>13570</v>
      </c>
      <c r="B4403" s="17" t="s">
        <v>13571</v>
      </c>
      <c r="C4403" s="17" t="s">
        <v>11</v>
      </c>
      <c r="D4403" s="17" t="s">
        <v>12</v>
      </c>
      <c r="E4403" s="17" t="s">
        <v>13</v>
      </c>
      <c r="F4403" s="16" t="s">
        <v>13572</v>
      </c>
    </row>
    <row r="4404" spans="1:6" x14ac:dyDescent="0.25">
      <c r="A4404" s="16" t="s">
        <v>13573</v>
      </c>
      <c r="B4404" s="17" t="s">
        <v>13574</v>
      </c>
      <c r="C4404" s="17" t="s">
        <v>11</v>
      </c>
      <c r="D4404" s="17" t="s">
        <v>12</v>
      </c>
      <c r="E4404" s="17" t="s">
        <v>13</v>
      </c>
      <c r="F4404" s="16" t="s">
        <v>13575</v>
      </c>
    </row>
    <row r="4405" spans="1:6" x14ac:dyDescent="0.25">
      <c r="A4405" s="16" t="s">
        <v>13576</v>
      </c>
      <c r="B4405" s="17" t="s">
        <v>13577</v>
      </c>
      <c r="C4405" s="17" t="s">
        <v>11</v>
      </c>
      <c r="D4405" s="17" t="s">
        <v>12</v>
      </c>
      <c r="E4405" s="17" t="s">
        <v>13</v>
      </c>
      <c r="F4405" s="16" t="s">
        <v>13578</v>
      </c>
    </row>
    <row r="4406" spans="1:6" x14ac:dyDescent="0.25">
      <c r="A4406" s="16" t="s">
        <v>13579</v>
      </c>
      <c r="B4406" s="17" t="s">
        <v>13580</v>
      </c>
      <c r="C4406" s="17" t="s">
        <v>11</v>
      </c>
      <c r="D4406" s="17" t="s">
        <v>12</v>
      </c>
      <c r="E4406" s="17" t="s">
        <v>13</v>
      </c>
      <c r="F4406" s="16" t="s">
        <v>13581</v>
      </c>
    </row>
    <row r="4407" spans="1:6" x14ac:dyDescent="0.25">
      <c r="A4407" s="16" t="s">
        <v>13582</v>
      </c>
      <c r="B4407" s="17" t="s">
        <v>13583</v>
      </c>
      <c r="C4407" s="17" t="s">
        <v>11</v>
      </c>
      <c r="D4407" s="17" t="s">
        <v>12</v>
      </c>
      <c r="E4407" s="17" t="s">
        <v>13</v>
      </c>
      <c r="F4407" s="16" t="s">
        <v>13584</v>
      </c>
    </row>
    <row r="4408" spans="1:6" x14ac:dyDescent="0.25">
      <c r="A4408" s="16" t="s">
        <v>13585</v>
      </c>
      <c r="B4408" s="17" t="s">
        <v>13586</v>
      </c>
      <c r="C4408" s="17" t="s">
        <v>11</v>
      </c>
      <c r="D4408" s="17" t="s">
        <v>12</v>
      </c>
      <c r="E4408" s="17" t="s">
        <v>13</v>
      </c>
      <c r="F4408" s="16" t="s">
        <v>13587</v>
      </c>
    </row>
    <row r="4409" spans="1:6" x14ac:dyDescent="0.25">
      <c r="A4409" s="16" t="s">
        <v>13588</v>
      </c>
      <c r="B4409" s="17" t="s">
        <v>13589</v>
      </c>
      <c r="C4409" s="17" t="s">
        <v>11</v>
      </c>
      <c r="D4409" s="17" t="s">
        <v>182</v>
      </c>
      <c r="E4409" s="17" t="s">
        <v>20</v>
      </c>
      <c r="F4409" s="16" t="s">
        <v>13590</v>
      </c>
    </row>
    <row r="4410" spans="1:6" x14ac:dyDescent="0.25">
      <c r="A4410" s="16" t="s">
        <v>13591</v>
      </c>
      <c r="B4410" s="17" t="s">
        <v>13592</v>
      </c>
      <c r="C4410" s="17" t="s">
        <v>11</v>
      </c>
      <c r="D4410" s="17" t="s">
        <v>32</v>
      </c>
      <c r="E4410" s="17" t="s">
        <v>20</v>
      </c>
      <c r="F4410" s="16" t="s">
        <v>13593</v>
      </c>
    </row>
    <row r="4411" spans="1:6" x14ac:dyDescent="0.25">
      <c r="A4411" s="16" t="s">
        <v>13594</v>
      </c>
      <c r="B4411" s="17" t="s">
        <v>13595</v>
      </c>
      <c r="C4411" s="17" t="s">
        <v>11</v>
      </c>
      <c r="D4411" s="17" t="s">
        <v>12</v>
      </c>
      <c r="E4411" s="17" t="s">
        <v>13</v>
      </c>
      <c r="F4411" s="16" t="s">
        <v>13596</v>
      </c>
    </row>
    <row r="4412" spans="1:6" x14ac:dyDescent="0.25">
      <c r="A4412" s="16" t="s">
        <v>13597</v>
      </c>
      <c r="B4412" s="17" t="s">
        <v>13598</v>
      </c>
      <c r="C4412" s="17" t="s">
        <v>11</v>
      </c>
      <c r="D4412" s="17" t="s">
        <v>12</v>
      </c>
      <c r="E4412" s="17" t="s">
        <v>13</v>
      </c>
      <c r="F4412" s="16" t="s">
        <v>13599</v>
      </c>
    </row>
    <row r="4413" spans="1:6" x14ac:dyDescent="0.25">
      <c r="A4413" s="16" t="s">
        <v>13600</v>
      </c>
      <c r="B4413" s="17" t="s">
        <v>13601</v>
      </c>
      <c r="C4413" s="17" t="s">
        <v>11</v>
      </c>
      <c r="D4413" s="17" t="s">
        <v>12</v>
      </c>
      <c r="E4413" s="17" t="s">
        <v>13</v>
      </c>
      <c r="F4413" s="16" t="s">
        <v>13602</v>
      </c>
    </row>
    <row r="4414" spans="1:6" x14ac:dyDescent="0.25">
      <c r="A4414" s="16" t="s">
        <v>13603</v>
      </c>
      <c r="B4414" s="17" t="s">
        <v>13604</v>
      </c>
      <c r="C4414" s="17" t="s">
        <v>11</v>
      </c>
      <c r="D4414" s="17" t="s">
        <v>12</v>
      </c>
      <c r="E4414" s="17" t="s">
        <v>13</v>
      </c>
      <c r="F4414" s="16" t="s">
        <v>13605</v>
      </c>
    </row>
    <row r="4415" spans="1:6" x14ac:dyDescent="0.25">
      <c r="A4415" s="16" t="s">
        <v>13606</v>
      </c>
      <c r="B4415" s="17" t="s">
        <v>13607</v>
      </c>
      <c r="C4415" s="17" t="s">
        <v>11</v>
      </c>
      <c r="D4415" s="17" t="s">
        <v>12</v>
      </c>
      <c r="E4415" s="17" t="s">
        <v>13</v>
      </c>
      <c r="F4415" s="16" t="s">
        <v>13608</v>
      </c>
    </row>
    <row r="4416" spans="1:6" x14ac:dyDescent="0.25">
      <c r="A4416" s="16" t="s">
        <v>13609</v>
      </c>
      <c r="B4416" s="17" t="s">
        <v>13610</v>
      </c>
      <c r="C4416" s="17" t="s">
        <v>11</v>
      </c>
      <c r="D4416" s="17" t="s">
        <v>12</v>
      </c>
      <c r="E4416" s="17" t="s">
        <v>13</v>
      </c>
      <c r="F4416" s="16" t="s">
        <v>13611</v>
      </c>
    </row>
    <row r="4417" spans="1:6" x14ac:dyDescent="0.25">
      <c r="A4417" s="16" t="s">
        <v>13612</v>
      </c>
      <c r="B4417" s="17" t="s">
        <v>13613</v>
      </c>
      <c r="C4417" s="17" t="s">
        <v>11</v>
      </c>
      <c r="D4417" s="17" t="s">
        <v>89</v>
      </c>
      <c r="E4417" s="17" t="s">
        <v>20</v>
      </c>
      <c r="F4417" s="16" t="s">
        <v>13614</v>
      </c>
    </row>
    <row r="4418" spans="1:6" x14ac:dyDescent="0.25">
      <c r="A4418" s="16" t="s">
        <v>13615</v>
      </c>
      <c r="B4418" s="17" t="s">
        <v>13616</v>
      </c>
      <c r="C4418" s="17" t="s">
        <v>11</v>
      </c>
      <c r="D4418" s="17" t="s">
        <v>12</v>
      </c>
      <c r="E4418" s="17" t="s">
        <v>13</v>
      </c>
      <c r="F4418" s="16" t="s">
        <v>13617</v>
      </c>
    </row>
    <row r="4419" spans="1:6" x14ac:dyDescent="0.25">
      <c r="A4419" s="16" t="s">
        <v>13618</v>
      </c>
      <c r="B4419" s="17" t="s">
        <v>13619</v>
      </c>
      <c r="C4419" s="17" t="s">
        <v>11</v>
      </c>
      <c r="D4419" s="17" t="s">
        <v>12</v>
      </c>
      <c r="E4419" s="17" t="s">
        <v>13</v>
      </c>
      <c r="F4419" s="16" t="s">
        <v>13620</v>
      </c>
    </row>
    <row r="4420" spans="1:6" x14ac:dyDescent="0.25">
      <c r="A4420" s="16" t="s">
        <v>13621</v>
      </c>
      <c r="B4420" s="17" t="s">
        <v>13622</v>
      </c>
      <c r="C4420" s="17" t="s">
        <v>11</v>
      </c>
      <c r="D4420" s="17" t="s">
        <v>12</v>
      </c>
      <c r="E4420" s="17" t="s">
        <v>13</v>
      </c>
      <c r="F4420" s="16" t="s">
        <v>13623</v>
      </c>
    </row>
    <row r="4421" spans="1:6" x14ac:dyDescent="0.25">
      <c r="A4421" s="16" t="s">
        <v>13624</v>
      </c>
      <c r="B4421" s="17" t="s">
        <v>13625</v>
      </c>
      <c r="C4421" s="17" t="s">
        <v>11</v>
      </c>
      <c r="D4421" s="17" t="s">
        <v>12</v>
      </c>
      <c r="E4421" s="17" t="s">
        <v>13</v>
      </c>
      <c r="F4421" s="16" t="s">
        <v>13626</v>
      </c>
    </row>
    <row r="4422" spans="1:6" x14ac:dyDescent="0.25">
      <c r="A4422" s="16" t="s">
        <v>13627</v>
      </c>
      <c r="B4422" s="17" t="s">
        <v>13628</v>
      </c>
      <c r="C4422" s="17" t="s">
        <v>11</v>
      </c>
      <c r="D4422" s="17" t="s">
        <v>32</v>
      </c>
      <c r="E4422" s="17" t="s">
        <v>20</v>
      </c>
      <c r="F4422" s="16" t="s">
        <v>13629</v>
      </c>
    </row>
    <row r="4423" spans="1:6" x14ac:dyDescent="0.25">
      <c r="A4423" s="16" t="s">
        <v>13630</v>
      </c>
      <c r="B4423" s="17" t="s">
        <v>13631</v>
      </c>
      <c r="C4423" s="17" t="s">
        <v>11</v>
      </c>
      <c r="D4423" s="17" t="s">
        <v>12</v>
      </c>
      <c r="E4423" s="17" t="s">
        <v>13</v>
      </c>
      <c r="F4423" s="16" t="s">
        <v>13632</v>
      </c>
    </row>
    <row r="4424" spans="1:6" x14ac:dyDescent="0.25">
      <c r="A4424" s="16" t="s">
        <v>13633</v>
      </c>
      <c r="B4424" s="17" t="s">
        <v>13634</v>
      </c>
      <c r="C4424" s="17" t="s">
        <v>11</v>
      </c>
      <c r="D4424" s="17" t="s">
        <v>12</v>
      </c>
      <c r="E4424" s="17" t="s">
        <v>13</v>
      </c>
      <c r="F4424" s="16" t="s">
        <v>13635</v>
      </c>
    </row>
    <row r="4425" spans="1:6" x14ac:dyDescent="0.25">
      <c r="A4425" s="16" t="s">
        <v>13636</v>
      </c>
      <c r="B4425" s="17" t="s">
        <v>13637</v>
      </c>
      <c r="C4425" s="17" t="s">
        <v>11</v>
      </c>
      <c r="D4425" s="17" t="s">
        <v>12</v>
      </c>
      <c r="E4425" s="17" t="s">
        <v>13</v>
      </c>
      <c r="F4425" s="16" t="s">
        <v>13638</v>
      </c>
    </row>
    <row r="4426" spans="1:6" x14ac:dyDescent="0.25">
      <c r="A4426" s="16" t="s">
        <v>13639</v>
      </c>
      <c r="B4426" s="17" t="s">
        <v>13640</v>
      </c>
      <c r="C4426" s="17" t="s">
        <v>11</v>
      </c>
      <c r="D4426" s="17" t="s">
        <v>12</v>
      </c>
      <c r="E4426" s="17" t="s">
        <v>13</v>
      </c>
      <c r="F4426" s="16" t="s">
        <v>13641</v>
      </c>
    </row>
    <row r="4427" spans="1:6" x14ac:dyDescent="0.25">
      <c r="A4427" s="16" t="s">
        <v>13642</v>
      </c>
      <c r="B4427" s="17" t="s">
        <v>13643</v>
      </c>
      <c r="C4427" s="17" t="s">
        <v>11</v>
      </c>
      <c r="D4427" s="17" t="s">
        <v>12</v>
      </c>
      <c r="E4427" s="17" t="s">
        <v>13</v>
      </c>
      <c r="F4427" s="16" t="s">
        <v>13644</v>
      </c>
    </row>
    <row r="4428" spans="1:6" x14ac:dyDescent="0.25">
      <c r="A4428" s="16" t="s">
        <v>13645</v>
      </c>
      <c r="B4428" s="17" t="s">
        <v>13646</v>
      </c>
      <c r="C4428" s="17" t="s">
        <v>11</v>
      </c>
      <c r="D4428" s="17" t="s">
        <v>12</v>
      </c>
      <c r="E4428" s="17" t="s">
        <v>13</v>
      </c>
      <c r="F4428" s="16" t="s">
        <v>13647</v>
      </c>
    </row>
    <row r="4429" spans="1:6" x14ac:dyDescent="0.25">
      <c r="A4429" s="16" t="s">
        <v>13648</v>
      </c>
      <c r="B4429" s="17" t="s">
        <v>13649</v>
      </c>
      <c r="C4429" s="17" t="s">
        <v>11</v>
      </c>
      <c r="D4429" s="17" t="s">
        <v>12</v>
      </c>
      <c r="E4429" s="17" t="s">
        <v>13</v>
      </c>
      <c r="F4429" s="16" t="s">
        <v>13650</v>
      </c>
    </row>
    <row r="4430" spans="1:6" x14ac:dyDescent="0.25">
      <c r="A4430" s="16" t="s">
        <v>13651</v>
      </c>
      <c r="B4430" s="17" t="s">
        <v>13652</v>
      </c>
      <c r="C4430" s="17" t="s">
        <v>11</v>
      </c>
      <c r="D4430" s="17" t="s">
        <v>12</v>
      </c>
      <c r="E4430" s="17" t="s">
        <v>13</v>
      </c>
      <c r="F4430" s="16" t="s">
        <v>13653</v>
      </c>
    </row>
    <row r="4431" spans="1:6" x14ac:dyDescent="0.25">
      <c r="A4431" s="16" t="s">
        <v>13654</v>
      </c>
      <c r="B4431" s="17" t="s">
        <v>13655</v>
      </c>
      <c r="C4431" s="17" t="s">
        <v>11</v>
      </c>
      <c r="D4431" s="17" t="s">
        <v>32</v>
      </c>
      <c r="E4431" s="17" t="s">
        <v>20</v>
      </c>
      <c r="F4431" s="16" t="s">
        <v>13656</v>
      </c>
    </row>
    <row r="4432" spans="1:6" x14ac:dyDescent="0.25">
      <c r="A4432" s="16" t="s">
        <v>13657</v>
      </c>
      <c r="B4432" s="17" t="s">
        <v>13658</v>
      </c>
      <c r="C4432" s="17" t="s">
        <v>11</v>
      </c>
      <c r="D4432" s="17" t="s">
        <v>12</v>
      </c>
      <c r="E4432" s="17" t="s">
        <v>13</v>
      </c>
      <c r="F4432" s="16" t="s">
        <v>13659</v>
      </c>
    </row>
    <row r="4433" spans="1:6" x14ac:dyDescent="0.25">
      <c r="A4433" s="16" t="s">
        <v>13660</v>
      </c>
      <c r="B4433" s="17" t="s">
        <v>13661</v>
      </c>
      <c r="C4433" s="17" t="s">
        <v>11</v>
      </c>
      <c r="D4433" s="17" t="s">
        <v>12</v>
      </c>
      <c r="E4433" s="17" t="s">
        <v>13</v>
      </c>
      <c r="F4433" s="16" t="s">
        <v>13662</v>
      </c>
    </row>
    <row r="4434" spans="1:6" x14ac:dyDescent="0.25">
      <c r="A4434" s="16" t="s">
        <v>13663</v>
      </c>
      <c r="B4434" s="17" t="s">
        <v>13664</v>
      </c>
      <c r="C4434" s="17" t="s">
        <v>11</v>
      </c>
      <c r="D4434" s="17" t="s">
        <v>12</v>
      </c>
      <c r="E4434" s="17" t="s">
        <v>13</v>
      </c>
      <c r="F4434" s="16" t="s">
        <v>13665</v>
      </c>
    </row>
    <row r="4435" spans="1:6" x14ac:dyDescent="0.25">
      <c r="A4435" s="16" t="s">
        <v>13666</v>
      </c>
      <c r="B4435" s="17" t="s">
        <v>13667</v>
      </c>
      <c r="C4435" s="17" t="s">
        <v>11</v>
      </c>
      <c r="D4435" s="17" t="s">
        <v>12</v>
      </c>
      <c r="E4435" s="17" t="s">
        <v>13</v>
      </c>
      <c r="F4435" s="16" t="s">
        <v>13668</v>
      </c>
    </row>
    <row r="4436" spans="1:6" x14ac:dyDescent="0.25">
      <c r="A4436" s="16" t="s">
        <v>13669</v>
      </c>
      <c r="B4436" s="17" t="s">
        <v>13670</v>
      </c>
      <c r="C4436" s="17" t="s">
        <v>11</v>
      </c>
      <c r="D4436" s="17" t="s">
        <v>250</v>
      </c>
      <c r="E4436" s="17" t="s">
        <v>20</v>
      </c>
      <c r="F4436" s="16" t="s">
        <v>13671</v>
      </c>
    </row>
    <row r="4437" spans="1:6" x14ac:dyDescent="0.25">
      <c r="A4437" s="16" t="s">
        <v>13672</v>
      </c>
      <c r="B4437" s="17" t="s">
        <v>13673</v>
      </c>
      <c r="C4437" s="17" t="s">
        <v>11</v>
      </c>
      <c r="D4437" s="17" t="s">
        <v>80</v>
      </c>
      <c r="E4437" s="17" t="s">
        <v>20</v>
      </c>
      <c r="F4437" s="16" t="s">
        <v>13674</v>
      </c>
    </row>
    <row r="4438" spans="1:6" x14ac:dyDescent="0.25">
      <c r="A4438" s="16" t="s">
        <v>13675</v>
      </c>
      <c r="B4438" s="17" t="s">
        <v>13676</v>
      </c>
      <c r="C4438" s="17" t="s">
        <v>11</v>
      </c>
      <c r="D4438" s="17" t="s">
        <v>12</v>
      </c>
      <c r="E4438" s="17" t="s">
        <v>13</v>
      </c>
      <c r="F4438" s="16" t="s">
        <v>13677</v>
      </c>
    </row>
    <row r="4439" spans="1:6" x14ac:dyDescent="0.25">
      <c r="A4439" s="16" t="s">
        <v>13678</v>
      </c>
      <c r="B4439" s="17" t="s">
        <v>13679</v>
      </c>
      <c r="C4439" s="17" t="s">
        <v>11</v>
      </c>
      <c r="D4439" s="17" t="s">
        <v>12</v>
      </c>
      <c r="E4439" s="17" t="s">
        <v>13</v>
      </c>
      <c r="F4439" s="16" t="s">
        <v>13680</v>
      </c>
    </row>
    <row r="4440" spans="1:6" x14ac:dyDescent="0.25">
      <c r="A4440" s="16" t="s">
        <v>13681</v>
      </c>
      <c r="B4440" s="17" t="s">
        <v>13682</v>
      </c>
      <c r="C4440" s="17" t="s">
        <v>11</v>
      </c>
      <c r="D4440" s="17" t="s">
        <v>12</v>
      </c>
      <c r="E4440" s="17" t="s">
        <v>13</v>
      </c>
      <c r="F4440" s="16" t="s">
        <v>13683</v>
      </c>
    </row>
    <row r="4441" spans="1:6" x14ac:dyDescent="0.25">
      <c r="A4441" s="16" t="s">
        <v>13684</v>
      </c>
      <c r="B4441" s="17" t="s">
        <v>13685</v>
      </c>
      <c r="C4441" s="17" t="s">
        <v>11</v>
      </c>
      <c r="D4441" s="17" t="s">
        <v>32</v>
      </c>
      <c r="E4441" s="17" t="s">
        <v>20</v>
      </c>
      <c r="F4441" s="16" t="s">
        <v>13686</v>
      </c>
    </row>
    <row r="4442" spans="1:6" x14ac:dyDescent="0.25">
      <c r="A4442" s="16" t="s">
        <v>13687</v>
      </c>
      <c r="B4442" s="17" t="s">
        <v>13688</v>
      </c>
      <c r="C4442" s="17" t="s">
        <v>11</v>
      </c>
      <c r="D4442" s="17" t="s">
        <v>32</v>
      </c>
      <c r="E4442" s="17" t="s">
        <v>20</v>
      </c>
      <c r="F4442" s="16" t="s">
        <v>13689</v>
      </c>
    </row>
    <row r="4443" spans="1:6" x14ac:dyDescent="0.25">
      <c r="A4443" s="16" t="s">
        <v>13690</v>
      </c>
      <c r="B4443" s="17" t="s">
        <v>13691</v>
      </c>
      <c r="C4443" s="17" t="s">
        <v>11</v>
      </c>
      <c r="D4443" s="17" t="s">
        <v>12</v>
      </c>
      <c r="E4443" s="17" t="s">
        <v>13</v>
      </c>
      <c r="F4443" s="16" t="s">
        <v>13692</v>
      </c>
    </row>
    <row r="4444" spans="1:6" x14ac:dyDescent="0.25">
      <c r="A4444" s="16" t="s">
        <v>13693</v>
      </c>
      <c r="B4444" s="17" t="s">
        <v>13694</v>
      </c>
      <c r="C4444" s="17" t="s">
        <v>11</v>
      </c>
      <c r="D4444" s="17" t="s">
        <v>148</v>
      </c>
      <c r="E4444" s="17" t="s">
        <v>20</v>
      </c>
      <c r="F4444" s="16" t="s">
        <v>13695</v>
      </c>
    </row>
    <row r="4445" spans="1:6" x14ac:dyDescent="0.25">
      <c r="A4445" s="16" t="s">
        <v>13696</v>
      </c>
      <c r="B4445" s="17" t="s">
        <v>13697</v>
      </c>
      <c r="C4445" s="17" t="s">
        <v>11</v>
      </c>
      <c r="D4445" s="17" t="s">
        <v>12</v>
      </c>
      <c r="E4445" s="17" t="s">
        <v>13</v>
      </c>
      <c r="F4445" s="16" t="s">
        <v>13698</v>
      </c>
    </row>
    <row r="4446" spans="1:6" x14ac:dyDescent="0.25">
      <c r="A4446" s="16" t="s">
        <v>13699</v>
      </c>
      <c r="B4446" s="17" t="s">
        <v>13700</v>
      </c>
      <c r="C4446" s="17" t="s">
        <v>11</v>
      </c>
      <c r="D4446" s="17" t="s">
        <v>32</v>
      </c>
      <c r="E4446" s="17" t="s">
        <v>20</v>
      </c>
      <c r="F4446" s="16" t="s">
        <v>13701</v>
      </c>
    </row>
    <row r="4447" spans="1:6" x14ac:dyDescent="0.25">
      <c r="A4447" s="16" t="s">
        <v>13702</v>
      </c>
      <c r="B4447" s="17" t="s">
        <v>13703</v>
      </c>
      <c r="C4447" s="17" t="s">
        <v>11</v>
      </c>
      <c r="D4447" s="17" t="s">
        <v>32</v>
      </c>
      <c r="E4447" s="17" t="s">
        <v>20</v>
      </c>
      <c r="F4447" s="16" t="s">
        <v>13704</v>
      </c>
    </row>
    <row r="4448" spans="1:6" x14ac:dyDescent="0.25">
      <c r="A4448" s="16" t="s">
        <v>13705</v>
      </c>
      <c r="B4448" s="17" t="s">
        <v>13706</v>
      </c>
      <c r="C4448" s="17" t="s">
        <v>11</v>
      </c>
      <c r="D4448" s="17" t="s">
        <v>32</v>
      </c>
      <c r="E4448" s="17" t="s">
        <v>20</v>
      </c>
      <c r="F4448" s="16" t="s">
        <v>13707</v>
      </c>
    </row>
    <row r="4449" spans="1:6" x14ac:dyDescent="0.25">
      <c r="A4449" s="16" t="s">
        <v>13708</v>
      </c>
      <c r="B4449" s="17" t="s">
        <v>13709</v>
      </c>
      <c r="C4449" s="17" t="s">
        <v>11</v>
      </c>
      <c r="D4449" s="17" t="s">
        <v>32</v>
      </c>
      <c r="E4449" s="17" t="s">
        <v>20</v>
      </c>
      <c r="F4449" s="16" t="s">
        <v>13710</v>
      </c>
    </row>
    <row r="4450" spans="1:6" x14ac:dyDescent="0.25">
      <c r="A4450" s="16" t="s">
        <v>13711</v>
      </c>
      <c r="B4450" s="17" t="s">
        <v>13712</v>
      </c>
      <c r="C4450" s="17" t="s">
        <v>11</v>
      </c>
      <c r="D4450" s="17" t="s">
        <v>12</v>
      </c>
      <c r="E4450" s="17" t="s">
        <v>13</v>
      </c>
      <c r="F4450" s="16" t="s">
        <v>13713</v>
      </c>
    </row>
    <row r="4451" spans="1:6" x14ac:dyDescent="0.25">
      <c r="A4451" s="16" t="s">
        <v>13714</v>
      </c>
      <c r="B4451" s="17" t="s">
        <v>13715</v>
      </c>
      <c r="C4451" s="17" t="s">
        <v>11</v>
      </c>
      <c r="D4451" s="17" t="s">
        <v>32</v>
      </c>
      <c r="E4451" s="17" t="s">
        <v>20</v>
      </c>
      <c r="F4451" s="16" t="s">
        <v>13716</v>
      </c>
    </row>
    <row r="4452" spans="1:6" x14ac:dyDescent="0.25">
      <c r="A4452" s="16" t="s">
        <v>13717</v>
      </c>
      <c r="B4452" s="17" t="s">
        <v>13718</v>
      </c>
      <c r="C4452" s="17" t="s">
        <v>11</v>
      </c>
      <c r="D4452" s="17" t="s">
        <v>12</v>
      </c>
      <c r="E4452" s="17" t="s">
        <v>13</v>
      </c>
      <c r="F4452" s="16" t="s">
        <v>13719</v>
      </c>
    </row>
    <row r="4453" spans="1:6" x14ac:dyDescent="0.25">
      <c r="A4453" s="16" t="s">
        <v>13720</v>
      </c>
      <c r="B4453" s="17" t="s">
        <v>13721</v>
      </c>
      <c r="C4453" s="17" t="s">
        <v>11</v>
      </c>
      <c r="D4453" s="17" t="s">
        <v>12</v>
      </c>
      <c r="E4453" s="17" t="s">
        <v>13</v>
      </c>
      <c r="F4453" s="16" t="s">
        <v>13722</v>
      </c>
    </row>
    <row r="4454" spans="1:6" x14ac:dyDescent="0.25">
      <c r="A4454" s="16" t="s">
        <v>13723</v>
      </c>
      <c r="B4454" s="17" t="s">
        <v>13724</v>
      </c>
      <c r="C4454" s="17" t="s">
        <v>11</v>
      </c>
      <c r="D4454" s="17" t="s">
        <v>32</v>
      </c>
      <c r="E4454" s="17" t="s">
        <v>20</v>
      </c>
      <c r="F4454" s="16" t="s">
        <v>13725</v>
      </c>
    </row>
    <row r="4455" spans="1:6" x14ac:dyDescent="0.25">
      <c r="A4455" s="16" t="s">
        <v>13726</v>
      </c>
      <c r="B4455" s="17" t="s">
        <v>13727</v>
      </c>
      <c r="C4455" s="17" t="s">
        <v>11</v>
      </c>
      <c r="D4455" s="17" t="s">
        <v>19</v>
      </c>
      <c r="E4455" s="17" t="s">
        <v>20</v>
      </c>
      <c r="F4455" s="16" t="s">
        <v>13728</v>
      </c>
    </row>
    <row r="4456" spans="1:6" x14ac:dyDescent="0.25">
      <c r="A4456" s="16" t="s">
        <v>13729</v>
      </c>
      <c r="B4456" s="17" t="s">
        <v>13730</v>
      </c>
      <c r="C4456" s="17" t="s">
        <v>11</v>
      </c>
      <c r="D4456" s="17" t="s">
        <v>12</v>
      </c>
      <c r="E4456" s="17" t="s">
        <v>13</v>
      </c>
      <c r="F4456" s="16" t="s">
        <v>13731</v>
      </c>
    </row>
    <row r="4457" spans="1:6" x14ac:dyDescent="0.25">
      <c r="A4457" s="16" t="s">
        <v>13732</v>
      </c>
      <c r="B4457" s="17" t="s">
        <v>13733</v>
      </c>
      <c r="C4457" s="17" t="s">
        <v>11</v>
      </c>
      <c r="D4457" s="17" t="s">
        <v>12</v>
      </c>
      <c r="E4457" s="17" t="s">
        <v>13</v>
      </c>
      <c r="F4457" s="16" t="s">
        <v>13734</v>
      </c>
    </row>
    <row r="4458" spans="1:6" x14ac:dyDescent="0.25">
      <c r="A4458" s="16" t="s">
        <v>13735</v>
      </c>
      <c r="B4458" s="17" t="s">
        <v>13736</v>
      </c>
      <c r="C4458" s="17" t="s">
        <v>11</v>
      </c>
      <c r="D4458" s="17" t="s">
        <v>12</v>
      </c>
      <c r="E4458" s="17" t="s">
        <v>13</v>
      </c>
      <c r="F4458" s="16" t="s">
        <v>13737</v>
      </c>
    </row>
    <row r="4459" spans="1:6" x14ac:dyDescent="0.25">
      <c r="A4459" s="16" t="s">
        <v>13738</v>
      </c>
      <c r="B4459" s="17" t="s">
        <v>13739</v>
      </c>
      <c r="C4459" s="17" t="s">
        <v>11</v>
      </c>
      <c r="D4459" s="17" t="s">
        <v>12</v>
      </c>
      <c r="E4459" s="17" t="s">
        <v>13</v>
      </c>
      <c r="F4459" s="16" t="s">
        <v>13740</v>
      </c>
    </row>
    <row r="4460" spans="1:6" x14ac:dyDescent="0.25">
      <c r="A4460" s="16" t="s">
        <v>13741</v>
      </c>
      <c r="B4460" s="17" t="s">
        <v>13742</v>
      </c>
      <c r="C4460" s="17" t="s">
        <v>11</v>
      </c>
      <c r="D4460" s="17" t="s">
        <v>32</v>
      </c>
      <c r="E4460" s="17" t="s">
        <v>20</v>
      </c>
      <c r="F4460" s="16" t="s">
        <v>13743</v>
      </c>
    </row>
    <row r="4461" spans="1:6" x14ac:dyDescent="0.25">
      <c r="A4461" s="16" t="s">
        <v>13744</v>
      </c>
      <c r="B4461" s="17" t="s">
        <v>13745</v>
      </c>
      <c r="C4461" s="17" t="s">
        <v>11</v>
      </c>
      <c r="D4461" s="17" t="s">
        <v>12</v>
      </c>
      <c r="E4461" s="17" t="s">
        <v>13</v>
      </c>
      <c r="F4461" s="16" t="s">
        <v>13746</v>
      </c>
    </row>
    <row r="4462" spans="1:6" x14ac:dyDescent="0.25">
      <c r="A4462" s="16" t="s">
        <v>13747</v>
      </c>
      <c r="B4462" s="17" t="s">
        <v>13748</v>
      </c>
      <c r="C4462" s="17" t="s">
        <v>11</v>
      </c>
      <c r="D4462" s="17" t="s">
        <v>12</v>
      </c>
      <c r="E4462" s="17" t="s">
        <v>13</v>
      </c>
      <c r="F4462" s="16" t="s">
        <v>13749</v>
      </c>
    </row>
    <row r="4463" spans="1:6" x14ac:dyDescent="0.25">
      <c r="A4463" s="16" t="s">
        <v>13750</v>
      </c>
      <c r="B4463" s="17" t="s">
        <v>13751</v>
      </c>
      <c r="C4463" s="17" t="s">
        <v>11</v>
      </c>
      <c r="D4463" s="17" t="s">
        <v>12</v>
      </c>
      <c r="E4463" s="17" t="s">
        <v>13</v>
      </c>
      <c r="F4463" s="16" t="s">
        <v>13752</v>
      </c>
    </row>
    <row r="4464" spans="1:6" x14ac:dyDescent="0.25">
      <c r="A4464" s="16" t="s">
        <v>13753</v>
      </c>
      <c r="B4464" s="17" t="s">
        <v>13754</v>
      </c>
      <c r="C4464" s="17" t="s">
        <v>11</v>
      </c>
      <c r="D4464" s="17" t="s">
        <v>74</v>
      </c>
      <c r="E4464" s="17" t="s">
        <v>20</v>
      </c>
      <c r="F4464" s="16" t="s">
        <v>13755</v>
      </c>
    </row>
    <row r="4465" spans="1:6" x14ac:dyDescent="0.25">
      <c r="A4465" s="16" t="s">
        <v>13756</v>
      </c>
      <c r="B4465" s="17" t="s">
        <v>13757</v>
      </c>
      <c r="C4465" s="17" t="s">
        <v>11</v>
      </c>
      <c r="D4465" s="17" t="s">
        <v>148</v>
      </c>
      <c r="E4465" s="17" t="s">
        <v>20</v>
      </c>
      <c r="F4465" s="16" t="s">
        <v>13758</v>
      </c>
    </row>
    <row r="4466" spans="1:6" x14ac:dyDescent="0.25">
      <c r="A4466" s="16" t="s">
        <v>13759</v>
      </c>
      <c r="B4466" s="17" t="s">
        <v>13760</v>
      </c>
      <c r="C4466" s="17" t="s">
        <v>11</v>
      </c>
      <c r="D4466" s="17" t="s">
        <v>32</v>
      </c>
      <c r="E4466" s="17" t="s">
        <v>20</v>
      </c>
      <c r="F4466" s="16" t="s">
        <v>13761</v>
      </c>
    </row>
    <row r="4467" spans="1:6" x14ac:dyDescent="0.25">
      <c r="A4467" s="16" t="s">
        <v>13762</v>
      </c>
      <c r="B4467" s="17" t="s">
        <v>13763</v>
      </c>
      <c r="C4467" s="17" t="s">
        <v>11</v>
      </c>
      <c r="D4467" s="17" t="s">
        <v>12</v>
      </c>
      <c r="E4467" s="17" t="s">
        <v>13</v>
      </c>
      <c r="F4467" s="16" t="s">
        <v>13764</v>
      </c>
    </row>
    <row r="4468" spans="1:6" x14ac:dyDescent="0.25">
      <c r="A4468" s="16" t="s">
        <v>13765</v>
      </c>
      <c r="B4468" s="17" t="s">
        <v>13766</v>
      </c>
      <c r="C4468" s="17" t="s">
        <v>11</v>
      </c>
      <c r="D4468" s="17" t="s">
        <v>74</v>
      </c>
      <c r="E4468" s="17" t="s">
        <v>20</v>
      </c>
      <c r="F4468" s="16" t="s">
        <v>13767</v>
      </c>
    </row>
    <row r="4469" spans="1:6" x14ac:dyDescent="0.25">
      <c r="A4469" s="16" t="s">
        <v>13768</v>
      </c>
      <c r="B4469" s="17" t="s">
        <v>13769</v>
      </c>
      <c r="C4469" s="17" t="s">
        <v>11</v>
      </c>
      <c r="D4469" s="17" t="s">
        <v>12</v>
      </c>
      <c r="E4469" s="17" t="s">
        <v>13</v>
      </c>
      <c r="F4469" s="16" t="s">
        <v>13770</v>
      </c>
    </row>
    <row r="4470" spans="1:6" x14ac:dyDescent="0.25">
      <c r="A4470" s="16" t="s">
        <v>13771</v>
      </c>
      <c r="B4470" s="17" t="s">
        <v>13772</v>
      </c>
      <c r="C4470" s="17" t="s">
        <v>11</v>
      </c>
      <c r="D4470" s="17" t="s">
        <v>83</v>
      </c>
      <c r="E4470" s="17" t="s">
        <v>20</v>
      </c>
      <c r="F4470" s="16" t="s">
        <v>13773</v>
      </c>
    </row>
    <row r="4471" spans="1:6" x14ac:dyDescent="0.25">
      <c r="A4471" s="16" t="s">
        <v>13774</v>
      </c>
      <c r="B4471" s="17" t="s">
        <v>13775</v>
      </c>
      <c r="C4471" s="17" t="s">
        <v>11</v>
      </c>
      <c r="D4471" s="17" t="s">
        <v>12</v>
      </c>
      <c r="E4471" s="17" t="s">
        <v>13</v>
      </c>
      <c r="F4471" s="16" t="s">
        <v>13776</v>
      </c>
    </row>
    <row r="4472" spans="1:6" x14ac:dyDescent="0.25">
      <c r="A4472" s="16" t="s">
        <v>13777</v>
      </c>
      <c r="B4472" s="17" t="s">
        <v>13778</v>
      </c>
      <c r="C4472" s="17" t="s">
        <v>11</v>
      </c>
      <c r="D4472" s="17" t="s">
        <v>12</v>
      </c>
      <c r="E4472" s="17" t="s">
        <v>13</v>
      </c>
      <c r="F4472" s="16" t="s">
        <v>13779</v>
      </c>
    </row>
    <row r="4473" spans="1:6" x14ac:dyDescent="0.25">
      <c r="A4473" s="16" t="s">
        <v>13780</v>
      </c>
      <c r="B4473" s="17" t="s">
        <v>13781</v>
      </c>
      <c r="C4473" s="17" t="s">
        <v>11</v>
      </c>
      <c r="D4473" s="17" t="s">
        <v>68</v>
      </c>
      <c r="E4473" s="17" t="s">
        <v>20</v>
      </c>
      <c r="F4473" s="16" t="s">
        <v>13782</v>
      </c>
    </row>
    <row r="4474" spans="1:6" x14ac:dyDescent="0.25">
      <c r="A4474" s="16" t="s">
        <v>13783</v>
      </c>
      <c r="B4474" s="17" t="s">
        <v>13784</v>
      </c>
      <c r="C4474" s="17" t="s">
        <v>11</v>
      </c>
      <c r="D4474" s="17" t="s">
        <v>12</v>
      </c>
      <c r="E4474" s="17" t="s">
        <v>13</v>
      </c>
      <c r="F4474" s="16" t="s">
        <v>13785</v>
      </c>
    </row>
    <row r="4475" spans="1:6" x14ac:dyDescent="0.25">
      <c r="A4475" s="16" t="s">
        <v>13786</v>
      </c>
      <c r="B4475" s="17" t="s">
        <v>13787</v>
      </c>
      <c r="C4475" s="17" t="s">
        <v>11</v>
      </c>
      <c r="D4475" s="17" t="s">
        <v>26</v>
      </c>
      <c r="E4475" s="17" t="s">
        <v>20</v>
      </c>
      <c r="F4475" s="16" t="s">
        <v>13788</v>
      </c>
    </row>
    <row r="4476" spans="1:6" x14ac:dyDescent="0.25">
      <c r="A4476" s="16" t="s">
        <v>13789</v>
      </c>
      <c r="B4476" s="17" t="s">
        <v>13790</v>
      </c>
      <c r="C4476" s="17" t="s">
        <v>11</v>
      </c>
      <c r="D4476" s="17" t="s">
        <v>12</v>
      </c>
      <c r="E4476" s="17" t="s">
        <v>13</v>
      </c>
      <c r="F4476" s="16" t="s">
        <v>13791</v>
      </c>
    </row>
    <row r="4477" spans="1:6" x14ac:dyDescent="0.25">
      <c r="A4477" s="16" t="s">
        <v>13792</v>
      </c>
      <c r="B4477" s="17" t="s">
        <v>13793</v>
      </c>
      <c r="C4477" s="17" t="s">
        <v>11</v>
      </c>
      <c r="D4477" s="17" t="s">
        <v>186</v>
      </c>
      <c r="E4477" s="17" t="s">
        <v>20</v>
      </c>
      <c r="F4477" s="16" t="s">
        <v>13794</v>
      </c>
    </row>
    <row r="4478" spans="1:6" x14ac:dyDescent="0.25">
      <c r="A4478" s="16" t="s">
        <v>13795</v>
      </c>
      <c r="B4478" s="17" t="s">
        <v>13796</v>
      </c>
      <c r="C4478" s="17" t="s">
        <v>11</v>
      </c>
      <c r="D4478" s="17" t="s">
        <v>12</v>
      </c>
      <c r="E4478" s="17" t="s">
        <v>13</v>
      </c>
      <c r="F4478" s="16" t="s">
        <v>13797</v>
      </c>
    </row>
    <row r="4479" spans="1:6" x14ac:dyDescent="0.25">
      <c r="A4479" s="16" t="s">
        <v>13798</v>
      </c>
      <c r="B4479" s="17" t="s">
        <v>13799</v>
      </c>
      <c r="C4479" s="17" t="s">
        <v>11</v>
      </c>
      <c r="D4479" s="17" t="s">
        <v>12</v>
      </c>
      <c r="E4479" s="17" t="s">
        <v>13</v>
      </c>
      <c r="F4479" s="16" t="s">
        <v>13800</v>
      </c>
    </row>
    <row r="4480" spans="1:6" x14ac:dyDescent="0.25">
      <c r="A4480" s="16" t="s">
        <v>13801</v>
      </c>
      <c r="B4480" s="17" t="s">
        <v>13802</v>
      </c>
      <c r="C4480" s="17" t="s">
        <v>11</v>
      </c>
      <c r="D4480" s="17" t="s">
        <v>12</v>
      </c>
      <c r="E4480" s="17" t="s">
        <v>13</v>
      </c>
      <c r="F4480" s="16" t="s">
        <v>13803</v>
      </c>
    </row>
    <row r="4481" spans="1:6" x14ac:dyDescent="0.25">
      <c r="A4481" s="16" t="s">
        <v>13804</v>
      </c>
      <c r="B4481" s="17" t="s">
        <v>13805</v>
      </c>
      <c r="C4481" s="17" t="s">
        <v>11</v>
      </c>
      <c r="D4481" s="17" t="s">
        <v>12</v>
      </c>
      <c r="E4481" s="17" t="s">
        <v>13</v>
      </c>
      <c r="F4481" s="16" t="s">
        <v>13806</v>
      </c>
    </row>
    <row r="4482" spans="1:6" x14ac:dyDescent="0.25">
      <c r="A4482" s="16" t="s">
        <v>13807</v>
      </c>
      <c r="B4482" s="17" t="s">
        <v>13808</v>
      </c>
      <c r="C4482" s="17" t="s">
        <v>11</v>
      </c>
      <c r="D4482" s="17" t="s">
        <v>12</v>
      </c>
      <c r="E4482" s="17" t="s">
        <v>13</v>
      </c>
      <c r="F4482" s="16" t="s">
        <v>13809</v>
      </c>
    </row>
    <row r="4483" spans="1:6" x14ac:dyDescent="0.25">
      <c r="A4483" s="16" t="s">
        <v>13810</v>
      </c>
      <c r="B4483" s="17" t="s">
        <v>13811</v>
      </c>
      <c r="C4483" s="17" t="s">
        <v>11</v>
      </c>
      <c r="D4483" s="17" t="s">
        <v>12</v>
      </c>
      <c r="E4483" s="17" t="s">
        <v>13</v>
      </c>
      <c r="F4483" s="16" t="s">
        <v>13812</v>
      </c>
    </row>
    <row r="4484" spans="1:6" x14ac:dyDescent="0.25">
      <c r="A4484" s="16" t="s">
        <v>13813</v>
      </c>
      <c r="B4484" s="17" t="s">
        <v>13814</v>
      </c>
      <c r="C4484" s="17" t="s">
        <v>11</v>
      </c>
      <c r="D4484" s="17" t="s">
        <v>32</v>
      </c>
      <c r="E4484" s="17" t="s">
        <v>20</v>
      </c>
      <c r="F4484" s="16" t="s">
        <v>13815</v>
      </c>
    </row>
    <row r="4485" spans="1:6" x14ac:dyDescent="0.25">
      <c r="A4485" s="16" t="s">
        <v>13816</v>
      </c>
      <c r="B4485" s="17" t="s">
        <v>13817</v>
      </c>
      <c r="C4485" s="17" t="s">
        <v>11</v>
      </c>
      <c r="D4485" s="17" t="s">
        <v>32</v>
      </c>
      <c r="E4485" s="17" t="s">
        <v>20</v>
      </c>
      <c r="F4485" s="16" t="s">
        <v>13818</v>
      </c>
    </row>
    <row r="4486" spans="1:6" x14ac:dyDescent="0.25">
      <c r="A4486" s="16" t="s">
        <v>13819</v>
      </c>
      <c r="B4486" s="17" t="s">
        <v>13820</v>
      </c>
      <c r="C4486" s="17" t="s">
        <v>11</v>
      </c>
      <c r="D4486" s="17" t="s">
        <v>12</v>
      </c>
      <c r="E4486" s="17" t="s">
        <v>13</v>
      </c>
      <c r="F4486" s="16" t="s">
        <v>13821</v>
      </c>
    </row>
    <row r="4487" spans="1:6" x14ac:dyDescent="0.25">
      <c r="A4487" s="16" t="s">
        <v>13822</v>
      </c>
      <c r="B4487" s="17" t="s">
        <v>13823</v>
      </c>
      <c r="C4487" s="17" t="s">
        <v>11</v>
      </c>
      <c r="D4487" s="17" t="s">
        <v>12</v>
      </c>
      <c r="E4487" s="17" t="s">
        <v>13</v>
      </c>
      <c r="F4487" s="16" t="s">
        <v>13824</v>
      </c>
    </row>
    <row r="4488" spans="1:6" x14ac:dyDescent="0.25">
      <c r="A4488" s="16" t="s">
        <v>13825</v>
      </c>
      <c r="B4488" s="17" t="s">
        <v>13826</v>
      </c>
      <c r="C4488" s="17" t="s">
        <v>11</v>
      </c>
      <c r="D4488" s="17" t="s">
        <v>12</v>
      </c>
      <c r="E4488" s="17" t="s">
        <v>13</v>
      </c>
      <c r="F4488" s="16" t="s">
        <v>13827</v>
      </c>
    </row>
    <row r="4489" spans="1:6" x14ac:dyDescent="0.25">
      <c r="A4489" s="16" t="s">
        <v>13828</v>
      </c>
      <c r="B4489" s="17" t="s">
        <v>13829</v>
      </c>
      <c r="C4489" s="17" t="s">
        <v>11</v>
      </c>
      <c r="D4489" s="17" t="s">
        <v>68</v>
      </c>
      <c r="E4489" s="17" t="s">
        <v>20</v>
      </c>
      <c r="F4489" s="16" t="s">
        <v>13830</v>
      </c>
    </row>
    <row r="4490" spans="1:6" x14ac:dyDescent="0.25">
      <c r="A4490" s="16" t="s">
        <v>13831</v>
      </c>
      <c r="B4490" s="17" t="s">
        <v>13832</v>
      </c>
      <c r="C4490" s="17" t="s">
        <v>11</v>
      </c>
      <c r="D4490" s="17" t="s">
        <v>12</v>
      </c>
      <c r="E4490" s="17" t="s">
        <v>13</v>
      </c>
      <c r="F4490" s="16" t="s">
        <v>13833</v>
      </c>
    </row>
    <row r="4491" spans="1:6" x14ac:dyDescent="0.25">
      <c r="A4491" s="16" t="s">
        <v>13834</v>
      </c>
      <c r="B4491" s="17" t="s">
        <v>13835</v>
      </c>
      <c r="C4491" s="17" t="s">
        <v>11</v>
      </c>
      <c r="D4491" s="17" t="s">
        <v>32</v>
      </c>
      <c r="E4491" s="17" t="s">
        <v>20</v>
      </c>
      <c r="F4491" s="16" t="s">
        <v>13836</v>
      </c>
    </row>
    <row r="4492" spans="1:6" x14ac:dyDescent="0.25">
      <c r="A4492" s="16" t="s">
        <v>13837</v>
      </c>
      <c r="B4492" s="17" t="s">
        <v>13838</v>
      </c>
      <c r="C4492" s="17" t="s">
        <v>11</v>
      </c>
      <c r="D4492" s="17" t="s">
        <v>83</v>
      </c>
      <c r="E4492" s="17" t="s">
        <v>20</v>
      </c>
      <c r="F4492" s="16" t="s">
        <v>13839</v>
      </c>
    </row>
    <row r="4493" spans="1:6" x14ac:dyDescent="0.25">
      <c r="A4493" s="16" t="s">
        <v>13840</v>
      </c>
      <c r="B4493" s="17" t="s">
        <v>13841</v>
      </c>
      <c r="C4493" s="17" t="s">
        <v>11</v>
      </c>
      <c r="D4493" s="17" t="s">
        <v>12</v>
      </c>
      <c r="E4493" s="17" t="s">
        <v>13</v>
      </c>
      <c r="F4493" s="16" t="s">
        <v>13842</v>
      </c>
    </row>
    <row r="4494" spans="1:6" x14ac:dyDescent="0.25">
      <c r="A4494" s="16" t="s">
        <v>13843</v>
      </c>
      <c r="B4494" s="17" t="s">
        <v>13844</v>
      </c>
      <c r="C4494" s="17" t="s">
        <v>11</v>
      </c>
      <c r="D4494" s="17" t="s">
        <v>811</v>
      </c>
      <c r="E4494" s="17" t="s">
        <v>20</v>
      </c>
      <c r="F4494" s="16" t="s">
        <v>13845</v>
      </c>
    </row>
    <row r="4495" spans="1:6" x14ac:dyDescent="0.25">
      <c r="A4495" s="16" t="s">
        <v>13846</v>
      </c>
      <c r="B4495" s="17" t="s">
        <v>13847</v>
      </c>
      <c r="C4495" s="17" t="s">
        <v>11</v>
      </c>
      <c r="D4495" s="17" t="s">
        <v>12</v>
      </c>
      <c r="E4495" s="17" t="s">
        <v>13</v>
      </c>
      <c r="F4495" s="16" t="s">
        <v>13848</v>
      </c>
    </row>
    <row r="4496" spans="1:6" x14ac:dyDescent="0.25">
      <c r="A4496" s="16" t="s">
        <v>13849</v>
      </c>
      <c r="B4496" s="17" t="s">
        <v>13850</v>
      </c>
      <c r="C4496" s="17" t="s">
        <v>11</v>
      </c>
      <c r="D4496" s="17" t="s">
        <v>32</v>
      </c>
      <c r="E4496" s="17" t="s">
        <v>20</v>
      </c>
      <c r="F4496" s="16" t="s">
        <v>13851</v>
      </c>
    </row>
    <row r="4497" spans="1:6" x14ac:dyDescent="0.25">
      <c r="A4497" s="16" t="s">
        <v>13852</v>
      </c>
      <c r="B4497" s="17" t="s">
        <v>13853</v>
      </c>
      <c r="C4497" s="17" t="s">
        <v>11</v>
      </c>
      <c r="D4497" s="17" t="s">
        <v>80</v>
      </c>
      <c r="E4497" s="17" t="s">
        <v>20</v>
      </c>
      <c r="F4497" s="16" t="s">
        <v>13854</v>
      </c>
    </row>
    <row r="4498" spans="1:6" x14ac:dyDescent="0.25">
      <c r="A4498" s="16" t="s">
        <v>13855</v>
      </c>
      <c r="B4498" s="17" t="s">
        <v>13856</v>
      </c>
      <c r="C4498" s="17" t="s">
        <v>11</v>
      </c>
      <c r="D4498" s="17" t="s">
        <v>182</v>
      </c>
      <c r="E4498" s="17" t="s">
        <v>20</v>
      </c>
      <c r="F4498" s="16" t="s">
        <v>13857</v>
      </c>
    </row>
    <row r="4499" spans="1:6" x14ac:dyDescent="0.25">
      <c r="A4499" s="16" t="s">
        <v>13858</v>
      </c>
      <c r="B4499" s="17" t="s">
        <v>13859</v>
      </c>
      <c r="C4499" s="17" t="s">
        <v>11</v>
      </c>
      <c r="D4499" s="17" t="s">
        <v>32</v>
      </c>
      <c r="E4499" s="17" t="s">
        <v>20</v>
      </c>
      <c r="F4499" s="16" t="s">
        <v>13860</v>
      </c>
    </row>
    <row r="4500" spans="1:6" x14ac:dyDescent="0.25">
      <c r="A4500" s="16" t="s">
        <v>13861</v>
      </c>
      <c r="B4500" s="17" t="s">
        <v>13862</v>
      </c>
      <c r="C4500" s="17" t="s">
        <v>11</v>
      </c>
      <c r="D4500" s="17" t="s">
        <v>12</v>
      </c>
      <c r="E4500" s="17" t="s">
        <v>13</v>
      </c>
      <c r="F4500" s="16" t="s">
        <v>13863</v>
      </c>
    </row>
    <row r="4501" spans="1:6" x14ac:dyDescent="0.25">
      <c r="A4501" s="16" t="s">
        <v>13864</v>
      </c>
      <c r="B4501" s="17" t="s">
        <v>13865</v>
      </c>
      <c r="C4501" s="17" t="s">
        <v>11</v>
      </c>
      <c r="D4501" s="17" t="s">
        <v>12</v>
      </c>
      <c r="E4501" s="17" t="s">
        <v>13</v>
      </c>
      <c r="F4501" s="16" t="s">
        <v>13866</v>
      </c>
    </row>
    <row r="4502" spans="1:6" x14ac:dyDescent="0.25">
      <c r="A4502" s="16" t="s">
        <v>13867</v>
      </c>
      <c r="B4502" s="17" t="s">
        <v>13868</v>
      </c>
      <c r="C4502" s="17" t="s">
        <v>11</v>
      </c>
      <c r="D4502" s="17" t="s">
        <v>32</v>
      </c>
      <c r="E4502" s="17" t="s">
        <v>20</v>
      </c>
      <c r="F4502" s="16" t="s">
        <v>13869</v>
      </c>
    </row>
    <row r="4503" spans="1:6" x14ac:dyDescent="0.25">
      <c r="A4503" s="16" t="s">
        <v>13870</v>
      </c>
      <c r="B4503" s="17" t="s">
        <v>13871</v>
      </c>
      <c r="C4503" s="17" t="s">
        <v>11</v>
      </c>
      <c r="D4503" s="17" t="s">
        <v>12</v>
      </c>
      <c r="E4503" s="17" t="s">
        <v>13</v>
      </c>
      <c r="F4503" s="16" t="s">
        <v>13872</v>
      </c>
    </row>
    <row r="4504" spans="1:6" x14ac:dyDescent="0.25">
      <c r="A4504" s="16" t="s">
        <v>13873</v>
      </c>
      <c r="B4504" s="17" t="s">
        <v>13874</v>
      </c>
      <c r="C4504" s="17" t="s">
        <v>11</v>
      </c>
      <c r="D4504" s="17" t="s">
        <v>12</v>
      </c>
      <c r="E4504" s="17" t="s">
        <v>13</v>
      </c>
      <c r="F4504" s="16" t="s">
        <v>13875</v>
      </c>
    </row>
    <row r="4505" spans="1:6" x14ac:dyDescent="0.25">
      <c r="A4505" s="16" t="s">
        <v>13876</v>
      </c>
      <c r="B4505" s="17" t="s">
        <v>13877</v>
      </c>
      <c r="C4505" s="17" t="s">
        <v>11</v>
      </c>
      <c r="D4505" s="17" t="s">
        <v>32</v>
      </c>
      <c r="E4505" s="17" t="s">
        <v>20</v>
      </c>
      <c r="F4505" s="16" t="s">
        <v>13878</v>
      </c>
    </row>
    <row r="4506" spans="1:6" x14ac:dyDescent="0.25">
      <c r="A4506" s="16" t="s">
        <v>13879</v>
      </c>
      <c r="B4506" s="17" t="s">
        <v>13880</v>
      </c>
      <c r="C4506" s="17" t="s">
        <v>11</v>
      </c>
      <c r="D4506" s="17" t="s">
        <v>59</v>
      </c>
      <c r="E4506" s="17" t="s">
        <v>13</v>
      </c>
      <c r="F4506" s="16" t="s">
        <v>13881</v>
      </c>
    </row>
    <row r="4507" spans="1:6" x14ac:dyDescent="0.25">
      <c r="A4507" s="16" t="s">
        <v>13882</v>
      </c>
      <c r="B4507" s="17" t="s">
        <v>13883</v>
      </c>
      <c r="C4507" s="17" t="s">
        <v>11</v>
      </c>
      <c r="D4507" s="17" t="s">
        <v>12</v>
      </c>
      <c r="E4507" s="17" t="s">
        <v>13</v>
      </c>
      <c r="F4507" s="16" t="s">
        <v>13884</v>
      </c>
    </row>
    <row r="4508" spans="1:6" x14ac:dyDescent="0.25">
      <c r="A4508" s="16" t="s">
        <v>13885</v>
      </c>
      <c r="B4508" s="17" t="s">
        <v>13886</v>
      </c>
      <c r="C4508" s="17" t="s">
        <v>11</v>
      </c>
      <c r="D4508" s="17" t="s">
        <v>32</v>
      </c>
      <c r="E4508" s="17" t="s">
        <v>20</v>
      </c>
      <c r="F4508" s="16" t="s">
        <v>13887</v>
      </c>
    </row>
    <row r="4509" spans="1:6" x14ac:dyDescent="0.25">
      <c r="A4509" s="16" t="s">
        <v>13888</v>
      </c>
      <c r="B4509" s="17" t="s">
        <v>13889</v>
      </c>
      <c r="C4509" s="17" t="s">
        <v>11</v>
      </c>
      <c r="D4509" s="17" t="s">
        <v>32</v>
      </c>
      <c r="E4509" s="17" t="s">
        <v>20</v>
      </c>
      <c r="F4509" s="16" t="s">
        <v>13890</v>
      </c>
    </row>
    <row r="4510" spans="1:6" x14ac:dyDescent="0.25">
      <c r="A4510" s="16" t="s">
        <v>13891</v>
      </c>
      <c r="B4510" s="17" t="s">
        <v>13892</v>
      </c>
      <c r="C4510" s="17" t="s">
        <v>11</v>
      </c>
      <c r="D4510" s="17" t="s">
        <v>250</v>
      </c>
      <c r="E4510" s="17" t="s">
        <v>20</v>
      </c>
      <c r="F4510" s="16" t="s">
        <v>13893</v>
      </c>
    </row>
    <row r="4511" spans="1:6" x14ac:dyDescent="0.25">
      <c r="A4511" s="16" t="s">
        <v>13894</v>
      </c>
      <c r="B4511" s="17" t="s">
        <v>13895</v>
      </c>
      <c r="C4511" s="17" t="s">
        <v>11</v>
      </c>
      <c r="D4511" s="17" t="s">
        <v>32</v>
      </c>
      <c r="E4511" s="17" t="s">
        <v>20</v>
      </c>
      <c r="F4511" s="16" t="s">
        <v>13896</v>
      </c>
    </row>
    <row r="4512" spans="1:6" x14ac:dyDescent="0.25">
      <c r="A4512" s="16" t="s">
        <v>13897</v>
      </c>
      <c r="B4512" s="17" t="s">
        <v>13898</v>
      </c>
      <c r="C4512" s="17" t="s">
        <v>11</v>
      </c>
      <c r="D4512" s="17" t="s">
        <v>12</v>
      </c>
      <c r="E4512" s="17" t="s">
        <v>13</v>
      </c>
      <c r="F4512" s="16" t="s">
        <v>13899</v>
      </c>
    </row>
    <row r="4513" spans="1:6" x14ac:dyDescent="0.25">
      <c r="A4513" s="16" t="s">
        <v>13900</v>
      </c>
      <c r="B4513" s="17" t="s">
        <v>13901</v>
      </c>
      <c r="C4513" s="17" t="s">
        <v>11</v>
      </c>
      <c r="D4513" s="17" t="s">
        <v>83</v>
      </c>
      <c r="E4513" s="17" t="s">
        <v>20</v>
      </c>
      <c r="F4513" s="16" t="s">
        <v>13902</v>
      </c>
    </row>
    <row r="4514" spans="1:6" x14ac:dyDescent="0.25">
      <c r="A4514" s="16" t="s">
        <v>13903</v>
      </c>
      <c r="B4514" s="17" t="s">
        <v>13904</v>
      </c>
      <c r="C4514" s="17" t="s">
        <v>11</v>
      </c>
      <c r="D4514" s="17" t="s">
        <v>32</v>
      </c>
      <c r="E4514" s="17" t="s">
        <v>20</v>
      </c>
      <c r="F4514" s="16" t="s">
        <v>13905</v>
      </c>
    </row>
    <row r="4515" spans="1:6" x14ac:dyDescent="0.25">
      <c r="A4515" s="16" t="s">
        <v>13906</v>
      </c>
      <c r="B4515" s="17" t="s">
        <v>13907</v>
      </c>
      <c r="C4515" s="17" t="s">
        <v>11</v>
      </c>
      <c r="D4515" s="17" t="s">
        <v>32</v>
      </c>
      <c r="E4515" s="17" t="s">
        <v>20</v>
      </c>
      <c r="F4515" s="16" t="s">
        <v>13908</v>
      </c>
    </row>
    <row r="4516" spans="1:6" x14ac:dyDescent="0.25">
      <c r="A4516" s="16" t="s">
        <v>13909</v>
      </c>
      <c r="B4516" s="17" t="s">
        <v>13910</v>
      </c>
      <c r="C4516" s="17" t="s">
        <v>11</v>
      </c>
      <c r="D4516" s="17" t="s">
        <v>32</v>
      </c>
      <c r="E4516" s="17" t="s">
        <v>20</v>
      </c>
      <c r="F4516" s="16" t="s">
        <v>13911</v>
      </c>
    </row>
    <row r="4517" spans="1:6" x14ac:dyDescent="0.25">
      <c r="A4517" s="16" t="s">
        <v>13912</v>
      </c>
      <c r="B4517" s="17" t="s">
        <v>13913</v>
      </c>
      <c r="C4517" s="17" t="s">
        <v>11</v>
      </c>
      <c r="D4517" s="17" t="s">
        <v>89</v>
      </c>
      <c r="E4517" s="17" t="s">
        <v>20</v>
      </c>
      <c r="F4517" s="16" t="s">
        <v>13914</v>
      </c>
    </row>
    <row r="4518" spans="1:6" x14ac:dyDescent="0.25">
      <c r="A4518" s="16" t="s">
        <v>13915</v>
      </c>
      <c r="B4518" s="17" t="s">
        <v>13916</v>
      </c>
      <c r="C4518" s="17" t="s">
        <v>11</v>
      </c>
      <c r="D4518" s="17" t="s">
        <v>32</v>
      </c>
      <c r="E4518" s="17" t="s">
        <v>20</v>
      </c>
      <c r="F4518" s="16" t="s">
        <v>13917</v>
      </c>
    </row>
    <row r="4519" spans="1:6" x14ac:dyDescent="0.25">
      <c r="A4519" s="16" t="s">
        <v>13918</v>
      </c>
      <c r="B4519" s="17" t="s">
        <v>13919</v>
      </c>
      <c r="C4519" s="17" t="s">
        <v>11</v>
      </c>
      <c r="D4519" s="17" t="s">
        <v>32</v>
      </c>
      <c r="E4519" s="17" t="s">
        <v>20</v>
      </c>
      <c r="F4519" s="16" t="s">
        <v>13920</v>
      </c>
    </row>
    <row r="4520" spans="1:6" x14ac:dyDescent="0.25">
      <c r="A4520" s="16" t="s">
        <v>13921</v>
      </c>
      <c r="B4520" s="17" t="s">
        <v>13922</v>
      </c>
      <c r="C4520" s="17" t="s">
        <v>11</v>
      </c>
      <c r="D4520" s="17" t="s">
        <v>83</v>
      </c>
      <c r="E4520" s="17" t="s">
        <v>20</v>
      </c>
      <c r="F4520" s="16" t="s">
        <v>13923</v>
      </c>
    </row>
    <row r="4521" spans="1:6" x14ac:dyDescent="0.25">
      <c r="A4521" s="16" t="s">
        <v>13924</v>
      </c>
      <c r="B4521" s="17" t="s">
        <v>13925</v>
      </c>
      <c r="C4521" s="17" t="s">
        <v>11</v>
      </c>
      <c r="D4521" s="17" t="s">
        <v>148</v>
      </c>
      <c r="E4521" s="17" t="s">
        <v>20</v>
      </c>
      <c r="F4521" s="16" t="s">
        <v>13926</v>
      </c>
    </row>
    <row r="4522" spans="1:6" x14ac:dyDescent="0.25">
      <c r="A4522" s="16" t="s">
        <v>13927</v>
      </c>
      <c r="B4522" s="17" t="s">
        <v>13928</v>
      </c>
      <c r="C4522" s="17" t="s">
        <v>11</v>
      </c>
      <c r="D4522" s="17" t="s">
        <v>32</v>
      </c>
      <c r="E4522" s="17" t="s">
        <v>20</v>
      </c>
      <c r="F4522" s="16" t="s">
        <v>13929</v>
      </c>
    </row>
    <row r="4523" spans="1:6" x14ac:dyDescent="0.25">
      <c r="A4523" s="16" t="s">
        <v>13930</v>
      </c>
      <c r="B4523" s="17" t="s">
        <v>13931</v>
      </c>
      <c r="C4523" s="17" t="s">
        <v>11</v>
      </c>
      <c r="D4523" s="17" t="s">
        <v>32</v>
      </c>
      <c r="E4523" s="17" t="s">
        <v>20</v>
      </c>
      <c r="F4523" s="16" t="s">
        <v>13932</v>
      </c>
    </row>
    <row r="4524" spans="1:6" x14ac:dyDescent="0.25">
      <c r="A4524" s="16" t="s">
        <v>13933</v>
      </c>
      <c r="B4524" s="17" t="s">
        <v>13934</v>
      </c>
      <c r="C4524" s="17" t="s">
        <v>11</v>
      </c>
      <c r="D4524" s="17" t="s">
        <v>250</v>
      </c>
      <c r="E4524" s="17" t="s">
        <v>20</v>
      </c>
      <c r="F4524" s="16" t="s">
        <v>13935</v>
      </c>
    </row>
    <row r="4525" spans="1:6" x14ac:dyDescent="0.25">
      <c r="A4525" s="16" t="s">
        <v>13936</v>
      </c>
      <c r="B4525" s="17" t="s">
        <v>13937</v>
      </c>
      <c r="C4525" s="17" t="s">
        <v>11</v>
      </c>
      <c r="D4525" s="17" t="s">
        <v>80</v>
      </c>
      <c r="E4525" s="17" t="s">
        <v>20</v>
      </c>
      <c r="F4525" s="16" t="s">
        <v>13938</v>
      </c>
    </row>
    <row r="4526" spans="1:6" x14ac:dyDescent="0.25">
      <c r="A4526" s="16" t="s">
        <v>13939</v>
      </c>
      <c r="B4526" s="17" t="s">
        <v>13940</v>
      </c>
      <c r="C4526" s="17" t="s">
        <v>11</v>
      </c>
      <c r="D4526" s="17" t="s">
        <v>74</v>
      </c>
      <c r="E4526" s="17" t="s">
        <v>20</v>
      </c>
      <c r="F4526" s="16" t="s">
        <v>13941</v>
      </c>
    </row>
    <row r="4527" spans="1:6" x14ac:dyDescent="0.25">
      <c r="A4527" s="16" t="s">
        <v>13942</v>
      </c>
      <c r="B4527" s="17" t="s">
        <v>13943</v>
      </c>
      <c r="C4527" s="17" t="s">
        <v>11</v>
      </c>
      <c r="D4527" s="17" t="s">
        <v>89</v>
      </c>
      <c r="E4527" s="17" t="s">
        <v>20</v>
      </c>
      <c r="F4527" s="16" t="s">
        <v>13944</v>
      </c>
    </row>
    <row r="4528" spans="1:6" x14ac:dyDescent="0.25">
      <c r="A4528" s="16" t="s">
        <v>13945</v>
      </c>
      <c r="B4528" s="17" t="s">
        <v>13946</v>
      </c>
      <c r="C4528" s="17" t="s">
        <v>11</v>
      </c>
      <c r="D4528" s="17" t="s">
        <v>32</v>
      </c>
      <c r="E4528" s="17" t="s">
        <v>20</v>
      </c>
      <c r="F4528" s="16" t="s">
        <v>13947</v>
      </c>
    </row>
    <row r="4529" spans="1:6" x14ac:dyDescent="0.25">
      <c r="A4529" s="16" t="s">
        <v>13948</v>
      </c>
      <c r="B4529" s="17" t="s">
        <v>13949</v>
      </c>
      <c r="C4529" s="17" t="s">
        <v>11</v>
      </c>
      <c r="D4529" s="17" t="s">
        <v>83</v>
      </c>
      <c r="E4529" s="17" t="s">
        <v>20</v>
      </c>
      <c r="F4529" s="16" t="s">
        <v>13950</v>
      </c>
    </row>
    <row r="4530" spans="1:6" x14ac:dyDescent="0.25">
      <c r="A4530" s="16" t="s">
        <v>13951</v>
      </c>
      <c r="B4530" s="17" t="s">
        <v>13952</v>
      </c>
      <c r="C4530" s="17" t="s">
        <v>11</v>
      </c>
      <c r="D4530" s="17" t="s">
        <v>32</v>
      </c>
      <c r="E4530" s="17" t="s">
        <v>20</v>
      </c>
      <c r="F4530" s="16" t="s">
        <v>13953</v>
      </c>
    </row>
    <row r="4531" spans="1:6" x14ac:dyDescent="0.25">
      <c r="A4531" s="16" t="s">
        <v>13954</v>
      </c>
      <c r="B4531" s="17" t="s">
        <v>13955</v>
      </c>
      <c r="C4531" s="17" t="s">
        <v>11</v>
      </c>
      <c r="D4531" s="17" t="s">
        <v>186</v>
      </c>
      <c r="E4531" s="17" t="s">
        <v>20</v>
      </c>
      <c r="F4531" s="16" t="s">
        <v>13956</v>
      </c>
    </row>
    <row r="4532" spans="1:6" x14ac:dyDescent="0.25">
      <c r="A4532" s="16" t="s">
        <v>13957</v>
      </c>
      <c r="B4532" s="17" t="s">
        <v>13958</v>
      </c>
      <c r="C4532" s="17" t="s">
        <v>11</v>
      </c>
      <c r="D4532" s="17" t="s">
        <v>74</v>
      </c>
      <c r="E4532" s="17" t="s">
        <v>20</v>
      </c>
      <c r="F4532" s="16" t="s">
        <v>13959</v>
      </c>
    </row>
    <row r="4533" spans="1:6" x14ac:dyDescent="0.25">
      <c r="A4533" s="16" t="s">
        <v>13960</v>
      </c>
      <c r="B4533" s="17" t="s">
        <v>13961</v>
      </c>
      <c r="C4533" s="17" t="s">
        <v>11</v>
      </c>
      <c r="D4533" s="17" t="s">
        <v>250</v>
      </c>
      <c r="E4533" s="17" t="s">
        <v>20</v>
      </c>
      <c r="F4533" s="16" t="s">
        <v>13962</v>
      </c>
    </row>
    <row r="4534" spans="1:6" x14ac:dyDescent="0.25">
      <c r="A4534" s="16" t="s">
        <v>13963</v>
      </c>
      <c r="B4534" s="17" t="s">
        <v>13964</v>
      </c>
      <c r="C4534" s="17" t="s">
        <v>11</v>
      </c>
      <c r="D4534" s="17" t="s">
        <v>32</v>
      </c>
      <c r="E4534" s="17" t="s">
        <v>20</v>
      </c>
      <c r="F4534" s="16" t="s">
        <v>13965</v>
      </c>
    </row>
    <row r="4535" spans="1:6" x14ac:dyDescent="0.25">
      <c r="A4535" s="16" t="s">
        <v>13966</v>
      </c>
      <c r="B4535" s="17" t="s">
        <v>13967</v>
      </c>
      <c r="C4535" s="17" t="s">
        <v>11</v>
      </c>
      <c r="D4535" s="17" t="s">
        <v>83</v>
      </c>
      <c r="E4535" s="17" t="s">
        <v>20</v>
      </c>
      <c r="F4535" s="16" t="s">
        <v>13968</v>
      </c>
    </row>
    <row r="4536" spans="1:6" x14ac:dyDescent="0.25">
      <c r="A4536" s="16" t="s">
        <v>13969</v>
      </c>
      <c r="B4536" s="17" t="s">
        <v>13970</v>
      </c>
      <c r="C4536" s="17" t="s">
        <v>11</v>
      </c>
      <c r="D4536" s="17" t="s">
        <v>83</v>
      </c>
      <c r="E4536" s="17" t="s">
        <v>20</v>
      </c>
      <c r="F4536" s="16" t="s">
        <v>13971</v>
      </c>
    </row>
    <row r="4537" spans="1:6" x14ac:dyDescent="0.25">
      <c r="A4537" s="16" t="s">
        <v>13972</v>
      </c>
      <c r="B4537" s="17" t="s">
        <v>13973</v>
      </c>
      <c r="C4537" s="17" t="s">
        <v>11</v>
      </c>
      <c r="D4537" s="17" t="s">
        <v>32</v>
      </c>
      <c r="E4537" s="17" t="s">
        <v>20</v>
      </c>
      <c r="F4537" s="16" t="s">
        <v>13974</v>
      </c>
    </row>
    <row r="4538" spans="1:6" x14ac:dyDescent="0.25">
      <c r="A4538" s="16" t="s">
        <v>13975</v>
      </c>
      <c r="B4538" s="17" t="s">
        <v>13976</v>
      </c>
      <c r="C4538" s="17" t="s">
        <v>11</v>
      </c>
      <c r="D4538" s="17" t="s">
        <v>83</v>
      </c>
      <c r="E4538" s="17" t="s">
        <v>20</v>
      </c>
      <c r="F4538" s="16" t="s">
        <v>13977</v>
      </c>
    </row>
    <row r="4539" spans="1:6" x14ac:dyDescent="0.25">
      <c r="A4539" s="16" t="s">
        <v>13978</v>
      </c>
      <c r="B4539" s="17" t="s">
        <v>13979</v>
      </c>
      <c r="C4539" s="17" t="s">
        <v>11</v>
      </c>
      <c r="D4539" s="17" t="s">
        <v>74</v>
      </c>
      <c r="E4539" s="17" t="s">
        <v>20</v>
      </c>
      <c r="F4539" s="16" t="s">
        <v>13980</v>
      </c>
    </row>
    <row r="4540" spans="1:6" x14ac:dyDescent="0.25">
      <c r="A4540" s="16" t="s">
        <v>13981</v>
      </c>
      <c r="B4540" s="17" t="s">
        <v>13982</v>
      </c>
      <c r="C4540" s="17" t="s">
        <v>11</v>
      </c>
      <c r="D4540" s="17" t="s">
        <v>32</v>
      </c>
      <c r="E4540" s="17" t="s">
        <v>20</v>
      </c>
      <c r="F4540" s="16" t="s">
        <v>13983</v>
      </c>
    </row>
    <row r="4541" spans="1:6" x14ac:dyDescent="0.25">
      <c r="A4541" s="16" t="s">
        <v>13984</v>
      </c>
      <c r="B4541" s="17" t="s">
        <v>13985</v>
      </c>
      <c r="C4541" s="17" t="s">
        <v>11</v>
      </c>
      <c r="D4541" s="17" t="s">
        <v>12</v>
      </c>
      <c r="E4541" s="17" t="s">
        <v>13</v>
      </c>
      <c r="F4541" s="16" t="s">
        <v>13986</v>
      </c>
    </row>
    <row r="4542" spans="1:6" x14ac:dyDescent="0.25">
      <c r="A4542" s="16" t="s">
        <v>13987</v>
      </c>
      <c r="B4542" s="17" t="s">
        <v>13988</v>
      </c>
      <c r="C4542" s="17" t="s">
        <v>11</v>
      </c>
      <c r="D4542" s="17" t="s">
        <v>80</v>
      </c>
      <c r="E4542" s="17" t="s">
        <v>20</v>
      </c>
      <c r="F4542" s="16" t="s">
        <v>13989</v>
      </c>
    </row>
    <row r="4543" spans="1:6" x14ac:dyDescent="0.25">
      <c r="A4543" s="16" t="s">
        <v>13990</v>
      </c>
      <c r="B4543" s="17" t="s">
        <v>13991</v>
      </c>
      <c r="C4543" s="17" t="s">
        <v>11</v>
      </c>
      <c r="D4543" s="17" t="s">
        <v>26</v>
      </c>
      <c r="E4543" s="17" t="s">
        <v>20</v>
      </c>
      <c r="F4543" s="16" t="s">
        <v>13992</v>
      </c>
    </row>
    <row r="4544" spans="1:6" x14ac:dyDescent="0.25">
      <c r="A4544" s="16" t="s">
        <v>13993</v>
      </c>
      <c r="B4544" s="17" t="s">
        <v>13994</v>
      </c>
      <c r="C4544" s="17" t="s">
        <v>11</v>
      </c>
      <c r="D4544" s="17" t="s">
        <v>148</v>
      </c>
      <c r="E4544" s="17" t="s">
        <v>20</v>
      </c>
      <c r="F4544" s="16" t="s">
        <v>13995</v>
      </c>
    </row>
    <row r="4545" spans="1:6" x14ac:dyDescent="0.25">
      <c r="A4545" s="16" t="s">
        <v>13996</v>
      </c>
      <c r="B4545" s="17" t="s">
        <v>13997</v>
      </c>
      <c r="C4545" s="17" t="s">
        <v>11</v>
      </c>
      <c r="D4545" s="17" t="s">
        <v>32</v>
      </c>
      <c r="E4545" s="17" t="s">
        <v>20</v>
      </c>
      <c r="F4545" s="16" t="s">
        <v>13998</v>
      </c>
    </row>
    <row r="4546" spans="1:6" x14ac:dyDescent="0.25">
      <c r="A4546" s="16" t="s">
        <v>13999</v>
      </c>
      <c r="B4546" s="17" t="s">
        <v>14000</v>
      </c>
      <c r="C4546" s="17" t="s">
        <v>11</v>
      </c>
      <c r="D4546" s="17" t="s">
        <v>32</v>
      </c>
      <c r="E4546" s="17" t="s">
        <v>20</v>
      </c>
      <c r="F4546" s="16" t="s">
        <v>14001</v>
      </c>
    </row>
    <row r="4547" spans="1:6" x14ac:dyDescent="0.25">
      <c r="A4547" s="16" t="s">
        <v>14002</v>
      </c>
      <c r="B4547" s="17" t="s">
        <v>14003</v>
      </c>
      <c r="C4547" s="17" t="s">
        <v>11</v>
      </c>
      <c r="D4547" s="17" t="s">
        <v>74</v>
      </c>
      <c r="E4547" s="17" t="s">
        <v>20</v>
      </c>
      <c r="F4547" s="16" t="s">
        <v>14004</v>
      </c>
    </row>
    <row r="4548" spans="1:6" x14ac:dyDescent="0.25">
      <c r="A4548" s="16" t="s">
        <v>14005</v>
      </c>
      <c r="B4548" s="17" t="s">
        <v>14006</v>
      </c>
      <c r="C4548" s="17" t="s">
        <v>11</v>
      </c>
      <c r="D4548" s="17" t="s">
        <v>233</v>
      </c>
      <c r="E4548" s="17" t="s">
        <v>20</v>
      </c>
      <c r="F4548" s="16" t="s">
        <v>14007</v>
      </c>
    </row>
    <row r="4549" spans="1:6" x14ac:dyDescent="0.25">
      <c r="A4549" s="16" t="s">
        <v>14008</v>
      </c>
      <c r="B4549" s="17" t="s">
        <v>14009</v>
      </c>
      <c r="C4549" s="17" t="s">
        <v>11</v>
      </c>
      <c r="D4549" s="17" t="s">
        <v>83</v>
      </c>
      <c r="E4549" s="17" t="s">
        <v>20</v>
      </c>
      <c r="F4549" s="16" t="s">
        <v>14010</v>
      </c>
    </row>
    <row r="4550" spans="1:6" x14ac:dyDescent="0.25">
      <c r="A4550" s="16" t="s">
        <v>14011</v>
      </c>
      <c r="B4550" s="17" t="s">
        <v>14012</v>
      </c>
      <c r="C4550" s="17" t="s">
        <v>11</v>
      </c>
      <c r="D4550" s="17" t="s">
        <v>26</v>
      </c>
      <c r="E4550" s="17" t="s">
        <v>20</v>
      </c>
      <c r="F4550" s="16" t="s">
        <v>14013</v>
      </c>
    </row>
    <row r="4551" spans="1:6" x14ac:dyDescent="0.25">
      <c r="A4551" s="16" t="s">
        <v>14014</v>
      </c>
      <c r="B4551" s="17" t="s">
        <v>14015</v>
      </c>
      <c r="C4551" s="17" t="s">
        <v>11</v>
      </c>
      <c r="D4551" s="17" t="s">
        <v>32</v>
      </c>
      <c r="E4551" s="17" t="s">
        <v>20</v>
      </c>
      <c r="F4551" s="16" t="s">
        <v>14016</v>
      </c>
    </row>
    <row r="4552" spans="1:6" x14ac:dyDescent="0.25">
      <c r="A4552" s="16" t="s">
        <v>14017</v>
      </c>
      <c r="B4552" s="17" t="s">
        <v>14018</v>
      </c>
      <c r="C4552" s="17" t="s">
        <v>11</v>
      </c>
      <c r="D4552" s="17" t="s">
        <v>83</v>
      </c>
      <c r="E4552" s="17" t="s">
        <v>20</v>
      </c>
      <c r="F4552" s="16" t="s">
        <v>14019</v>
      </c>
    </row>
    <row r="4553" spans="1:6" x14ac:dyDescent="0.25">
      <c r="A4553" s="16" t="s">
        <v>14020</v>
      </c>
      <c r="B4553" s="17" t="s">
        <v>14021</v>
      </c>
      <c r="C4553" s="17" t="s">
        <v>11</v>
      </c>
      <c r="D4553" s="17" t="s">
        <v>32</v>
      </c>
      <c r="E4553" s="17" t="s">
        <v>20</v>
      </c>
      <c r="F4553" s="16" t="s">
        <v>14022</v>
      </c>
    </row>
    <row r="4554" spans="1:6" x14ac:dyDescent="0.25">
      <c r="A4554" s="16" t="s">
        <v>14023</v>
      </c>
      <c r="B4554" s="17" t="s">
        <v>14024</v>
      </c>
      <c r="C4554" s="17" t="s">
        <v>11</v>
      </c>
      <c r="D4554" s="17" t="s">
        <v>83</v>
      </c>
      <c r="E4554" s="17" t="s">
        <v>20</v>
      </c>
      <c r="F4554" s="16" t="s">
        <v>14025</v>
      </c>
    </row>
    <row r="4555" spans="1:6" x14ac:dyDescent="0.25">
      <c r="A4555" s="16" t="s">
        <v>14026</v>
      </c>
      <c r="B4555" s="17" t="s">
        <v>14027</v>
      </c>
      <c r="C4555" s="17" t="s">
        <v>11</v>
      </c>
      <c r="D4555" s="17" t="s">
        <v>74</v>
      </c>
      <c r="E4555" s="17" t="s">
        <v>20</v>
      </c>
      <c r="F4555" s="16" t="s">
        <v>14028</v>
      </c>
    </row>
    <row r="4556" spans="1:6" x14ac:dyDescent="0.25">
      <c r="A4556" s="16" t="s">
        <v>14029</v>
      </c>
      <c r="B4556" s="17" t="s">
        <v>14030</v>
      </c>
      <c r="C4556" s="17" t="s">
        <v>11</v>
      </c>
      <c r="D4556" s="17" t="s">
        <v>32</v>
      </c>
      <c r="E4556" s="17" t="s">
        <v>20</v>
      </c>
      <c r="F4556" s="16" t="s">
        <v>14031</v>
      </c>
    </row>
    <row r="4557" spans="1:6" x14ac:dyDescent="0.25">
      <c r="A4557" s="16" t="s">
        <v>14032</v>
      </c>
      <c r="B4557" s="17" t="s">
        <v>14033</v>
      </c>
      <c r="C4557" s="17" t="s">
        <v>11</v>
      </c>
      <c r="D4557" s="17" t="s">
        <v>32</v>
      </c>
      <c r="E4557" s="17" t="s">
        <v>20</v>
      </c>
      <c r="F4557" s="16" t="s">
        <v>14034</v>
      </c>
    </row>
    <row r="4558" spans="1:6" x14ac:dyDescent="0.25">
      <c r="A4558" s="16" t="s">
        <v>14035</v>
      </c>
      <c r="B4558" s="17" t="s">
        <v>14036</v>
      </c>
      <c r="C4558" s="17" t="s">
        <v>11</v>
      </c>
      <c r="D4558" s="17" t="s">
        <v>32</v>
      </c>
      <c r="E4558" s="17" t="s">
        <v>20</v>
      </c>
      <c r="F4558" s="16" t="s">
        <v>14037</v>
      </c>
    </row>
    <row r="4559" spans="1:6" x14ac:dyDescent="0.25">
      <c r="A4559" s="16" t="s">
        <v>14038</v>
      </c>
      <c r="B4559" s="17" t="s">
        <v>14039</v>
      </c>
      <c r="C4559" s="17" t="s">
        <v>11</v>
      </c>
      <c r="D4559" s="17" t="s">
        <v>32</v>
      </c>
      <c r="E4559" s="17" t="s">
        <v>20</v>
      </c>
      <c r="F4559" s="16" t="s">
        <v>14040</v>
      </c>
    </row>
    <row r="4560" spans="1:6" x14ac:dyDescent="0.25">
      <c r="A4560" s="16" t="s">
        <v>14041</v>
      </c>
      <c r="B4560" s="17" t="s">
        <v>14042</v>
      </c>
      <c r="C4560" s="17" t="s">
        <v>11</v>
      </c>
      <c r="D4560" s="17" t="s">
        <v>26</v>
      </c>
      <c r="E4560" s="17" t="s">
        <v>20</v>
      </c>
      <c r="F4560" s="16" t="s">
        <v>14043</v>
      </c>
    </row>
    <row r="4561" spans="1:6" x14ac:dyDescent="0.25">
      <c r="A4561" s="16" t="s">
        <v>14044</v>
      </c>
      <c r="B4561" s="17" t="s">
        <v>14045</v>
      </c>
      <c r="C4561" s="17" t="s">
        <v>11</v>
      </c>
      <c r="D4561" s="17" t="s">
        <v>32</v>
      </c>
      <c r="E4561" s="17" t="s">
        <v>20</v>
      </c>
      <c r="F4561" s="16" t="s">
        <v>14046</v>
      </c>
    </row>
    <row r="4562" spans="1:6" x14ac:dyDescent="0.25">
      <c r="A4562" s="16" t="s">
        <v>14047</v>
      </c>
      <c r="B4562" s="17" t="s">
        <v>14048</v>
      </c>
      <c r="C4562" s="17" t="s">
        <v>11</v>
      </c>
      <c r="D4562" s="17" t="s">
        <v>89</v>
      </c>
      <c r="E4562" s="17" t="s">
        <v>20</v>
      </c>
      <c r="F4562" s="16" t="s">
        <v>14049</v>
      </c>
    </row>
    <row r="4563" spans="1:6" x14ac:dyDescent="0.25">
      <c r="A4563" s="16" t="s">
        <v>14050</v>
      </c>
      <c r="B4563" s="17" t="s">
        <v>14051</v>
      </c>
      <c r="C4563" s="17" t="s">
        <v>11</v>
      </c>
      <c r="D4563" s="17" t="s">
        <v>32</v>
      </c>
      <c r="E4563" s="17" t="s">
        <v>20</v>
      </c>
      <c r="F4563" s="16" t="s">
        <v>14052</v>
      </c>
    </row>
    <row r="4564" spans="1:6" x14ac:dyDescent="0.25">
      <c r="A4564" s="16" t="s">
        <v>14053</v>
      </c>
      <c r="B4564" s="17" t="s">
        <v>14054</v>
      </c>
      <c r="C4564" s="17" t="s">
        <v>11</v>
      </c>
      <c r="D4564" s="17" t="s">
        <v>83</v>
      </c>
      <c r="E4564" s="17" t="s">
        <v>20</v>
      </c>
      <c r="F4564" s="16" t="s">
        <v>14055</v>
      </c>
    </row>
    <row r="4565" spans="1:6" x14ac:dyDescent="0.25">
      <c r="A4565" s="16" t="s">
        <v>14056</v>
      </c>
      <c r="B4565" s="17" t="s">
        <v>14057</v>
      </c>
      <c r="C4565" s="17" t="s">
        <v>11</v>
      </c>
      <c r="D4565" s="17" t="s">
        <v>12</v>
      </c>
      <c r="E4565" s="17" t="s">
        <v>13</v>
      </c>
      <c r="F4565" s="16" t="s">
        <v>14058</v>
      </c>
    </row>
    <row r="4566" spans="1:6" x14ac:dyDescent="0.25">
      <c r="A4566" s="16" t="s">
        <v>14059</v>
      </c>
      <c r="B4566" s="17" t="s">
        <v>14060</v>
      </c>
      <c r="C4566" s="17" t="s">
        <v>11</v>
      </c>
      <c r="D4566" s="17" t="s">
        <v>32</v>
      </c>
      <c r="E4566" s="17" t="s">
        <v>20</v>
      </c>
      <c r="F4566" s="16" t="s">
        <v>14061</v>
      </c>
    </row>
    <row r="4567" spans="1:6" x14ac:dyDescent="0.25">
      <c r="A4567" s="16" t="s">
        <v>14062</v>
      </c>
      <c r="B4567" s="17" t="s">
        <v>14063</v>
      </c>
      <c r="C4567" s="17" t="s">
        <v>11</v>
      </c>
      <c r="D4567" s="17" t="s">
        <v>32</v>
      </c>
      <c r="E4567" s="17" t="s">
        <v>20</v>
      </c>
      <c r="F4567" s="16" t="s">
        <v>14064</v>
      </c>
    </row>
    <row r="4568" spans="1:6" x14ac:dyDescent="0.25">
      <c r="A4568" s="16" t="s">
        <v>14065</v>
      </c>
      <c r="B4568" s="17" t="s">
        <v>14066</v>
      </c>
      <c r="C4568" s="17" t="s">
        <v>11</v>
      </c>
      <c r="D4568" s="17" t="s">
        <v>32</v>
      </c>
      <c r="E4568" s="17" t="s">
        <v>20</v>
      </c>
      <c r="F4568" s="16" t="s">
        <v>14067</v>
      </c>
    </row>
    <row r="4569" spans="1:6" x14ac:dyDescent="0.25">
      <c r="A4569" s="16" t="s">
        <v>14068</v>
      </c>
      <c r="B4569" s="17" t="s">
        <v>14069</v>
      </c>
      <c r="C4569" s="17" t="s">
        <v>11</v>
      </c>
      <c r="D4569" s="17" t="s">
        <v>89</v>
      </c>
      <c r="E4569" s="17" t="s">
        <v>20</v>
      </c>
      <c r="F4569" s="16" t="s">
        <v>14070</v>
      </c>
    </row>
    <row r="4570" spans="1:6" x14ac:dyDescent="0.25">
      <c r="A4570" s="16" t="s">
        <v>14071</v>
      </c>
      <c r="B4570" s="17" t="s">
        <v>14072</v>
      </c>
      <c r="C4570" s="17" t="s">
        <v>11</v>
      </c>
      <c r="D4570" s="17" t="s">
        <v>32</v>
      </c>
      <c r="E4570" s="17" t="s">
        <v>20</v>
      </c>
      <c r="F4570" s="16" t="s">
        <v>14073</v>
      </c>
    </row>
    <row r="4571" spans="1:6" x14ac:dyDescent="0.25">
      <c r="A4571" s="16" t="s">
        <v>14074</v>
      </c>
      <c r="B4571" s="17" t="s">
        <v>14075</v>
      </c>
      <c r="C4571" s="17" t="s">
        <v>11</v>
      </c>
      <c r="D4571" s="17" t="s">
        <v>32</v>
      </c>
      <c r="E4571" s="17" t="s">
        <v>20</v>
      </c>
      <c r="F4571" s="16" t="s">
        <v>14076</v>
      </c>
    </row>
    <row r="4572" spans="1:6" x14ac:dyDescent="0.25">
      <c r="A4572" s="16" t="s">
        <v>14077</v>
      </c>
      <c r="B4572" s="17" t="s">
        <v>14078</v>
      </c>
      <c r="C4572" s="17" t="s">
        <v>11</v>
      </c>
      <c r="D4572" s="17" t="s">
        <v>32</v>
      </c>
      <c r="E4572" s="17" t="s">
        <v>20</v>
      </c>
      <c r="F4572" s="16" t="s">
        <v>14079</v>
      </c>
    </row>
    <row r="4573" spans="1:6" x14ac:dyDescent="0.25">
      <c r="A4573" s="16" t="s">
        <v>14080</v>
      </c>
      <c r="B4573" s="17" t="s">
        <v>14081</v>
      </c>
      <c r="C4573" s="17" t="s">
        <v>11</v>
      </c>
      <c r="D4573" s="17" t="s">
        <v>182</v>
      </c>
      <c r="E4573" s="17" t="s">
        <v>20</v>
      </c>
      <c r="F4573" s="16" t="s">
        <v>14082</v>
      </c>
    </row>
    <row r="4574" spans="1:6" x14ac:dyDescent="0.25">
      <c r="A4574" s="16" t="s">
        <v>14083</v>
      </c>
      <c r="B4574" s="17" t="s">
        <v>14084</v>
      </c>
      <c r="C4574" s="17" t="s">
        <v>11</v>
      </c>
      <c r="D4574" s="17" t="s">
        <v>83</v>
      </c>
      <c r="E4574" s="17" t="s">
        <v>20</v>
      </c>
      <c r="F4574" s="16" t="s">
        <v>14085</v>
      </c>
    </row>
    <row r="4575" spans="1:6" x14ac:dyDescent="0.25">
      <c r="A4575" s="16" t="s">
        <v>14086</v>
      </c>
      <c r="B4575" s="17" t="s">
        <v>14087</v>
      </c>
      <c r="C4575" s="17" t="s">
        <v>11</v>
      </c>
      <c r="D4575" s="17" t="s">
        <v>83</v>
      </c>
      <c r="E4575" s="17" t="s">
        <v>20</v>
      </c>
      <c r="F4575" s="16" t="s">
        <v>14088</v>
      </c>
    </row>
    <row r="4576" spans="1:6" x14ac:dyDescent="0.25">
      <c r="A4576" s="16" t="s">
        <v>14089</v>
      </c>
      <c r="B4576" s="17" t="s">
        <v>14090</v>
      </c>
      <c r="C4576" s="17" t="s">
        <v>11</v>
      </c>
      <c r="D4576" s="17" t="s">
        <v>12</v>
      </c>
      <c r="E4576" s="17" t="s">
        <v>13</v>
      </c>
      <c r="F4576" s="16" t="s">
        <v>14091</v>
      </c>
    </row>
    <row r="4577" spans="1:6" x14ac:dyDescent="0.25">
      <c r="A4577" s="16" t="s">
        <v>14092</v>
      </c>
      <c r="B4577" s="17" t="s">
        <v>14093</v>
      </c>
      <c r="C4577" s="17" t="s">
        <v>11</v>
      </c>
      <c r="D4577" s="17" t="s">
        <v>12</v>
      </c>
      <c r="E4577" s="17" t="s">
        <v>13</v>
      </c>
      <c r="F4577" s="16" t="s">
        <v>14094</v>
      </c>
    </row>
    <row r="4578" spans="1:6" x14ac:dyDescent="0.25">
      <c r="A4578" s="16" t="s">
        <v>14095</v>
      </c>
      <c r="B4578" s="17" t="s">
        <v>14096</v>
      </c>
      <c r="C4578" s="17" t="s">
        <v>11</v>
      </c>
      <c r="D4578" s="17" t="s">
        <v>12</v>
      </c>
      <c r="E4578" s="17" t="s">
        <v>13</v>
      </c>
      <c r="F4578" s="16" t="s">
        <v>14097</v>
      </c>
    </row>
    <row r="4579" spans="1:6" x14ac:dyDescent="0.25">
      <c r="A4579" s="16" t="s">
        <v>14098</v>
      </c>
      <c r="B4579" s="17" t="s">
        <v>14099</v>
      </c>
      <c r="C4579" s="17" t="s">
        <v>11</v>
      </c>
      <c r="D4579" s="17" t="s">
        <v>12</v>
      </c>
      <c r="E4579" s="17" t="s">
        <v>13</v>
      </c>
      <c r="F4579" s="16" t="s">
        <v>14100</v>
      </c>
    </row>
    <row r="4580" spans="1:6" x14ac:dyDescent="0.25">
      <c r="A4580" s="16" t="s">
        <v>14101</v>
      </c>
      <c r="B4580" s="17" t="s">
        <v>14102</v>
      </c>
      <c r="C4580" s="17" t="s">
        <v>11</v>
      </c>
      <c r="D4580" s="17" t="s">
        <v>12</v>
      </c>
      <c r="E4580" s="17" t="s">
        <v>13</v>
      </c>
      <c r="F4580" s="16" t="s">
        <v>14103</v>
      </c>
    </row>
    <row r="4581" spans="1:6" x14ac:dyDescent="0.25">
      <c r="A4581" s="16" t="s">
        <v>14104</v>
      </c>
      <c r="B4581" s="17" t="s">
        <v>14105</v>
      </c>
      <c r="C4581" s="17" t="s">
        <v>11</v>
      </c>
      <c r="D4581" s="17" t="s">
        <v>12</v>
      </c>
      <c r="E4581" s="17" t="s">
        <v>13</v>
      </c>
      <c r="F4581" s="16" t="s">
        <v>14106</v>
      </c>
    </row>
    <row r="4582" spans="1:6" x14ac:dyDescent="0.25">
      <c r="A4582" s="16" t="s">
        <v>14107</v>
      </c>
      <c r="B4582" s="17" t="s">
        <v>14108</v>
      </c>
      <c r="C4582" s="17" t="s">
        <v>11</v>
      </c>
      <c r="D4582" s="17" t="s">
        <v>12</v>
      </c>
      <c r="E4582" s="17" t="s">
        <v>13</v>
      </c>
      <c r="F4582" s="16" t="s">
        <v>14109</v>
      </c>
    </row>
    <row r="4583" spans="1:6" x14ac:dyDescent="0.25">
      <c r="A4583" s="16" t="s">
        <v>14110</v>
      </c>
      <c r="B4583" s="17" t="s">
        <v>14111</v>
      </c>
      <c r="C4583" s="17" t="s">
        <v>11</v>
      </c>
      <c r="D4583" s="17" t="s">
        <v>12</v>
      </c>
      <c r="E4583" s="17" t="s">
        <v>13</v>
      </c>
      <c r="F4583" s="16" t="s">
        <v>14112</v>
      </c>
    </row>
    <row r="4584" spans="1:6" x14ac:dyDescent="0.25">
      <c r="A4584" s="16" t="s">
        <v>14113</v>
      </c>
      <c r="B4584" s="17" t="s">
        <v>14114</v>
      </c>
      <c r="C4584" s="17" t="s">
        <v>11</v>
      </c>
      <c r="D4584" s="17" t="s">
        <v>12</v>
      </c>
      <c r="E4584" s="17" t="s">
        <v>13</v>
      </c>
      <c r="F4584" s="16" t="s">
        <v>14115</v>
      </c>
    </row>
    <row r="4585" spans="1:6" x14ac:dyDescent="0.25">
      <c r="A4585" s="16" t="s">
        <v>14116</v>
      </c>
      <c r="B4585" s="17" t="s">
        <v>14117</v>
      </c>
      <c r="C4585" s="17" t="s">
        <v>11</v>
      </c>
      <c r="D4585" s="17" t="s">
        <v>12</v>
      </c>
      <c r="E4585" s="17" t="s">
        <v>13</v>
      </c>
      <c r="F4585" s="16" t="s">
        <v>14118</v>
      </c>
    </row>
    <row r="4586" spans="1:6" x14ac:dyDescent="0.25">
      <c r="A4586" s="16" t="s">
        <v>14119</v>
      </c>
      <c r="B4586" s="17" t="s">
        <v>14120</v>
      </c>
      <c r="C4586" s="17" t="s">
        <v>11</v>
      </c>
      <c r="D4586" s="17" t="s">
        <v>12</v>
      </c>
      <c r="E4586" s="17" t="s">
        <v>13</v>
      </c>
      <c r="F4586" s="16" t="s">
        <v>14121</v>
      </c>
    </row>
    <row r="4587" spans="1:6" x14ac:dyDescent="0.25">
      <c r="A4587" s="16" t="s">
        <v>14122</v>
      </c>
      <c r="B4587" s="17" t="s">
        <v>14123</v>
      </c>
      <c r="C4587" s="17" t="s">
        <v>11</v>
      </c>
      <c r="D4587" s="17" t="s">
        <v>12</v>
      </c>
      <c r="E4587" s="17" t="s">
        <v>13</v>
      </c>
      <c r="F4587" s="16" t="s">
        <v>14124</v>
      </c>
    </row>
    <row r="4588" spans="1:6" x14ac:dyDescent="0.25">
      <c r="A4588" s="16" t="s">
        <v>14125</v>
      </c>
      <c r="B4588" s="17" t="s">
        <v>14126</v>
      </c>
      <c r="C4588" s="17" t="s">
        <v>11</v>
      </c>
      <c r="D4588" s="17" t="s">
        <v>12</v>
      </c>
      <c r="E4588" s="17" t="s">
        <v>13</v>
      </c>
      <c r="F4588" s="16" t="s">
        <v>14127</v>
      </c>
    </row>
    <row r="4589" spans="1:6" x14ac:dyDescent="0.25">
      <c r="A4589" s="16" t="s">
        <v>14128</v>
      </c>
      <c r="B4589" s="17" t="s">
        <v>14129</v>
      </c>
      <c r="C4589" s="17" t="s">
        <v>11</v>
      </c>
      <c r="D4589" s="17" t="s">
        <v>26</v>
      </c>
      <c r="E4589" s="17" t="s">
        <v>20</v>
      </c>
      <c r="F4589" s="16" t="s">
        <v>14130</v>
      </c>
    </row>
    <row r="4590" spans="1:6" x14ac:dyDescent="0.25">
      <c r="A4590" s="16" t="s">
        <v>14131</v>
      </c>
      <c r="B4590" s="17" t="s">
        <v>14132</v>
      </c>
      <c r="C4590" s="17" t="s">
        <v>11</v>
      </c>
      <c r="D4590" s="17" t="s">
        <v>12</v>
      </c>
      <c r="E4590" s="17" t="s">
        <v>13</v>
      </c>
      <c r="F4590" s="16" t="s">
        <v>14133</v>
      </c>
    </row>
    <row r="4591" spans="1:6" x14ac:dyDescent="0.25">
      <c r="A4591" s="16" t="s">
        <v>14134</v>
      </c>
      <c r="B4591" s="17" t="s">
        <v>14135</v>
      </c>
      <c r="C4591" s="17" t="s">
        <v>11</v>
      </c>
      <c r="D4591" s="17" t="s">
        <v>12</v>
      </c>
      <c r="E4591" s="17" t="s">
        <v>13</v>
      </c>
      <c r="F4591" s="16" t="s">
        <v>14136</v>
      </c>
    </row>
    <row r="4592" spans="1:6" x14ac:dyDescent="0.25">
      <c r="A4592" s="16" t="s">
        <v>14137</v>
      </c>
      <c r="B4592" s="17" t="s">
        <v>14138</v>
      </c>
      <c r="C4592" s="17" t="s">
        <v>11</v>
      </c>
      <c r="D4592" s="17" t="s">
        <v>12</v>
      </c>
      <c r="E4592" s="17" t="s">
        <v>13</v>
      </c>
      <c r="F4592" s="16" t="s">
        <v>14139</v>
      </c>
    </row>
    <row r="4593" spans="1:6" x14ac:dyDescent="0.25">
      <c r="A4593" s="16" t="s">
        <v>14140</v>
      </c>
      <c r="B4593" s="17" t="s">
        <v>14141</v>
      </c>
      <c r="C4593" s="17" t="s">
        <v>11</v>
      </c>
      <c r="D4593" s="17" t="s">
        <v>12</v>
      </c>
      <c r="E4593" s="17" t="s">
        <v>13</v>
      </c>
      <c r="F4593" s="16" t="s">
        <v>14142</v>
      </c>
    </row>
    <row r="4594" spans="1:6" x14ac:dyDescent="0.25">
      <c r="A4594" s="16" t="s">
        <v>14143</v>
      </c>
      <c r="B4594" s="17" t="s">
        <v>14144</v>
      </c>
      <c r="C4594" s="17" t="s">
        <v>11</v>
      </c>
      <c r="D4594" s="17" t="s">
        <v>250</v>
      </c>
      <c r="E4594" s="17" t="s">
        <v>20</v>
      </c>
      <c r="F4594" s="16" t="s">
        <v>14145</v>
      </c>
    </row>
    <row r="4595" spans="1:6" x14ac:dyDescent="0.25">
      <c r="A4595" s="16" t="s">
        <v>14146</v>
      </c>
      <c r="B4595" s="17" t="s">
        <v>14147</v>
      </c>
      <c r="C4595" s="17" t="s">
        <v>11</v>
      </c>
      <c r="D4595" s="17" t="s">
        <v>12</v>
      </c>
      <c r="E4595" s="17" t="s">
        <v>13</v>
      </c>
      <c r="F4595" s="16" t="s">
        <v>14148</v>
      </c>
    </row>
    <row r="4596" spans="1:6" x14ac:dyDescent="0.25">
      <c r="A4596" s="16" t="s">
        <v>14149</v>
      </c>
      <c r="B4596" s="17" t="s">
        <v>14150</v>
      </c>
      <c r="C4596" s="17" t="s">
        <v>11</v>
      </c>
      <c r="D4596" s="17" t="s">
        <v>12</v>
      </c>
      <c r="E4596" s="17" t="s">
        <v>13</v>
      </c>
      <c r="F4596" s="16" t="s">
        <v>14151</v>
      </c>
    </row>
    <row r="4597" spans="1:6" x14ac:dyDescent="0.25">
      <c r="A4597" s="16" t="s">
        <v>14152</v>
      </c>
      <c r="B4597" s="17" t="s">
        <v>14153</v>
      </c>
      <c r="C4597" s="17" t="s">
        <v>11</v>
      </c>
      <c r="D4597" s="17" t="s">
        <v>12</v>
      </c>
      <c r="E4597" s="17" t="s">
        <v>13</v>
      </c>
      <c r="F4597" s="16" t="s">
        <v>14154</v>
      </c>
    </row>
    <row r="4598" spans="1:6" x14ac:dyDescent="0.25">
      <c r="A4598" s="16" t="s">
        <v>14155</v>
      </c>
      <c r="B4598" s="17" t="s">
        <v>14156</v>
      </c>
      <c r="C4598" s="17" t="s">
        <v>11</v>
      </c>
      <c r="D4598" s="17" t="s">
        <v>32</v>
      </c>
      <c r="E4598" s="17" t="s">
        <v>20</v>
      </c>
      <c r="F4598" s="16" t="s">
        <v>14157</v>
      </c>
    </row>
    <row r="4599" spans="1:6" x14ac:dyDescent="0.25">
      <c r="A4599" s="16" t="s">
        <v>14158</v>
      </c>
      <c r="B4599" s="17" t="s">
        <v>14159</v>
      </c>
      <c r="C4599" s="17" t="s">
        <v>11</v>
      </c>
      <c r="D4599" s="17" t="s">
        <v>12</v>
      </c>
      <c r="E4599" s="17" t="s">
        <v>13</v>
      </c>
      <c r="F4599" s="16" t="s">
        <v>14160</v>
      </c>
    </row>
    <row r="4600" spans="1:6" x14ac:dyDescent="0.25">
      <c r="A4600" s="16" t="s">
        <v>14161</v>
      </c>
      <c r="B4600" s="17" t="s">
        <v>14162</v>
      </c>
      <c r="C4600" s="17" t="s">
        <v>11</v>
      </c>
      <c r="D4600" s="17" t="s">
        <v>59</v>
      </c>
      <c r="E4600" s="17" t="s">
        <v>13</v>
      </c>
      <c r="F4600" s="16" t="s">
        <v>14163</v>
      </c>
    </row>
    <row r="4601" spans="1:6" x14ac:dyDescent="0.25">
      <c r="A4601" s="16" t="s">
        <v>14164</v>
      </c>
      <c r="B4601" s="17" t="s">
        <v>14165</v>
      </c>
      <c r="C4601" s="17" t="s">
        <v>11</v>
      </c>
      <c r="D4601" s="17" t="s">
        <v>12</v>
      </c>
      <c r="E4601" s="17" t="s">
        <v>13</v>
      </c>
      <c r="F4601" s="16" t="s">
        <v>14166</v>
      </c>
    </row>
    <row r="4602" spans="1:6" x14ac:dyDescent="0.25">
      <c r="A4602" s="16" t="s">
        <v>14167</v>
      </c>
      <c r="B4602" s="17" t="s">
        <v>14168</v>
      </c>
      <c r="C4602" s="17" t="s">
        <v>11</v>
      </c>
      <c r="D4602" s="17" t="s">
        <v>12</v>
      </c>
      <c r="E4602" s="17" t="s">
        <v>13</v>
      </c>
      <c r="F4602" s="16" t="s">
        <v>14169</v>
      </c>
    </row>
    <row r="4603" spans="1:6" x14ac:dyDescent="0.25">
      <c r="A4603" s="16" t="s">
        <v>14170</v>
      </c>
      <c r="B4603" s="17" t="s">
        <v>14171</v>
      </c>
      <c r="C4603" s="17" t="s">
        <v>11</v>
      </c>
      <c r="D4603" s="17" t="s">
        <v>12</v>
      </c>
      <c r="E4603" s="17" t="s">
        <v>13</v>
      </c>
      <c r="F4603" s="16" t="s">
        <v>14172</v>
      </c>
    </row>
    <row r="4604" spans="1:6" x14ac:dyDescent="0.25">
      <c r="A4604" s="16" t="s">
        <v>14173</v>
      </c>
      <c r="B4604" s="17" t="s">
        <v>14174</v>
      </c>
      <c r="C4604" s="17" t="s">
        <v>11</v>
      </c>
      <c r="D4604" s="17" t="s">
        <v>12</v>
      </c>
      <c r="E4604" s="17" t="s">
        <v>13</v>
      </c>
      <c r="F4604" s="16" t="s">
        <v>14175</v>
      </c>
    </row>
    <row r="4605" spans="1:6" x14ac:dyDescent="0.25">
      <c r="A4605" s="16" t="s">
        <v>14176</v>
      </c>
      <c r="B4605" s="17" t="s">
        <v>14177</v>
      </c>
      <c r="C4605" s="17" t="s">
        <v>11</v>
      </c>
      <c r="D4605" s="17" t="s">
        <v>12</v>
      </c>
      <c r="E4605" s="17" t="s">
        <v>13</v>
      </c>
      <c r="F4605" s="16" t="s">
        <v>14178</v>
      </c>
    </row>
    <row r="4606" spans="1:6" x14ac:dyDescent="0.25">
      <c r="A4606" s="16" t="s">
        <v>14179</v>
      </c>
      <c r="B4606" s="17" t="s">
        <v>14180</v>
      </c>
      <c r="C4606" s="17" t="s">
        <v>11</v>
      </c>
      <c r="D4606" s="17" t="s">
        <v>12</v>
      </c>
      <c r="E4606" s="17" t="s">
        <v>13</v>
      </c>
      <c r="F4606" s="16" t="s">
        <v>14181</v>
      </c>
    </row>
    <row r="4607" spans="1:6" x14ac:dyDescent="0.25">
      <c r="A4607" s="16" t="s">
        <v>14182</v>
      </c>
      <c r="B4607" s="17" t="s">
        <v>14183</v>
      </c>
      <c r="C4607" s="17" t="s">
        <v>11</v>
      </c>
      <c r="D4607" s="17" t="s">
        <v>12</v>
      </c>
      <c r="E4607" s="17" t="s">
        <v>13</v>
      </c>
      <c r="F4607" s="16" t="s">
        <v>14184</v>
      </c>
    </row>
    <row r="4608" spans="1:6" x14ac:dyDescent="0.25">
      <c r="A4608" s="16" t="s">
        <v>14185</v>
      </c>
      <c r="B4608" s="17" t="s">
        <v>14186</v>
      </c>
      <c r="C4608" s="17" t="s">
        <v>11</v>
      </c>
      <c r="D4608" s="17" t="s">
        <v>12</v>
      </c>
      <c r="E4608" s="17" t="s">
        <v>13</v>
      </c>
      <c r="F4608" s="16" t="s">
        <v>14187</v>
      </c>
    </row>
    <row r="4609" spans="1:6" x14ac:dyDescent="0.25">
      <c r="A4609" s="16" t="s">
        <v>14188</v>
      </c>
      <c r="B4609" s="17" t="s">
        <v>14189</v>
      </c>
      <c r="C4609" s="17" t="s">
        <v>11</v>
      </c>
      <c r="D4609" s="17" t="s">
        <v>12</v>
      </c>
      <c r="E4609" s="17" t="s">
        <v>13</v>
      </c>
      <c r="F4609" s="16" t="s">
        <v>14190</v>
      </c>
    </row>
    <row r="4610" spans="1:6" x14ac:dyDescent="0.25">
      <c r="A4610" s="16" t="s">
        <v>14191</v>
      </c>
      <c r="B4610" s="17" t="s">
        <v>14192</v>
      </c>
      <c r="C4610" s="17" t="s">
        <v>11</v>
      </c>
      <c r="D4610" s="17" t="s">
        <v>32</v>
      </c>
      <c r="E4610" s="17" t="s">
        <v>20</v>
      </c>
      <c r="F4610" s="16" t="s">
        <v>14193</v>
      </c>
    </row>
    <row r="4611" spans="1:6" x14ac:dyDescent="0.25">
      <c r="A4611" s="16" t="s">
        <v>14194</v>
      </c>
      <c r="B4611" s="17" t="s">
        <v>14195</v>
      </c>
      <c r="C4611" s="17" t="s">
        <v>11</v>
      </c>
      <c r="D4611" s="17" t="s">
        <v>12</v>
      </c>
      <c r="E4611" s="17" t="s">
        <v>13</v>
      </c>
      <c r="F4611" s="16" t="s">
        <v>14196</v>
      </c>
    </row>
    <row r="4612" spans="1:6" x14ac:dyDescent="0.25">
      <c r="A4612" s="16" t="s">
        <v>14197</v>
      </c>
      <c r="B4612" s="17" t="s">
        <v>14198</v>
      </c>
      <c r="C4612" s="17" t="s">
        <v>11</v>
      </c>
      <c r="D4612" s="17" t="s">
        <v>32</v>
      </c>
      <c r="E4612" s="17" t="s">
        <v>20</v>
      </c>
      <c r="F4612" s="16" t="s">
        <v>14199</v>
      </c>
    </row>
    <row r="4613" spans="1:6" x14ac:dyDescent="0.25">
      <c r="A4613" s="16" t="s">
        <v>14200</v>
      </c>
      <c r="B4613" s="17" t="s">
        <v>14201</v>
      </c>
      <c r="C4613" s="17" t="s">
        <v>11</v>
      </c>
      <c r="D4613" s="17" t="s">
        <v>12</v>
      </c>
      <c r="E4613" s="17" t="s">
        <v>13</v>
      </c>
      <c r="F4613" s="16" t="s">
        <v>14202</v>
      </c>
    </row>
    <row r="4614" spans="1:6" x14ac:dyDescent="0.25">
      <c r="A4614" s="16" t="s">
        <v>14203</v>
      </c>
      <c r="B4614" s="17" t="s">
        <v>14204</v>
      </c>
      <c r="C4614" s="17" t="s">
        <v>11</v>
      </c>
      <c r="D4614" s="17" t="s">
        <v>12</v>
      </c>
      <c r="E4614" s="17" t="s">
        <v>13</v>
      </c>
      <c r="F4614" s="16" t="s">
        <v>14205</v>
      </c>
    </row>
    <row r="4615" spans="1:6" x14ac:dyDescent="0.25">
      <c r="A4615" s="16" t="s">
        <v>14206</v>
      </c>
      <c r="B4615" s="17" t="s">
        <v>14207</v>
      </c>
      <c r="C4615" s="17" t="s">
        <v>11</v>
      </c>
      <c r="D4615" s="17" t="s">
        <v>12</v>
      </c>
      <c r="E4615" s="17" t="s">
        <v>13</v>
      </c>
      <c r="F4615" s="16" t="s">
        <v>14208</v>
      </c>
    </row>
    <row r="4616" spans="1:6" x14ac:dyDescent="0.25">
      <c r="A4616" s="16" t="s">
        <v>14209</v>
      </c>
      <c r="B4616" s="17" t="s">
        <v>14210</v>
      </c>
      <c r="C4616" s="17" t="s">
        <v>11</v>
      </c>
      <c r="D4616" s="17" t="s">
        <v>12</v>
      </c>
      <c r="E4616" s="17" t="s">
        <v>13</v>
      </c>
      <c r="F4616" s="16" t="s">
        <v>14211</v>
      </c>
    </row>
    <row r="4617" spans="1:6" x14ac:dyDescent="0.25">
      <c r="A4617" s="16" t="s">
        <v>14212</v>
      </c>
      <c r="B4617" s="17" t="s">
        <v>14213</v>
      </c>
      <c r="C4617" s="17" t="s">
        <v>11</v>
      </c>
      <c r="D4617" s="17" t="s">
        <v>32</v>
      </c>
      <c r="E4617" s="17" t="s">
        <v>20</v>
      </c>
      <c r="F4617" s="16" t="s">
        <v>14214</v>
      </c>
    </row>
    <row r="4618" spans="1:6" x14ac:dyDescent="0.25">
      <c r="A4618" s="16" t="s">
        <v>14215</v>
      </c>
      <c r="B4618" s="17" t="s">
        <v>14216</v>
      </c>
      <c r="C4618" s="17" t="s">
        <v>11</v>
      </c>
      <c r="D4618" s="17" t="s">
        <v>32</v>
      </c>
      <c r="E4618" s="17" t="s">
        <v>20</v>
      </c>
      <c r="F4618" s="16" t="s">
        <v>14217</v>
      </c>
    </row>
    <row r="4619" spans="1:6" x14ac:dyDescent="0.25">
      <c r="A4619" s="16" t="s">
        <v>14218</v>
      </c>
      <c r="B4619" s="17" t="s">
        <v>14219</v>
      </c>
      <c r="C4619" s="17" t="s">
        <v>11</v>
      </c>
      <c r="D4619" s="17" t="s">
        <v>12</v>
      </c>
      <c r="E4619" s="17" t="s">
        <v>13</v>
      </c>
      <c r="F4619" s="16" t="s">
        <v>14220</v>
      </c>
    </row>
    <row r="4620" spans="1:6" x14ac:dyDescent="0.25">
      <c r="A4620" s="16" t="s">
        <v>14221</v>
      </c>
      <c r="B4620" s="17" t="s">
        <v>14222</v>
      </c>
      <c r="C4620" s="17" t="s">
        <v>11</v>
      </c>
      <c r="D4620" s="17" t="s">
        <v>12</v>
      </c>
      <c r="E4620" s="17" t="s">
        <v>13</v>
      </c>
      <c r="F4620" s="16" t="s">
        <v>14223</v>
      </c>
    </row>
    <row r="4621" spans="1:6" x14ac:dyDescent="0.25">
      <c r="A4621" s="16" t="s">
        <v>14224</v>
      </c>
      <c r="B4621" s="17" t="s">
        <v>14225</v>
      </c>
      <c r="C4621" s="17" t="s">
        <v>11</v>
      </c>
      <c r="D4621" s="17" t="s">
        <v>12</v>
      </c>
      <c r="E4621" s="17" t="s">
        <v>13</v>
      </c>
      <c r="F4621" s="16" t="s">
        <v>14226</v>
      </c>
    </row>
    <row r="4622" spans="1:6" x14ac:dyDescent="0.25">
      <c r="A4622" s="16" t="s">
        <v>14227</v>
      </c>
      <c r="B4622" s="17" t="s">
        <v>14228</v>
      </c>
      <c r="C4622" s="17" t="s">
        <v>11</v>
      </c>
      <c r="D4622" s="17" t="s">
        <v>12</v>
      </c>
      <c r="E4622" s="17" t="s">
        <v>13</v>
      </c>
      <c r="F4622" s="16" t="s">
        <v>14229</v>
      </c>
    </row>
    <row r="4623" spans="1:6" x14ac:dyDescent="0.25">
      <c r="A4623" s="16" t="s">
        <v>14230</v>
      </c>
      <c r="B4623" s="17" t="s">
        <v>14231</v>
      </c>
      <c r="C4623" s="17" t="s">
        <v>11</v>
      </c>
      <c r="D4623" s="17" t="s">
        <v>12</v>
      </c>
      <c r="E4623" s="17" t="s">
        <v>13</v>
      </c>
      <c r="F4623" s="16" t="s">
        <v>14232</v>
      </c>
    </row>
    <row r="4624" spans="1:6" x14ac:dyDescent="0.25">
      <c r="A4624" s="16" t="s">
        <v>14233</v>
      </c>
      <c r="B4624" s="17" t="s">
        <v>14234</v>
      </c>
      <c r="C4624" s="17" t="s">
        <v>11</v>
      </c>
      <c r="D4624" s="17" t="s">
        <v>32</v>
      </c>
      <c r="E4624" s="17" t="s">
        <v>20</v>
      </c>
      <c r="F4624" s="16" t="s">
        <v>14235</v>
      </c>
    </row>
    <row r="4625" spans="1:6" x14ac:dyDescent="0.25">
      <c r="A4625" s="16" t="s">
        <v>14236</v>
      </c>
      <c r="B4625" s="17" t="s">
        <v>14237</v>
      </c>
      <c r="C4625" s="17" t="s">
        <v>11</v>
      </c>
      <c r="D4625" s="17" t="s">
        <v>570</v>
      </c>
      <c r="E4625" s="17" t="s">
        <v>20</v>
      </c>
      <c r="F4625" s="16" t="s">
        <v>14238</v>
      </c>
    </row>
    <row r="4626" spans="1:6" x14ac:dyDescent="0.25">
      <c r="A4626" s="16" t="s">
        <v>14239</v>
      </c>
      <c r="B4626" s="17" t="s">
        <v>14240</v>
      </c>
      <c r="C4626" s="17" t="s">
        <v>11</v>
      </c>
      <c r="D4626" s="17" t="s">
        <v>12</v>
      </c>
      <c r="E4626" s="17" t="s">
        <v>13</v>
      </c>
      <c r="F4626" s="16" t="s">
        <v>14241</v>
      </c>
    </row>
    <row r="4627" spans="1:6" x14ac:dyDescent="0.25">
      <c r="A4627" s="16" t="s">
        <v>14242</v>
      </c>
      <c r="B4627" s="17" t="s">
        <v>14243</v>
      </c>
      <c r="C4627" s="17" t="s">
        <v>11</v>
      </c>
      <c r="D4627" s="17" t="s">
        <v>12</v>
      </c>
      <c r="E4627" s="17" t="s">
        <v>13</v>
      </c>
      <c r="F4627" s="16" t="s">
        <v>14244</v>
      </c>
    </row>
    <row r="4628" spans="1:6" x14ac:dyDescent="0.25">
      <c r="A4628" s="16" t="s">
        <v>14245</v>
      </c>
      <c r="B4628" s="17" t="s">
        <v>14246</v>
      </c>
      <c r="C4628" s="17" t="s">
        <v>11</v>
      </c>
      <c r="D4628" s="17" t="s">
        <v>12</v>
      </c>
      <c r="E4628" s="17" t="s">
        <v>13</v>
      </c>
      <c r="F4628" s="16" t="s">
        <v>14247</v>
      </c>
    </row>
    <row r="4629" spans="1:6" x14ac:dyDescent="0.25">
      <c r="A4629" s="16" t="s">
        <v>14248</v>
      </c>
      <c r="B4629" s="17" t="s">
        <v>14249</v>
      </c>
      <c r="C4629" s="17" t="s">
        <v>11</v>
      </c>
      <c r="D4629" s="17" t="s">
        <v>80</v>
      </c>
      <c r="E4629" s="17" t="s">
        <v>20</v>
      </c>
      <c r="F4629" s="16" t="s">
        <v>14250</v>
      </c>
    </row>
    <row r="4630" spans="1:6" x14ac:dyDescent="0.25">
      <c r="A4630" s="16" t="s">
        <v>14251</v>
      </c>
      <c r="B4630" s="17" t="s">
        <v>14252</v>
      </c>
      <c r="C4630" s="17" t="s">
        <v>11</v>
      </c>
      <c r="D4630" s="17" t="s">
        <v>80</v>
      </c>
      <c r="E4630" s="17" t="s">
        <v>20</v>
      </c>
      <c r="F4630" s="16" t="s">
        <v>14253</v>
      </c>
    </row>
    <row r="4631" spans="1:6" x14ac:dyDescent="0.25">
      <c r="A4631" s="16" t="s">
        <v>14254</v>
      </c>
      <c r="B4631" s="17" t="s">
        <v>14255</v>
      </c>
      <c r="C4631" s="17" t="s">
        <v>11</v>
      </c>
      <c r="D4631" s="17" t="s">
        <v>83</v>
      </c>
      <c r="E4631" s="17" t="s">
        <v>20</v>
      </c>
      <c r="F4631" s="16" t="s">
        <v>14256</v>
      </c>
    </row>
    <row r="4632" spans="1:6" x14ac:dyDescent="0.25">
      <c r="A4632" s="16" t="s">
        <v>14257</v>
      </c>
      <c r="B4632" s="17" t="s">
        <v>14258</v>
      </c>
      <c r="C4632" s="17" t="s">
        <v>11</v>
      </c>
      <c r="D4632" s="17" t="s">
        <v>12</v>
      </c>
      <c r="E4632" s="17" t="s">
        <v>13</v>
      </c>
      <c r="F4632" s="16" t="s">
        <v>14259</v>
      </c>
    </row>
    <row r="4633" spans="1:6" x14ac:dyDescent="0.25">
      <c r="A4633" s="16" t="s">
        <v>14260</v>
      </c>
      <c r="B4633" s="17" t="s">
        <v>14261</v>
      </c>
      <c r="C4633" s="17" t="s">
        <v>11</v>
      </c>
      <c r="D4633" s="17" t="s">
        <v>12</v>
      </c>
      <c r="E4633" s="17" t="s">
        <v>13</v>
      </c>
      <c r="F4633" s="16" t="s">
        <v>14262</v>
      </c>
    </row>
    <row r="4634" spans="1:6" x14ac:dyDescent="0.25">
      <c r="A4634" s="16" t="s">
        <v>14263</v>
      </c>
      <c r="B4634" s="17" t="s">
        <v>14264</v>
      </c>
      <c r="C4634" s="17" t="s">
        <v>11</v>
      </c>
      <c r="D4634" s="17" t="s">
        <v>12</v>
      </c>
      <c r="E4634" s="17" t="s">
        <v>13</v>
      </c>
      <c r="F4634" s="16" t="s">
        <v>14265</v>
      </c>
    </row>
    <row r="4635" spans="1:6" x14ac:dyDescent="0.25">
      <c r="A4635" s="16" t="s">
        <v>14266</v>
      </c>
      <c r="B4635" s="17" t="s">
        <v>14267</v>
      </c>
      <c r="C4635" s="17" t="s">
        <v>11</v>
      </c>
      <c r="D4635" s="17" t="s">
        <v>80</v>
      </c>
      <c r="E4635" s="17" t="s">
        <v>20</v>
      </c>
      <c r="F4635" s="16" t="s">
        <v>14268</v>
      </c>
    </row>
    <row r="4636" spans="1:6" x14ac:dyDescent="0.25">
      <c r="A4636" s="16" t="s">
        <v>14269</v>
      </c>
      <c r="B4636" s="17" t="s">
        <v>14270</v>
      </c>
      <c r="C4636" s="17" t="s">
        <v>11</v>
      </c>
      <c r="D4636" s="17" t="s">
        <v>12</v>
      </c>
      <c r="E4636" s="17" t="s">
        <v>13</v>
      </c>
      <c r="F4636" s="16" t="s">
        <v>14271</v>
      </c>
    </row>
    <row r="4637" spans="1:6" x14ac:dyDescent="0.25">
      <c r="A4637" s="16" t="s">
        <v>14272</v>
      </c>
      <c r="B4637" s="17" t="s">
        <v>14273</v>
      </c>
      <c r="C4637" s="17" t="s">
        <v>11</v>
      </c>
      <c r="D4637" s="17" t="s">
        <v>12</v>
      </c>
      <c r="E4637" s="17" t="s">
        <v>13</v>
      </c>
      <c r="F4637" s="16" t="s">
        <v>14274</v>
      </c>
    </row>
    <row r="4638" spans="1:6" x14ac:dyDescent="0.25">
      <c r="A4638" s="16" t="s">
        <v>14275</v>
      </c>
      <c r="B4638" s="17" t="s">
        <v>14276</v>
      </c>
      <c r="C4638" s="17" t="s">
        <v>11</v>
      </c>
      <c r="D4638" s="17" t="s">
        <v>12</v>
      </c>
      <c r="E4638" s="17" t="s">
        <v>13</v>
      </c>
      <c r="F4638" s="16" t="s">
        <v>14277</v>
      </c>
    </row>
    <row r="4639" spans="1:6" x14ac:dyDescent="0.25">
      <c r="A4639" s="16" t="s">
        <v>14278</v>
      </c>
      <c r="B4639" s="17" t="s">
        <v>14279</v>
      </c>
      <c r="C4639" s="17" t="s">
        <v>11</v>
      </c>
      <c r="D4639" s="17" t="s">
        <v>12</v>
      </c>
      <c r="E4639" s="17" t="s">
        <v>13</v>
      </c>
      <c r="F4639" s="16" t="s">
        <v>14280</v>
      </c>
    </row>
    <row r="4640" spans="1:6" x14ac:dyDescent="0.25">
      <c r="A4640" s="16" t="s">
        <v>14281</v>
      </c>
      <c r="B4640" s="17" t="s">
        <v>14282</v>
      </c>
      <c r="C4640" s="17" t="s">
        <v>11</v>
      </c>
      <c r="D4640" s="17" t="s">
        <v>12</v>
      </c>
      <c r="E4640" s="17" t="s">
        <v>13</v>
      </c>
      <c r="F4640" s="16" t="s">
        <v>14283</v>
      </c>
    </row>
    <row r="4641" spans="1:6" x14ac:dyDescent="0.25">
      <c r="A4641" s="16" t="s">
        <v>14284</v>
      </c>
      <c r="B4641" s="17" t="s">
        <v>14285</v>
      </c>
      <c r="C4641" s="17" t="s">
        <v>11</v>
      </c>
      <c r="D4641" s="17" t="s">
        <v>12</v>
      </c>
      <c r="E4641" s="17" t="s">
        <v>13</v>
      </c>
      <c r="F4641" s="16" t="s">
        <v>14286</v>
      </c>
    </row>
    <row r="4642" spans="1:6" x14ac:dyDescent="0.25">
      <c r="A4642" s="16" t="s">
        <v>14287</v>
      </c>
      <c r="B4642" s="17" t="s">
        <v>14288</v>
      </c>
      <c r="C4642" s="17" t="s">
        <v>11</v>
      </c>
      <c r="D4642" s="17" t="s">
        <v>12</v>
      </c>
      <c r="E4642" s="17" t="s">
        <v>13</v>
      </c>
      <c r="F4642" s="16" t="s">
        <v>14289</v>
      </c>
    </row>
    <row r="4643" spans="1:6" x14ac:dyDescent="0.25">
      <c r="A4643" s="16" t="s">
        <v>14290</v>
      </c>
      <c r="B4643" s="17" t="s">
        <v>14291</v>
      </c>
      <c r="C4643" s="17" t="s">
        <v>11</v>
      </c>
      <c r="D4643" s="17" t="s">
        <v>12</v>
      </c>
      <c r="E4643" s="17" t="s">
        <v>13</v>
      </c>
      <c r="F4643" s="16" t="s">
        <v>14292</v>
      </c>
    </row>
    <row r="4644" spans="1:6" x14ac:dyDescent="0.25">
      <c r="A4644" s="16" t="s">
        <v>14293</v>
      </c>
      <c r="B4644" s="17" t="s">
        <v>14294</v>
      </c>
      <c r="C4644" s="17" t="s">
        <v>11</v>
      </c>
      <c r="D4644" s="17" t="s">
        <v>12</v>
      </c>
      <c r="E4644" s="17" t="s">
        <v>13</v>
      </c>
      <c r="F4644" s="16" t="s">
        <v>14295</v>
      </c>
    </row>
    <row r="4645" spans="1:6" x14ac:dyDescent="0.25">
      <c r="A4645" s="16" t="s">
        <v>14296</v>
      </c>
      <c r="B4645" s="17" t="s">
        <v>14297</v>
      </c>
      <c r="C4645" s="17" t="s">
        <v>11</v>
      </c>
      <c r="D4645" s="17" t="s">
        <v>12</v>
      </c>
      <c r="E4645" s="17" t="s">
        <v>13</v>
      </c>
      <c r="F4645" s="16" t="s">
        <v>14298</v>
      </c>
    </row>
    <row r="4646" spans="1:6" x14ac:dyDescent="0.25">
      <c r="A4646" s="16" t="s">
        <v>14299</v>
      </c>
      <c r="B4646" s="17" t="s">
        <v>14300</v>
      </c>
      <c r="C4646" s="17" t="s">
        <v>11</v>
      </c>
      <c r="D4646" s="17" t="s">
        <v>12</v>
      </c>
      <c r="E4646" s="17" t="s">
        <v>13</v>
      </c>
      <c r="F4646" s="16" t="s">
        <v>14301</v>
      </c>
    </row>
    <row r="4647" spans="1:6" x14ac:dyDescent="0.25">
      <c r="A4647" s="16" t="s">
        <v>14302</v>
      </c>
      <c r="B4647" s="17" t="s">
        <v>14303</v>
      </c>
      <c r="C4647" s="17" t="s">
        <v>11</v>
      </c>
      <c r="D4647" s="17" t="s">
        <v>12</v>
      </c>
      <c r="E4647" s="17" t="s">
        <v>13</v>
      </c>
      <c r="F4647" s="16" t="s">
        <v>14304</v>
      </c>
    </row>
    <row r="4648" spans="1:6" x14ac:dyDescent="0.25">
      <c r="A4648" s="16" t="s">
        <v>14305</v>
      </c>
      <c r="B4648" s="17" t="s">
        <v>14306</v>
      </c>
      <c r="C4648" s="17" t="s">
        <v>11</v>
      </c>
      <c r="D4648" s="17" t="s">
        <v>250</v>
      </c>
      <c r="E4648" s="17" t="s">
        <v>20</v>
      </c>
      <c r="F4648" s="16" t="s">
        <v>14307</v>
      </c>
    </row>
    <row r="4649" spans="1:6" x14ac:dyDescent="0.25">
      <c r="A4649" s="16" t="s">
        <v>14308</v>
      </c>
      <c r="B4649" s="17" t="s">
        <v>14309</v>
      </c>
      <c r="C4649" s="17" t="s">
        <v>11</v>
      </c>
      <c r="D4649" s="17" t="s">
        <v>12</v>
      </c>
      <c r="E4649" s="17" t="s">
        <v>13</v>
      </c>
      <c r="F4649" s="16" t="s">
        <v>14310</v>
      </c>
    </row>
    <row r="4650" spans="1:6" x14ac:dyDescent="0.25">
      <c r="A4650" s="16" t="s">
        <v>14311</v>
      </c>
      <c r="B4650" s="17" t="s">
        <v>14312</v>
      </c>
      <c r="C4650" s="17" t="s">
        <v>11</v>
      </c>
      <c r="D4650" s="17" t="s">
        <v>12</v>
      </c>
      <c r="E4650" s="17" t="s">
        <v>13</v>
      </c>
      <c r="F4650" s="16" t="s">
        <v>14313</v>
      </c>
    </row>
    <row r="4651" spans="1:6" x14ac:dyDescent="0.25">
      <c r="A4651" s="16" t="s">
        <v>14314</v>
      </c>
      <c r="B4651" s="17" t="s">
        <v>14315</v>
      </c>
      <c r="C4651" s="17" t="s">
        <v>11</v>
      </c>
      <c r="D4651" s="17" t="s">
        <v>59</v>
      </c>
      <c r="E4651" s="17" t="s">
        <v>13</v>
      </c>
      <c r="F4651" s="16" t="s">
        <v>14316</v>
      </c>
    </row>
    <row r="4652" spans="1:6" x14ac:dyDescent="0.25">
      <c r="A4652" s="16" t="s">
        <v>14317</v>
      </c>
      <c r="B4652" s="17" t="s">
        <v>14318</v>
      </c>
      <c r="C4652" s="17" t="s">
        <v>11</v>
      </c>
      <c r="D4652" s="17" t="s">
        <v>12</v>
      </c>
      <c r="E4652" s="17" t="s">
        <v>13</v>
      </c>
      <c r="F4652" s="16" t="s">
        <v>14319</v>
      </c>
    </row>
    <row r="4653" spans="1:6" x14ac:dyDescent="0.25">
      <c r="A4653" s="16" t="s">
        <v>14320</v>
      </c>
      <c r="B4653" s="17" t="s">
        <v>14321</v>
      </c>
      <c r="C4653" s="17" t="s">
        <v>11</v>
      </c>
      <c r="D4653" s="17" t="s">
        <v>12</v>
      </c>
      <c r="E4653" s="17" t="s">
        <v>13</v>
      </c>
      <c r="F4653" s="16" t="s">
        <v>14322</v>
      </c>
    </row>
    <row r="4654" spans="1:6" x14ac:dyDescent="0.25">
      <c r="A4654" s="16" t="s">
        <v>14323</v>
      </c>
      <c r="B4654" s="17" t="s">
        <v>14324</v>
      </c>
      <c r="C4654" s="17" t="s">
        <v>11</v>
      </c>
      <c r="D4654" s="17" t="s">
        <v>32</v>
      </c>
      <c r="E4654" s="17" t="s">
        <v>20</v>
      </c>
      <c r="F4654" s="16" t="s">
        <v>14325</v>
      </c>
    </row>
    <row r="4655" spans="1:6" x14ac:dyDescent="0.25">
      <c r="A4655" s="16" t="s">
        <v>14326</v>
      </c>
      <c r="B4655" s="17" t="s">
        <v>14327</v>
      </c>
      <c r="C4655" s="17" t="s">
        <v>11</v>
      </c>
      <c r="D4655" s="17" t="s">
        <v>12</v>
      </c>
      <c r="E4655" s="17" t="s">
        <v>13</v>
      </c>
      <c r="F4655" s="16" t="s">
        <v>14328</v>
      </c>
    </row>
    <row r="4656" spans="1:6" x14ac:dyDescent="0.25">
      <c r="A4656" s="16" t="s">
        <v>14329</v>
      </c>
      <c r="B4656" s="17" t="s">
        <v>14330</v>
      </c>
      <c r="C4656" s="17" t="s">
        <v>11</v>
      </c>
      <c r="D4656" s="17" t="s">
        <v>12</v>
      </c>
      <c r="E4656" s="17" t="s">
        <v>13</v>
      </c>
      <c r="F4656" s="16" t="s">
        <v>14331</v>
      </c>
    </row>
    <row r="4657" spans="1:6" x14ac:dyDescent="0.25">
      <c r="A4657" s="16" t="s">
        <v>14332</v>
      </c>
      <c r="B4657" s="17" t="s">
        <v>14333</v>
      </c>
      <c r="C4657" s="17" t="s">
        <v>11</v>
      </c>
      <c r="D4657" s="17" t="s">
        <v>26</v>
      </c>
      <c r="E4657" s="17" t="s">
        <v>20</v>
      </c>
      <c r="F4657" s="16" t="s">
        <v>14334</v>
      </c>
    </row>
    <row r="4658" spans="1:6" x14ac:dyDescent="0.25">
      <c r="A4658" s="16" t="s">
        <v>14335</v>
      </c>
      <c r="B4658" s="17" t="s">
        <v>14336</v>
      </c>
      <c r="C4658" s="17" t="s">
        <v>11</v>
      </c>
      <c r="D4658" s="17" t="s">
        <v>32</v>
      </c>
      <c r="E4658" s="17" t="s">
        <v>20</v>
      </c>
      <c r="F4658" s="16" t="s">
        <v>14337</v>
      </c>
    </row>
    <row r="4659" spans="1:6" x14ac:dyDescent="0.25">
      <c r="A4659" s="16" t="s">
        <v>14338</v>
      </c>
      <c r="B4659" s="17" t="s">
        <v>14339</v>
      </c>
      <c r="C4659" s="17" t="s">
        <v>11</v>
      </c>
      <c r="D4659" s="17" t="s">
        <v>36</v>
      </c>
      <c r="E4659" s="17" t="s">
        <v>20</v>
      </c>
      <c r="F4659" s="16" t="s">
        <v>14340</v>
      </c>
    </row>
    <row r="4660" spans="1:6" x14ac:dyDescent="0.25">
      <c r="A4660" s="16" t="s">
        <v>14341</v>
      </c>
      <c r="B4660" s="17" t="s">
        <v>14342</v>
      </c>
      <c r="C4660" s="17" t="s">
        <v>11</v>
      </c>
      <c r="D4660" s="17" t="s">
        <v>12</v>
      </c>
      <c r="E4660" s="17" t="s">
        <v>13</v>
      </c>
      <c r="F4660" s="16" t="s">
        <v>14343</v>
      </c>
    </row>
    <row r="4661" spans="1:6" x14ac:dyDescent="0.25">
      <c r="A4661" s="16" t="s">
        <v>14344</v>
      </c>
      <c r="B4661" s="17" t="s">
        <v>14345</v>
      </c>
      <c r="C4661" s="17" t="s">
        <v>11</v>
      </c>
      <c r="D4661" s="17" t="s">
        <v>26</v>
      </c>
      <c r="E4661" s="17" t="s">
        <v>20</v>
      </c>
      <c r="F4661" s="16" t="s">
        <v>14346</v>
      </c>
    </row>
    <row r="4662" spans="1:6" x14ac:dyDescent="0.25">
      <c r="A4662" s="16" t="s">
        <v>14347</v>
      </c>
      <c r="B4662" s="17" t="s">
        <v>14348</v>
      </c>
      <c r="C4662" s="17" t="s">
        <v>11</v>
      </c>
      <c r="D4662" s="17" t="s">
        <v>89</v>
      </c>
      <c r="E4662" s="17" t="s">
        <v>20</v>
      </c>
      <c r="F4662" s="16" t="s">
        <v>14349</v>
      </c>
    </row>
    <row r="4663" spans="1:6" x14ac:dyDescent="0.25">
      <c r="A4663" s="16" t="s">
        <v>14350</v>
      </c>
      <c r="B4663" s="17" t="s">
        <v>14351</v>
      </c>
      <c r="C4663" s="17" t="s">
        <v>11</v>
      </c>
      <c r="D4663" s="17" t="s">
        <v>12</v>
      </c>
      <c r="E4663" s="17" t="s">
        <v>13</v>
      </c>
      <c r="F4663" s="16" t="s">
        <v>14352</v>
      </c>
    </row>
    <row r="4664" spans="1:6" x14ac:dyDescent="0.25">
      <c r="A4664" s="16" t="s">
        <v>14353</v>
      </c>
      <c r="B4664" s="17" t="s">
        <v>14354</v>
      </c>
      <c r="C4664" s="17" t="s">
        <v>11</v>
      </c>
      <c r="D4664" s="17" t="s">
        <v>32</v>
      </c>
      <c r="E4664" s="17" t="s">
        <v>20</v>
      </c>
      <c r="F4664" s="16" t="s">
        <v>14355</v>
      </c>
    </row>
    <row r="4665" spans="1:6" x14ac:dyDescent="0.25">
      <c r="A4665" s="16" t="s">
        <v>14356</v>
      </c>
      <c r="B4665" s="17" t="s">
        <v>14357</v>
      </c>
      <c r="C4665" s="17" t="s">
        <v>11</v>
      </c>
      <c r="D4665" s="17" t="s">
        <v>12</v>
      </c>
      <c r="E4665" s="17" t="s">
        <v>13</v>
      </c>
      <c r="F4665" s="16" t="s">
        <v>14358</v>
      </c>
    </row>
    <row r="4666" spans="1:6" x14ac:dyDescent="0.25">
      <c r="A4666" s="16" t="s">
        <v>14359</v>
      </c>
      <c r="B4666" s="17" t="s">
        <v>14360</v>
      </c>
      <c r="C4666" s="17" t="s">
        <v>11</v>
      </c>
      <c r="D4666" s="17" t="s">
        <v>670</v>
      </c>
      <c r="E4666" s="17" t="s">
        <v>20</v>
      </c>
      <c r="F4666" s="16" t="s">
        <v>14361</v>
      </c>
    </row>
    <row r="4667" spans="1:6" x14ac:dyDescent="0.25">
      <c r="A4667" s="16" t="s">
        <v>14362</v>
      </c>
      <c r="B4667" s="17" t="s">
        <v>14363</v>
      </c>
      <c r="C4667" s="17" t="s">
        <v>11</v>
      </c>
      <c r="D4667" s="17" t="s">
        <v>12</v>
      </c>
      <c r="E4667" s="17" t="s">
        <v>13</v>
      </c>
      <c r="F4667" s="16" t="s">
        <v>14364</v>
      </c>
    </row>
    <row r="4668" spans="1:6" x14ac:dyDescent="0.25">
      <c r="A4668" s="16" t="s">
        <v>14365</v>
      </c>
      <c r="B4668" s="17" t="s">
        <v>14366</v>
      </c>
      <c r="C4668" s="17" t="s">
        <v>11</v>
      </c>
      <c r="D4668" s="17" t="s">
        <v>12</v>
      </c>
      <c r="E4668" s="17" t="s">
        <v>13</v>
      </c>
      <c r="F4668" s="16" t="s">
        <v>14367</v>
      </c>
    </row>
    <row r="4669" spans="1:6" x14ac:dyDescent="0.25">
      <c r="A4669" s="16" t="s">
        <v>14368</v>
      </c>
      <c r="B4669" s="17" t="s">
        <v>14369</v>
      </c>
      <c r="C4669" s="17" t="s">
        <v>11</v>
      </c>
      <c r="D4669" s="17" t="s">
        <v>32</v>
      </c>
      <c r="E4669" s="17" t="s">
        <v>20</v>
      </c>
      <c r="F4669" s="16" t="s">
        <v>14370</v>
      </c>
    </row>
    <row r="4670" spans="1:6" x14ac:dyDescent="0.25">
      <c r="A4670" s="16" t="s">
        <v>14371</v>
      </c>
      <c r="B4670" s="17" t="s">
        <v>14372</v>
      </c>
      <c r="C4670" s="17" t="s">
        <v>11</v>
      </c>
      <c r="D4670" s="17" t="s">
        <v>12</v>
      </c>
      <c r="E4670" s="17" t="s">
        <v>13</v>
      </c>
      <c r="F4670" s="16" t="s">
        <v>14373</v>
      </c>
    </row>
    <row r="4671" spans="1:6" x14ac:dyDescent="0.25">
      <c r="A4671" s="16" t="s">
        <v>14374</v>
      </c>
      <c r="B4671" s="17" t="s">
        <v>14375</v>
      </c>
      <c r="C4671" s="17" t="s">
        <v>11</v>
      </c>
      <c r="D4671" s="17" t="s">
        <v>12</v>
      </c>
      <c r="E4671" s="17" t="s">
        <v>13</v>
      </c>
      <c r="F4671" s="16" t="s">
        <v>14376</v>
      </c>
    </row>
    <row r="4672" spans="1:6" x14ac:dyDescent="0.25">
      <c r="A4672" s="16" t="s">
        <v>14377</v>
      </c>
      <c r="B4672" s="17" t="s">
        <v>14378</v>
      </c>
      <c r="C4672" s="17" t="s">
        <v>11</v>
      </c>
      <c r="D4672" s="17" t="s">
        <v>12</v>
      </c>
      <c r="E4672" s="17" t="s">
        <v>13</v>
      </c>
      <c r="F4672" s="16" t="s">
        <v>14379</v>
      </c>
    </row>
    <row r="4673" spans="1:6" x14ac:dyDescent="0.25">
      <c r="A4673" s="16" t="s">
        <v>14380</v>
      </c>
      <c r="B4673" s="17" t="s">
        <v>14381</v>
      </c>
      <c r="C4673" s="17" t="s">
        <v>11</v>
      </c>
      <c r="D4673" s="17" t="s">
        <v>182</v>
      </c>
      <c r="E4673" s="17" t="s">
        <v>20</v>
      </c>
      <c r="F4673" s="16" t="s">
        <v>14382</v>
      </c>
    </row>
    <row r="4674" spans="1:6" x14ac:dyDescent="0.25">
      <c r="A4674" s="16" t="s">
        <v>14383</v>
      </c>
      <c r="B4674" s="17" t="s">
        <v>14384</v>
      </c>
      <c r="C4674" s="17" t="s">
        <v>11</v>
      </c>
      <c r="D4674" s="17" t="s">
        <v>12</v>
      </c>
      <c r="E4674" s="17" t="s">
        <v>13</v>
      </c>
      <c r="F4674" s="16" t="s">
        <v>14385</v>
      </c>
    </row>
    <row r="4675" spans="1:6" x14ac:dyDescent="0.25">
      <c r="A4675" s="16" t="s">
        <v>14386</v>
      </c>
      <c r="B4675" s="17" t="s">
        <v>14387</v>
      </c>
      <c r="C4675" s="17" t="s">
        <v>11</v>
      </c>
      <c r="D4675" s="17" t="s">
        <v>12</v>
      </c>
      <c r="E4675" s="17" t="s">
        <v>13</v>
      </c>
      <c r="F4675" s="16" t="s">
        <v>14388</v>
      </c>
    </row>
    <row r="4676" spans="1:6" x14ac:dyDescent="0.25">
      <c r="A4676" s="16" t="s">
        <v>14389</v>
      </c>
      <c r="B4676" s="17" t="s">
        <v>14390</v>
      </c>
      <c r="C4676" s="17" t="s">
        <v>11</v>
      </c>
      <c r="D4676" s="17" t="s">
        <v>59</v>
      </c>
      <c r="E4676" s="17" t="s">
        <v>13</v>
      </c>
      <c r="F4676" s="16" t="s">
        <v>14391</v>
      </c>
    </row>
    <row r="4677" spans="1:6" x14ac:dyDescent="0.25">
      <c r="A4677" s="16" t="s">
        <v>14392</v>
      </c>
      <c r="B4677" s="17" t="s">
        <v>14393</v>
      </c>
      <c r="C4677" s="17" t="s">
        <v>11</v>
      </c>
      <c r="D4677" s="17" t="s">
        <v>12</v>
      </c>
      <c r="E4677" s="17" t="s">
        <v>13</v>
      </c>
      <c r="F4677" s="16" t="s">
        <v>14394</v>
      </c>
    </row>
    <row r="4678" spans="1:6" x14ac:dyDescent="0.25">
      <c r="A4678" s="16" t="s">
        <v>14395</v>
      </c>
      <c r="B4678" s="17" t="s">
        <v>14396</v>
      </c>
      <c r="C4678" s="17" t="s">
        <v>11</v>
      </c>
      <c r="D4678" s="17" t="s">
        <v>32</v>
      </c>
      <c r="E4678" s="17" t="s">
        <v>20</v>
      </c>
      <c r="F4678" s="16" t="s">
        <v>14397</v>
      </c>
    </row>
    <row r="4679" spans="1:6" x14ac:dyDescent="0.25">
      <c r="A4679" s="16" t="s">
        <v>14398</v>
      </c>
      <c r="B4679" s="17" t="s">
        <v>14399</v>
      </c>
      <c r="C4679" s="17" t="s">
        <v>11</v>
      </c>
      <c r="D4679" s="17" t="s">
        <v>83</v>
      </c>
      <c r="E4679" s="17" t="s">
        <v>20</v>
      </c>
      <c r="F4679" s="16" t="s">
        <v>14400</v>
      </c>
    </row>
    <row r="4680" spans="1:6" x14ac:dyDescent="0.25">
      <c r="A4680" s="16" t="s">
        <v>14401</v>
      </c>
      <c r="B4680" s="17" t="s">
        <v>14402</v>
      </c>
      <c r="C4680" s="17" t="s">
        <v>11</v>
      </c>
      <c r="D4680" s="17" t="s">
        <v>12</v>
      </c>
      <c r="E4680" s="17" t="s">
        <v>13</v>
      </c>
      <c r="F4680" s="16" t="s">
        <v>14403</v>
      </c>
    </row>
    <row r="4681" spans="1:6" x14ac:dyDescent="0.25">
      <c r="A4681" s="16" t="s">
        <v>14404</v>
      </c>
      <c r="B4681" s="17" t="s">
        <v>14405</v>
      </c>
      <c r="C4681" s="17" t="s">
        <v>11</v>
      </c>
      <c r="D4681" s="17" t="s">
        <v>186</v>
      </c>
      <c r="E4681" s="17" t="s">
        <v>20</v>
      </c>
      <c r="F4681" s="16" t="s">
        <v>14406</v>
      </c>
    </row>
    <row r="4682" spans="1:6" x14ac:dyDescent="0.25">
      <c r="A4682" s="16" t="s">
        <v>14407</v>
      </c>
      <c r="B4682" s="17" t="s">
        <v>14408</v>
      </c>
      <c r="C4682" s="17" t="s">
        <v>11</v>
      </c>
      <c r="D4682" s="17" t="s">
        <v>83</v>
      </c>
      <c r="E4682" s="17" t="s">
        <v>20</v>
      </c>
      <c r="F4682" s="16" t="s">
        <v>14409</v>
      </c>
    </row>
    <row r="4683" spans="1:6" x14ac:dyDescent="0.25">
      <c r="A4683" s="16" t="s">
        <v>14410</v>
      </c>
      <c r="B4683" s="17" t="s">
        <v>14411</v>
      </c>
      <c r="C4683" s="17" t="s">
        <v>11</v>
      </c>
      <c r="D4683" s="17" t="s">
        <v>12</v>
      </c>
      <c r="E4683" s="17" t="s">
        <v>13</v>
      </c>
      <c r="F4683" s="16" t="s">
        <v>14412</v>
      </c>
    </row>
    <row r="4684" spans="1:6" x14ac:dyDescent="0.25">
      <c r="A4684" s="16" t="s">
        <v>14413</v>
      </c>
      <c r="B4684" s="17" t="s">
        <v>14414</v>
      </c>
      <c r="C4684" s="17" t="s">
        <v>11</v>
      </c>
      <c r="D4684" s="17" t="s">
        <v>148</v>
      </c>
      <c r="E4684" s="17" t="s">
        <v>20</v>
      </c>
      <c r="F4684" s="16" t="s">
        <v>14415</v>
      </c>
    </row>
    <row r="4685" spans="1:6" x14ac:dyDescent="0.25">
      <c r="A4685" s="16" t="s">
        <v>14416</v>
      </c>
      <c r="B4685" s="17" t="s">
        <v>14417</v>
      </c>
      <c r="C4685" s="17" t="s">
        <v>11</v>
      </c>
      <c r="D4685" s="17" t="s">
        <v>12</v>
      </c>
      <c r="E4685" s="17" t="s">
        <v>13</v>
      </c>
      <c r="F4685" s="16" t="s">
        <v>14418</v>
      </c>
    </row>
    <row r="4686" spans="1:6" x14ac:dyDescent="0.25">
      <c r="A4686" s="16" t="s">
        <v>14419</v>
      </c>
      <c r="B4686" s="17" t="s">
        <v>14420</v>
      </c>
      <c r="C4686" s="17" t="s">
        <v>11</v>
      </c>
      <c r="D4686" s="17" t="s">
        <v>182</v>
      </c>
      <c r="E4686" s="17" t="s">
        <v>20</v>
      </c>
      <c r="F4686" s="16" t="s">
        <v>14421</v>
      </c>
    </row>
    <row r="4687" spans="1:6" x14ac:dyDescent="0.25">
      <c r="A4687" s="16" t="s">
        <v>14422</v>
      </c>
      <c r="B4687" s="17" t="s">
        <v>14423</v>
      </c>
      <c r="C4687" s="17" t="s">
        <v>11</v>
      </c>
      <c r="D4687" s="17" t="s">
        <v>12</v>
      </c>
      <c r="E4687" s="17" t="s">
        <v>13</v>
      </c>
      <c r="F4687" s="16" t="s">
        <v>14424</v>
      </c>
    </row>
    <row r="4688" spans="1:6" x14ac:dyDescent="0.25">
      <c r="A4688" s="16" t="s">
        <v>14425</v>
      </c>
      <c r="B4688" s="17" t="s">
        <v>14426</v>
      </c>
      <c r="C4688" s="17" t="s">
        <v>11</v>
      </c>
      <c r="D4688" s="17" t="s">
        <v>182</v>
      </c>
      <c r="E4688" s="17" t="s">
        <v>20</v>
      </c>
      <c r="F4688" s="16" t="s">
        <v>14427</v>
      </c>
    </row>
    <row r="4689" spans="1:6" x14ac:dyDescent="0.25">
      <c r="A4689" s="16" t="s">
        <v>14428</v>
      </c>
      <c r="B4689" s="17" t="s">
        <v>14429</v>
      </c>
      <c r="C4689" s="17" t="s">
        <v>11</v>
      </c>
      <c r="D4689" s="17" t="s">
        <v>12</v>
      </c>
      <c r="E4689" s="17" t="s">
        <v>13</v>
      </c>
      <c r="F4689" s="16" t="s">
        <v>14430</v>
      </c>
    </row>
    <row r="4690" spans="1:6" x14ac:dyDescent="0.25">
      <c r="A4690" s="16" t="s">
        <v>14431</v>
      </c>
      <c r="B4690" s="17" t="s">
        <v>14432</v>
      </c>
      <c r="C4690" s="17" t="s">
        <v>11</v>
      </c>
      <c r="D4690" s="17" t="s">
        <v>26</v>
      </c>
      <c r="E4690" s="17" t="s">
        <v>20</v>
      </c>
      <c r="F4690" s="16" t="s">
        <v>14433</v>
      </c>
    </row>
    <row r="4691" spans="1:6" x14ac:dyDescent="0.25">
      <c r="A4691" s="16" t="s">
        <v>14434</v>
      </c>
      <c r="B4691" s="17" t="s">
        <v>14435</v>
      </c>
      <c r="C4691" s="17" t="s">
        <v>11</v>
      </c>
      <c r="D4691" s="17" t="s">
        <v>12</v>
      </c>
      <c r="E4691" s="17" t="s">
        <v>13</v>
      </c>
      <c r="F4691" s="16" t="s">
        <v>14436</v>
      </c>
    </row>
    <row r="4692" spans="1:6" x14ac:dyDescent="0.25">
      <c r="A4692" s="16" t="s">
        <v>14437</v>
      </c>
      <c r="B4692" s="17" t="s">
        <v>14438</v>
      </c>
      <c r="C4692" s="17" t="s">
        <v>11</v>
      </c>
      <c r="D4692" s="17" t="s">
        <v>83</v>
      </c>
      <c r="E4692" s="17" t="s">
        <v>20</v>
      </c>
      <c r="F4692" s="16" t="s">
        <v>14439</v>
      </c>
    </row>
    <row r="4693" spans="1:6" x14ac:dyDescent="0.25">
      <c r="A4693" s="16" t="s">
        <v>14440</v>
      </c>
      <c r="B4693" s="17" t="s">
        <v>14441</v>
      </c>
      <c r="C4693" s="17" t="s">
        <v>11</v>
      </c>
      <c r="D4693" s="17" t="s">
        <v>12</v>
      </c>
      <c r="E4693" s="17" t="s">
        <v>13</v>
      </c>
      <c r="F4693" s="16" t="s">
        <v>14442</v>
      </c>
    </row>
    <row r="4694" spans="1:6" x14ac:dyDescent="0.25">
      <c r="A4694" s="16" t="s">
        <v>14443</v>
      </c>
      <c r="B4694" s="17" t="s">
        <v>14444</v>
      </c>
      <c r="C4694" s="17" t="s">
        <v>11</v>
      </c>
      <c r="D4694" s="17" t="s">
        <v>182</v>
      </c>
      <c r="E4694" s="17" t="s">
        <v>20</v>
      </c>
      <c r="F4694" s="16" t="s">
        <v>14445</v>
      </c>
    </row>
    <row r="4695" spans="1:6" x14ac:dyDescent="0.25">
      <c r="A4695" s="16" t="s">
        <v>14446</v>
      </c>
      <c r="B4695" s="17" t="s">
        <v>14447</v>
      </c>
      <c r="C4695" s="17" t="s">
        <v>11</v>
      </c>
      <c r="D4695" s="17" t="s">
        <v>12</v>
      </c>
      <c r="E4695" s="17" t="s">
        <v>13</v>
      </c>
      <c r="F4695" s="16" t="s">
        <v>14448</v>
      </c>
    </row>
    <row r="4696" spans="1:6" x14ac:dyDescent="0.25">
      <c r="A4696" s="16" t="s">
        <v>14449</v>
      </c>
      <c r="B4696" s="17" t="s">
        <v>14450</v>
      </c>
      <c r="C4696" s="17" t="s">
        <v>11</v>
      </c>
      <c r="D4696" s="17" t="s">
        <v>12</v>
      </c>
      <c r="E4696" s="17" t="s">
        <v>13</v>
      </c>
      <c r="F4696" s="16" t="s">
        <v>14451</v>
      </c>
    </row>
    <row r="4697" spans="1:6" x14ac:dyDescent="0.25">
      <c r="A4697" s="16" t="s">
        <v>14452</v>
      </c>
      <c r="B4697" s="17" t="s">
        <v>14453</v>
      </c>
      <c r="C4697" s="17" t="s">
        <v>11</v>
      </c>
      <c r="D4697" s="17" t="s">
        <v>12</v>
      </c>
      <c r="E4697" s="17" t="s">
        <v>13</v>
      </c>
      <c r="F4697" s="16" t="s">
        <v>14454</v>
      </c>
    </row>
    <row r="4698" spans="1:6" x14ac:dyDescent="0.25">
      <c r="A4698" s="16" t="s">
        <v>14455</v>
      </c>
      <c r="B4698" s="17" t="s">
        <v>14456</v>
      </c>
      <c r="C4698" s="17" t="s">
        <v>11</v>
      </c>
      <c r="D4698" s="17" t="s">
        <v>12</v>
      </c>
      <c r="E4698" s="17" t="s">
        <v>13</v>
      </c>
      <c r="F4698" s="16" t="s">
        <v>14457</v>
      </c>
    </row>
    <row r="4699" spans="1:6" x14ac:dyDescent="0.25">
      <c r="A4699" s="16" t="s">
        <v>14458</v>
      </c>
      <c r="B4699" s="17" t="s">
        <v>14459</v>
      </c>
      <c r="C4699" s="17" t="s">
        <v>11</v>
      </c>
      <c r="D4699" s="17" t="s">
        <v>12</v>
      </c>
      <c r="E4699" s="17" t="s">
        <v>13</v>
      </c>
      <c r="F4699" s="16" t="s">
        <v>14460</v>
      </c>
    </row>
    <row r="4700" spans="1:6" x14ac:dyDescent="0.25">
      <c r="A4700" s="16" t="s">
        <v>14461</v>
      </c>
      <c r="B4700" s="17" t="s">
        <v>14462</v>
      </c>
      <c r="C4700" s="17" t="s">
        <v>11</v>
      </c>
      <c r="D4700" s="17" t="s">
        <v>80</v>
      </c>
      <c r="E4700" s="17" t="s">
        <v>20</v>
      </c>
      <c r="F4700" s="16" t="s">
        <v>14463</v>
      </c>
    </row>
    <row r="4701" spans="1:6" x14ac:dyDescent="0.25">
      <c r="A4701" s="16" t="s">
        <v>14464</v>
      </c>
      <c r="B4701" s="17" t="s">
        <v>14465</v>
      </c>
      <c r="C4701" s="17" t="s">
        <v>11</v>
      </c>
      <c r="D4701" s="17" t="s">
        <v>32</v>
      </c>
      <c r="E4701" s="17" t="s">
        <v>20</v>
      </c>
      <c r="F4701" s="16" t="s">
        <v>14466</v>
      </c>
    </row>
    <row r="4702" spans="1:6" x14ac:dyDescent="0.25">
      <c r="A4702" s="16" t="s">
        <v>14467</v>
      </c>
      <c r="B4702" s="17" t="s">
        <v>14468</v>
      </c>
      <c r="C4702" s="17" t="s">
        <v>11</v>
      </c>
      <c r="D4702" s="17" t="s">
        <v>649</v>
      </c>
      <c r="E4702" s="17" t="s">
        <v>20</v>
      </c>
      <c r="F4702" s="16" t="s">
        <v>14469</v>
      </c>
    </row>
    <row r="4703" spans="1:6" x14ac:dyDescent="0.25">
      <c r="A4703" s="16" t="s">
        <v>14470</v>
      </c>
      <c r="B4703" s="17" t="s">
        <v>14471</v>
      </c>
      <c r="C4703" s="17" t="s">
        <v>11</v>
      </c>
      <c r="D4703" s="17" t="s">
        <v>12</v>
      </c>
      <c r="E4703" s="17" t="s">
        <v>13</v>
      </c>
      <c r="F4703" s="16" t="s">
        <v>14472</v>
      </c>
    </row>
    <row r="4704" spans="1:6" x14ac:dyDescent="0.25">
      <c r="A4704" s="16" t="s">
        <v>14473</v>
      </c>
      <c r="B4704" s="17" t="s">
        <v>14474</v>
      </c>
      <c r="C4704" s="17" t="s">
        <v>11</v>
      </c>
      <c r="D4704" s="17" t="s">
        <v>12</v>
      </c>
      <c r="E4704" s="17" t="s">
        <v>13</v>
      </c>
      <c r="F4704" s="16" t="s">
        <v>14475</v>
      </c>
    </row>
    <row r="4705" spans="1:6" x14ac:dyDescent="0.25">
      <c r="A4705" s="16" t="s">
        <v>14476</v>
      </c>
      <c r="B4705" s="17" t="s">
        <v>14477</v>
      </c>
      <c r="C4705" s="17" t="s">
        <v>11</v>
      </c>
      <c r="D4705" s="17" t="s">
        <v>12</v>
      </c>
      <c r="E4705" s="17" t="s">
        <v>13</v>
      </c>
      <c r="F4705" s="16" t="s">
        <v>14478</v>
      </c>
    </row>
    <row r="4706" spans="1:6" x14ac:dyDescent="0.25">
      <c r="A4706" s="16" t="s">
        <v>14479</v>
      </c>
      <c r="B4706" s="17" t="s">
        <v>14480</v>
      </c>
      <c r="C4706" s="17" t="s">
        <v>11</v>
      </c>
      <c r="D4706" s="17" t="s">
        <v>12</v>
      </c>
      <c r="E4706" s="17" t="s">
        <v>13</v>
      </c>
      <c r="F4706" s="16" t="s">
        <v>14481</v>
      </c>
    </row>
    <row r="4707" spans="1:6" x14ac:dyDescent="0.25">
      <c r="A4707" s="16" t="s">
        <v>14482</v>
      </c>
      <c r="B4707" s="17" t="s">
        <v>14483</v>
      </c>
      <c r="C4707" s="17" t="s">
        <v>11</v>
      </c>
      <c r="D4707" s="17" t="s">
        <v>59</v>
      </c>
      <c r="E4707" s="17" t="s">
        <v>13</v>
      </c>
      <c r="F4707" s="16" t="s">
        <v>14484</v>
      </c>
    </row>
    <row r="4708" spans="1:6" x14ac:dyDescent="0.25">
      <c r="A4708" s="16" t="s">
        <v>14485</v>
      </c>
      <c r="B4708" s="17" t="s">
        <v>14486</v>
      </c>
      <c r="C4708" s="17" t="s">
        <v>11</v>
      </c>
      <c r="D4708" s="17" t="s">
        <v>12</v>
      </c>
      <c r="E4708" s="17" t="s">
        <v>13</v>
      </c>
      <c r="F4708" s="16" t="s">
        <v>14487</v>
      </c>
    </row>
    <row r="4709" spans="1:6" x14ac:dyDescent="0.25">
      <c r="A4709" s="16" t="s">
        <v>14488</v>
      </c>
      <c r="B4709" s="17" t="s">
        <v>14489</v>
      </c>
      <c r="C4709" s="17" t="s">
        <v>11</v>
      </c>
      <c r="D4709" s="17" t="s">
        <v>32</v>
      </c>
      <c r="E4709" s="17" t="s">
        <v>20</v>
      </c>
      <c r="F4709" s="16" t="s">
        <v>14490</v>
      </c>
    </row>
    <row r="4710" spans="1:6" x14ac:dyDescent="0.25">
      <c r="A4710" s="16" t="s">
        <v>14491</v>
      </c>
      <c r="B4710" s="17" t="s">
        <v>14492</v>
      </c>
      <c r="C4710" s="17" t="s">
        <v>11</v>
      </c>
      <c r="D4710" s="17" t="s">
        <v>12</v>
      </c>
      <c r="E4710" s="17" t="s">
        <v>13</v>
      </c>
      <c r="F4710" s="16" t="s">
        <v>14493</v>
      </c>
    </row>
    <row r="4711" spans="1:6" x14ac:dyDescent="0.25">
      <c r="A4711" s="16" t="s">
        <v>14494</v>
      </c>
      <c r="B4711" s="17" t="s">
        <v>14495</v>
      </c>
      <c r="C4711" s="17" t="s">
        <v>11</v>
      </c>
      <c r="D4711" s="17" t="s">
        <v>12</v>
      </c>
      <c r="E4711" s="17" t="s">
        <v>13</v>
      </c>
      <c r="F4711" s="16" t="s">
        <v>14496</v>
      </c>
    </row>
    <row r="4712" spans="1:6" x14ac:dyDescent="0.25">
      <c r="A4712" s="16" t="s">
        <v>14497</v>
      </c>
      <c r="B4712" s="17" t="s">
        <v>14498</v>
      </c>
      <c r="C4712" s="17" t="s">
        <v>11</v>
      </c>
      <c r="D4712" s="17" t="s">
        <v>12</v>
      </c>
      <c r="E4712" s="17" t="s">
        <v>13</v>
      </c>
      <c r="F4712" s="16" t="s">
        <v>14499</v>
      </c>
    </row>
    <row r="4713" spans="1:6" x14ac:dyDescent="0.25">
      <c r="A4713" s="16" t="s">
        <v>14500</v>
      </c>
      <c r="B4713" s="17" t="s">
        <v>14501</v>
      </c>
      <c r="C4713" s="17" t="s">
        <v>11</v>
      </c>
      <c r="D4713" s="17" t="s">
        <v>12</v>
      </c>
      <c r="E4713" s="17" t="s">
        <v>13</v>
      </c>
      <c r="F4713" s="16" t="s">
        <v>14502</v>
      </c>
    </row>
    <row r="4714" spans="1:6" x14ac:dyDescent="0.25">
      <c r="A4714" s="16" t="s">
        <v>14503</v>
      </c>
      <c r="B4714" s="17" t="s">
        <v>14504</v>
      </c>
      <c r="C4714" s="17" t="s">
        <v>11</v>
      </c>
      <c r="D4714" s="17" t="s">
        <v>32</v>
      </c>
      <c r="E4714" s="17" t="s">
        <v>20</v>
      </c>
      <c r="F4714" s="16" t="s">
        <v>14505</v>
      </c>
    </row>
    <row r="4715" spans="1:6" x14ac:dyDescent="0.25">
      <c r="A4715" s="16" t="s">
        <v>14506</v>
      </c>
      <c r="B4715" s="17" t="s">
        <v>14507</v>
      </c>
      <c r="C4715" s="17" t="s">
        <v>11</v>
      </c>
      <c r="D4715" s="17" t="s">
        <v>12</v>
      </c>
      <c r="E4715" s="17" t="s">
        <v>13</v>
      </c>
      <c r="F4715" s="16" t="s">
        <v>14508</v>
      </c>
    </row>
    <row r="4716" spans="1:6" x14ac:dyDescent="0.25">
      <c r="A4716" s="16" t="s">
        <v>14509</v>
      </c>
      <c r="B4716" s="17" t="s">
        <v>14510</v>
      </c>
      <c r="C4716" s="17" t="s">
        <v>11</v>
      </c>
      <c r="D4716" s="17" t="s">
        <v>12</v>
      </c>
      <c r="E4716" s="17" t="s">
        <v>13</v>
      </c>
      <c r="F4716" s="16" t="s">
        <v>14511</v>
      </c>
    </row>
    <row r="4717" spans="1:6" x14ac:dyDescent="0.25">
      <c r="A4717" s="16" t="s">
        <v>14512</v>
      </c>
      <c r="B4717" s="17" t="s">
        <v>14513</v>
      </c>
      <c r="C4717" s="17" t="s">
        <v>11</v>
      </c>
      <c r="D4717" s="17" t="s">
        <v>74</v>
      </c>
      <c r="E4717" s="17" t="s">
        <v>20</v>
      </c>
      <c r="F4717" s="16" t="s">
        <v>14514</v>
      </c>
    </row>
    <row r="4718" spans="1:6" x14ac:dyDescent="0.25">
      <c r="A4718" s="16" t="s">
        <v>14515</v>
      </c>
      <c r="B4718" s="17" t="s">
        <v>14516</v>
      </c>
      <c r="C4718" s="17" t="s">
        <v>11</v>
      </c>
      <c r="D4718" s="17" t="s">
        <v>80</v>
      </c>
      <c r="E4718" s="17" t="s">
        <v>20</v>
      </c>
      <c r="F4718" s="16" t="s">
        <v>14517</v>
      </c>
    </row>
    <row r="4719" spans="1:6" x14ac:dyDescent="0.25">
      <c r="A4719" s="16" t="s">
        <v>14518</v>
      </c>
      <c r="B4719" s="17" t="s">
        <v>14519</v>
      </c>
      <c r="C4719" s="17" t="s">
        <v>11</v>
      </c>
      <c r="D4719" s="17" t="s">
        <v>291</v>
      </c>
      <c r="E4719" s="17" t="s">
        <v>20</v>
      </c>
      <c r="F4719" s="16" t="s">
        <v>14520</v>
      </c>
    </row>
    <row r="4720" spans="1:6" x14ac:dyDescent="0.25">
      <c r="A4720" s="16" t="s">
        <v>14521</v>
      </c>
      <c r="B4720" s="17" t="s">
        <v>14522</v>
      </c>
      <c r="C4720" s="17" t="s">
        <v>11</v>
      </c>
      <c r="D4720" s="17" t="s">
        <v>32</v>
      </c>
      <c r="E4720" s="17" t="s">
        <v>20</v>
      </c>
      <c r="F4720" s="16" t="s">
        <v>14523</v>
      </c>
    </row>
    <row r="4721" spans="1:6" x14ac:dyDescent="0.25">
      <c r="A4721" s="16" t="s">
        <v>14524</v>
      </c>
      <c r="B4721" s="17" t="s">
        <v>14525</v>
      </c>
      <c r="C4721" s="17" t="s">
        <v>11</v>
      </c>
      <c r="D4721" s="17" t="s">
        <v>32</v>
      </c>
      <c r="E4721" s="17" t="s">
        <v>20</v>
      </c>
      <c r="F4721" s="16" t="s">
        <v>14526</v>
      </c>
    </row>
    <row r="4722" spans="1:6" x14ac:dyDescent="0.25">
      <c r="A4722" s="16" t="s">
        <v>14527</v>
      </c>
      <c r="B4722" s="17" t="s">
        <v>14528</v>
      </c>
      <c r="C4722" s="17" t="s">
        <v>11</v>
      </c>
      <c r="D4722" s="17" t="s">
        <v>148</v>
      </c>
      <c r="E4722" s="17" t="s">
        <v>20</v>
      </c>
      <c r="F4722" s="16" t="s">
        <v>14529</v>
      </c>
    </row>
    <row r="4723" spans="1:6" x14ac:dyDescent="0.25">
      <c r="A4723" s="16" t="s">
        <v>14530</v>
      </c>
      <c r="B4723" s="17" t="s">
        <v>14531</v>
      </c>
      <c r="C4723" s="17" t="s">
        <v>11</v>
      </c>
      <c r="D4723" s="17" t="s">
        <v>12</v>
      </c>
      <c r="E4723" s="17" t="s">
        <v>13</v>
      </c>
      <c r="F4723" s="16" t="s">
        <v>14532</v>
      </c>
    </row>
    <row r="4724" spans="1:6" x14ac:dyDescent="0.25">
      <c r="A4724" s="16" t="s">
        <v>14533</v>
      </c>
      <c r="B4724" s="17" t="s">
        <v>14534</v>
      </c>
      <c r="C4724" s="17" t="s">
        <v>11</v>
      </c>
      <c r="D4724" s="17" t="s">
        <v>80</v>
      </c>
      <c r="E4724" s="17" t="s">
        <v>20</v>
      </c>
      <c r="F4724" s="16" t="s">
        <v>14535</v>
      </c>
    </row>
    <row r="4725" spans="1:6" x14ac:dyDescent="0.25">
      <c r="A4725" s="16" t="s">
        <v>14536</v>
      </c>
      <c r="B4725" s="17" t="s">
        <v>14537</v>
      </c>
      <c r="C4725" s="17" t="s">
        <v>11</v>
      </c>
      <c r="D4725" s="17" t="s">
        <v>12</v>
      </c>
      <c r="E4725" s="17" t="s">
        <v>13</v>
      </c>
      <c r="F4725" s="16" t="s">
        <v>14538</v>
      </c>
    </row>
    <row r="4726" spans="1:6" x14ac:dyDescent="0.25">
      <c r="A4726" s="16" t="s">
        <v>14539</v>
      </c>
      <c r="B4726" s="17" t="s">
        <v>14540</v>
      </c>
      <c r="C4726" s="17" t="s">
        <v>11</v>
      </c>
      <c r="D4726" s="17" t="s">
        <v>32</v>
      </c>
      <c r="E4726" s="17" t="s">
        <v>20</v>
      </c>
      <c r="F4726" s="16" t="s">
        <v>14541</v>
      </c>
    </row>
    <row r="4727" spans="1:6" x14ac:dyDescent="0.25">
      <c r="A4727" s="16" t="s">
        <v>14542</v>
      </c>
      <c r="B4727" s="17" t="s">
        <v>14543</v>
      </c>
      <c r="C4727" s="17" t="s">
        <v>11</v>
      </c>
      <c r="D4727" s="17" t="s">
        <v>12</v>
      </c>
      <c r="E4727" s="17" t="s">
        <v>13</v>
      </c>
      <c r="F4727" s="16" t="s">
        <v>14544</v>
      </c>
    </row>
    <row r="4728" spans="1:6" x14ac:dyDescent="0.25">
      <c r="A4728" s="16" t="s">
        <v>14545</v>
      </c>
      <c r="B4728" s="17" t="s">
        <v>14546</v>
      </c>
      <c r="C4728" s="17" t="s">
        <v>11</v>
      </c>
      <c r="D4728" s="17" t="s">
        <v>12</v>
      </c>
      <c r="E4728" s="17" t="s">
        <v>13</v>
      </c>
      <c r="F4728" s="16" t="s">
        <v>14547</v>
      </c>
    </row>
    <row r="4729" spans="1:6" x14ac:dyDescent="0.25">
      <c r="A4729" s="16" t="s">
        <v>14548</v>
      </c>
      <c r="B4729" s="17" t="s">
        <v>14549</v>
      </c>
      <c r="C4729" s="17" t="s">
        <v>11</v>
      </c>
      <c r="D4729" s="17" t="s">
        <v>12</v>
      </c>
      <c r="E4729" s="17" t="s">
        <v>13</v>
      </c>
      <c r="F4729" s="16" t="s">
        <v>14550</v>
      </c>
    </row>
    <row r="4730" spans="1:6" x14ac:dyDescent="0.25">
      <c r="A4730" s="16" t="s">
        <v>14551</v>
      </c>
      <c r="B4730" s="17" t="s">
        <v>14552</v>
      </c>
      <c r="C4730" s="17" t="s">
        <v>11</v>
      </c>
      <c r="D4730" s="17" t="s">
        <v>12</v>
      </c>
      <c r="E4730" s="17" t="s">
        <v>13</v>
      </c>
      <c r="F4730" s="16" t="s">
        <v>14553</v>
      </c>
    </row>
    <row r="4731" spans="1:6" x14ac:dyDescent="0.25">
      <c r="A4731" s="16" t="s">
        <v>14554</v>
      </c>
      <c r="B4731" s="17" t="s">
        <v>14555</v>
      </c>
      <c r="C4731" s="17" t="s">
        <v>11</v>
      </c>
      <c r="D4731" s="17" t="s">
        <v>12</v>
      </c>
      <c r="E4731" s="17" t="s">
        <v>13</v>
      </c>
      <c r="F4731" s="16" t="s">
        <v>14556</v>
      </c>
    </row>
    <row r="4732" spans="1:6" x14ac:dyDescent="0.25">
      <c r="A4732" s="16" t="s">
        <v>14557</v>
      </c>
      <c r="B4732" s="17" t="s">
        <v>14558</v>
      </c>
      <c r="C4732" s="17" t="s">
        <v>11</v>
      </c>
      <c r="D4732" s="17" t="s">
        <v>12</v>
      </c>
      <c r="E4732" s="17" t="s">
        <v>13</v>
      </c>
      <c r="F4732" s="16" t="s">
        <v>14559</v>
      </c>
    </row>
    <row r="4733" spans="1:6" x14ac:dyDescent="0.25">
      <c r="A4733" s="16" t="s">
        <v>14560</v>
      </c>
      <c r="B4733" s="17" t="s">
        <v>14561</v>
      </c>
      <c r="C4733" s="17" t="s">
        <v>11</v>
      </c>
      <c r="D4733" s="17" t="s">
        <v>59</v>
      </c>
      <c r="E4733" s="17" t="s">
        <v>13</v>
      </c>
      <c r="F4733" s="16" t="s">
        <v>14562</v>
      </c>
    </row>
    <row r="4734" spans="1:6" x14ac:dyDescent="0.25">
      <c r="A4734" s="16" t="s">
        <v>14563</v>
      </c>
      <c r="B4734" s="17" t="s">
        <v>14564</v>
      </c>
      <c r="C4734" s="17" t="s">
        <v>11</v>
      </c>
      <c r="D4734" s="17" t="s">
        <v>12</v>
      </c>
      <c r="E4734" s="17" t="s">
        <v>13</v>
      </c>
      <c r="F4734" s="16" t="s">
        <v>14565</v>
      </c>
    </row>
    <row r="4735" spans="1:6" x14ac:dyDescent="0.25">
      <c r="A4735" s="16" t="s">
        <v>14566</v>
      </c>
      <c r="B4735" s="17" t="s">
        <v>14567</v>
      </c>
      <c r="C4735" s="17" t="s">
        <v>11</v>
      </c>
      <c r="D4735" s="17" t="s">
        <v>12</v>
      </c>
      <c r="E4735" s="17" t="s">
        <v>13</v>
      </c>
      <c r="F4735" s="16" t="s">
        <v>14568</v>
      </c>
    </row>
    <row r="4736" spans="1:6" x14ac:dyDescent="0.25">
      <c r="A4736" s="16" t="s">
        <v>14569</v>
      </c>
      <c r="B4736" s="17" t="s">
        <v>14570</v>
      </c>
      <c r="C4736" s="17" t="s">
        <v>11</v>
      </c>
      <c r="D4736" s="17" t="s">
        <v>12</v>
      </c>
      <c r="E4736" s="17" t="s">
        <v>13</v>
      </c>
      <c r="F4736" s="16" t="s">
        <v>14571</v>
      </c>
    </row>
    <row r="4737" spans="1:6" x14ac:dyDescent="0.25">
      <c r="A4737" s="16" t="s">
        <v>14572</v>
      </c>
      <c r="B4737" s="17" t="s">
        <v>14573</v>
      </c>
      <c r="C4737" s="17" t="s">
        <v>11</v>
      </c>
      <c r="D4737" s="17" t="s">
        <v>59</v>
      </c>
      <c r="E4737" s="17" t="s">
        <v>13</v>
      </c>
      <c r="F4737" s="16" t="s">
        <v>14574</v>
      </c>
    </row>
    <row r="4738" spans="1:6" x14ac:dyDescent="0.25">
      <c r="A4738" s="16" t="s">
        <v>14575</v>
      </c>
      <c r="B4738" s="17" t="s">
        <v>14576</v>
      </c>
      <c r="C4738" s="17" t="s">
        <v>11</v>
      </c>
      <c r="D4738" s="17" t="s">
        <v>59</v>
      </c>
      <c r="E4738" s="17" t="s">
        <v>13</v>
      </c>
      <c r="F4738" s="16" t="s">
        <v>14577</v>
      </c>
    </row>
    <row r="4739" spans="1:6" x14ac:dyDescent="0.25">
      <c r="A4739" s="16" t="s">
        <v>14578</v>
      </c>
      <c r="B4739" s="17" t="s">
        <v>14579</v>
      </c>
      <c r="C4739" s="17" t="s">
        <v>11</v>
      </c>
      <c r="D4739" s="17" t="s">
        <v>12</v>
      </c>
      <c r="E4739" s="17" t="s">
        <v>13</v>
      </c>
      <c r="F4739" s="16" t="s">
        <v>14580</v>
      </c>
    </row>
    <row r="4740" spans="1:6" x14ac:dyDescent="0.25">
      <c r="A4740" s="16" t="s">
        <v>14581</v>
      </c>
      <c r="B4740" s="17" t="s">
        <v>14582</v>
      </c>
      <c r="C4740" s="17" t="s">
        <v>11</v>
      </c>
      <c r="D4740" s="17" t="s">
        <v>12</v>
      </c>
      <c r="E4740" s="17" t="s">
        <v>13</v>
      </c>
      <c r="F4740" s="16" t="s">
        <v>14583</v>
      </c>
    </row>
    <row r="4741" spans="1:6" x14ac:dyDescent="0.25">
      <c r="A4741" s="16" t="s">
        <v>14584</v>
      </c>
      <c r="B4741" s="17" t="s">
        <v>14585</v>
      </c>
      <c r="C4741" s="17" t="s">
        <v>11</v>
      </c>
      <c r="D4741" s="17" t="s">
        <v>12</v>
      </c>
      <c r="E4741" s="17" t="s">
        <v>13</v>
      </c>
      <c r="F4741" s="16" t="s">
        <v>14586</v>
      </c>
    </row>
    <row r="4742" spans="1:6" x14ac:dyDescent="0.25">
      <c r="A4742" s="16" t="s">
        <v>14587</v>
      </c>
      <c r="B4742" s="17" t="s">
        <v>14588</v>
      </c>
      <c r="C4742" s="17" t="s">
        <v>11</v>
      </c>
      <c r="D4742" s="17" t="s">
        <v>12</v>
      </c>
      <c r="E4742" s="17" t="s">
        <v>13</v>
      </c>
      <c r="F4742" s="16" t="s">
        <v>14589</v>
      </c>
    </row>
    <row r="4743" spans="1:6" x14ac:dyDescent="0.25">
      <c r="A4743" s="16" t="s">
        <v>14590</v>
      </c>
      <c r="B4743" s="17" t="s">
        <v>14591</v>
      </c>
      <c r="C4743" s="17" t="s">
        <v>11</v>
      </c>
      <c r="D4743" s="17" t="s">
        <v>32</v>
      </c>
      <c r="E4743" s="17" t="s">
        <v>20</v>
      </c>
      <c r="F4743" s="16" t="s">
        <v>14592</v>
      </c>
    </row>
    <row r="4744" spans="1:6" x14ac:dyDescent="0.25">
      <c r="A4744" s="16" t="s">
        <v>14593</v>
      </c>
      <c r="B4744" s="17" t="s">
        <v>14594</v>
      </c>
      <c r="C4744" s="17" t="s">
        <v>11</v>
      </c>
      <c r="D4744" s="17" t="s">
        <v>12</v>
      </c>
      <c r="E4744" s="17" t="s">
        <v>13</v>
      </c>
      <c r="F4744" s="16" t="s">
        <v>14595</v>
      </c>
    </row>
    <row r="4745" spans="1:6" x14ac:dyDescent="0.25">
      <c r="A4745" s="16" t="s">
        <v>14596</v>
      </c>
      <c r="B4745" s="17" t="s">
        <v>14597</v>
      </c>
      <c r="C4745" s="17" t="s">
        <v>11</v>
      </c>
      <c r="D4745" s="17" t="s">
        <v>89</v>
      </c>
      <c r="E4745" s="17" t="s">
        <v>20</v>
      </c>
      <c r="F4745" s="16" t="s">
        <v>14598</v>
      </c>
    </row>
    <row r="4746" spans="1:6" x14ac:dyDescent="0.25">
      <c r="A4746" s="16" t="s">
        <v>14599</v>
      </c>
      <c r="B4746" s="17" t="s">
        <v>14600</v>
      </c>
      <c r="C4746" s="17" t="s">
        <v>11</v>
      </c>
      <c r="D4746" s="17" t="s">
        <v>12</v>
      </c>
      <c r="E4746" s="17" t="s">
        <v>13</v>
      </c>
      <c r="F4746" s="16" t="s">
        <v>14601</v>
      </c>
    </row>
    <row r="4747" spans="1:6" x14ac:dyDescent="0.25">
      <c r="A4747" s="16" t="s">
        <v>14602</v>
      </c>
      <c r="B4747" s="17" t="s">
        <v>14603</v>
      </c>
      <c r="C4747" s="17" t="s">
        <v>11</v>
      </c>
      <c r="D4747" s="17" t="s">
        <v>12</v>
      </c>
      <c r="E4747" s="17" t="s">
        <v>13</v>
      </c>
      <c r="F4747" s="16" t="s">
        <v>14604</v>
      </c>
    </row>
    <row r="4748" spans="1:6" x14ac:dyDescent="0.25">
      <c r="A4748" s="16" t="s">
        <v>14605</v>
      </c>
      <c r="B4748" s="17" t="s">
        <v>14606</v>
      </c>
      <c r="C4748" s="17" t="s">
        <v>11</v>
      </c>
      <c r="D4748" s="17" t="s">
        <v>12</v>
      </c>
      <c r="E4748" s="17" t="s">
        <v>13</v>
      </c>
      <c r="F4748" s="16" t="s">
        <v>14607</v>
      </c>
    </row>
    <row r="4749" spans="1:6" x14ac:dyDescent="0.25">
      <c r="A4749" s="16" t="s">
        <v>14608</v>
      </c>
      <c r="B4749" s="17" t="s">
        <v>14609</v>
      </c>
      <c r="C4749" s="17" t="s">
        <v>11</v>
      </c>
      <c r="D4749" s="17" t="s">
        <v>12</v>
      </c>
      <c r="E4749" s="17" t="s">
        <v>13</v>
      </c>
      <c r="F4749" s="16" t="s">
        <v>14610</v>
      </c>
    </row>
    <row r="4750" spans="1:6" x14ac:dyDescent="0.25">
      <c r="A4750" s="16" t="s">
        <v>14611</v>
      </c>
      <c r="B4750" s="17" t="s">
        <v>14612</v>
      </c>
      <c r="C4750" s="17" t="s">
        <v>11</v>
      </c>
      <c r="D4750" s="17" t="s">
        <v>12</v>
      </c>
      <c r="E4750" s="17" t="s">
        <v>13</v>
      </c>
      <c r="F4750" s="16" t="s">
        <v>14613</v>
      </c>
    </row>
    <row r="4751" spans="1:6" x14ac:dyDescent="0.25">
      <c r="A4751" s="16" t="s">
        <v>14614</v>
      </c>
      <c r="B4751" s="17" t="s">
        <v>14615</v>
      </c>
      <c r="C4751" s="17" t="s">
        <v>11</v>
      </c>
      <c r="D4751" s="17" t="s">
        <v>32</v>
      </c>
      <c r="E4751" s="17" t="s">
        <v>20</v>
      </c>
      <c r="F4751" s="16" t="s">
        <v>14616</v>
      </c>
    </row>
    <row r="4752" spans="1:6" x14ac:dyDescent="0.25">
      <c r="A4752" s="16" t="s">
        <v>14617</v>
      </c>
      <c r="B4752" s="17" t="s">
        <v>14618</v>
      </c>
      <c r="C4752" s="17" t="s">
        <v>11</v>
      </c>
      <c r="D4752" s="17" t="s">
        <v>12</v>
      </c>
      <c r="E4752" s="17" t="s">
        <v>13</v>
      </c>
      <c r="F4752" s="16" t="s">
        <v>14619</v>
      </c>
    </row>
    <row r="4753" spans="1:6" x14ac:dyDescent="0.25">
      <c r="A4753" s="16" t="s">
        <v>14620</v>
      </c>
      <c r="B4753" s="17" t="s">
        <v>14621</v>
      </c>
      <c r="C4753" s="17" t="s">
        <v>11</v>
      </c>
      <c r="D4753" s="17" t="s">
        <v>12</v>
      </c>
      <c r="E4753" s="17" t="s">
        <v>13</v>
      </c>
      <c r="F4753" s="16" t="s">
        <v>14622</v>
      </c>
    </row>
    <row r="4754" spans="1:6" x14ac:dyDescent="0.25">
      <c r="A4754" s="16" t="s">
        <v>14623</v>
      </c>
      <c r="B4754" s="17" t="s">
        <v>14624</v>
      </c>
      <c r="C4754" s="17" t="s">
        <v>11</v>
      </c>
      <c r="D4754" s="17" t="s">
        <v>32</v>
      </c>
      <c r="E4754" s="17" t="s">
        <v>20</v>
      </c>
      <c r="F4754" s="16" t="s">
        <v>14625</v>
      </c>
    </row>
    <row r="4755" spans="1:6" x14ac:dyDescent="0.25">
      <c r="A4755" s="16" t="s">
        <v>14626</v>
      </c>
      <c r="B4755" s="17" t="s">
        <v>14627</v>
      </c>
      <c r="C4755" s="17" t="s">
        <v>11</v>
      </c>
      <c r="D4755" s="17" t="s">
        <v>12</v>
      </c>
      <c r="E4755" s="17" t="s">
        <v>13</v>
      </c>
      <c r="F4755" s="16" t="s">
        <v>14628</v>
      </c>
    </row>
    <row r="4756" spans="1:6" x14ac:dyDescent="0.25">
      <c r="A4756" s="16" t="s">
        <v>14629</v>
      </c>
      <c r="B4756" s="17" t="s">
        <v>14630</v>
      </c>
      <c r="C4756" s="17" t="s">
        <v>11</v>
      </c>
      <c r="D4756" s="17" t="s">
        <v>12</v>
      </c>
      <c r="E4756" s="17" t="s">
        <v>13</v>
      </c>
      <c r="F4756" s="16" t="s">
        <v>14631</v>
      </c>
    </row>
    <row r="4757" spans="1:6" x14ac:dyDescent="0.25">
      <c r="A4757" s="16" t="s">
        <v>14632</v>
      </c>
      <c r="B4757" s="17" t="s">
        <v>14633</v>
      </c>
      <c r="C4757" s="17" t="s">
        <v>11</v>
      </c>
      <c r="D4757" s="17" t="s">
        <v>12</v>
      </c>
      <c r="E4757" s="17" t="s">
        <v>13</v>
      </c>
      <c r="F4757" s="16" t="s">
        <v>14634</v>
      </c>
    </row>
    <row r="4758" spans="1:6" x14ac:dyDescent="0.25">
      <c r="A4758" s="16" t="s">
        <v>14635</v>
      </c>
      <c r="B4758" s="17" t="s">
        <v>14636</v>
      </c>
      <c r="C4758" s="17" t="s">
        <v>11</v>
      </c>
      <c r="D4758" s="17" t="s">
        <v>12</v>
      </c>
      <c r="E4758" s="17" t="s">
        <v>13</v>
      </c>
      <c r="F4758" s="16" t="s">
        <v>14637</v>
      </c>
    </row>
    <row r="4759" spans="1:6" x14ac:dyDescent="0.25">
      <c r="A4759" s="16" t="s">
        <v>14638</v>
      </c>
      <c r="B4759" s="17" t="s">
        <v>14639</v>
      </c>
      <c r="C4759" s="17" t="s">
        <v>11</v>
      </c>
      <c r="D4759" s="17" t="s">
        <v>89</v>
      </c>
      <c r="E4759" s="17" t="s">
        <v>20</v>
      </c>
      <c r="F4759" s="16" t="s">
        <v>14640</v>
      </c>
    </row>
    <row r="4760" spans="1:6" x14ac:dyDescent="0.25">
      <c r="A4760" s="16" t="s">
        <v>14641</v>
      </c>
      <c r="B4760" s="17" t="s">
        <v>14642</v>
      </c>
      <c r="C4760" s="17" t="s">
        <v>11</v>
      </c>
      <c r="D4760" s="17" t="s">
        <v>12</v>
      </c>
      <c r="E4760" s="17" t="s">
        <v>13</v>
      </c>
      <c r="F4760" s="16" t="s">
        <v>14643</v>
      </c>
    </row>
    <row r="4761" spans="1:6" x14ac:dyDescent="0.25">
      <c r="A4761" s="16" t="s">
        <v>14644</v>
      </c>
      <c r="B4761" s="17" t="s">
        <v>14645</v>
      </c>
      <c r="C4761" s="17" t="s">
        <v>11</v>
      </c>
      <c r="D4761" s="17" t="s">
        <v>83</v>
      </c>
      <c r="E4761" s="17" t="s">
        <v>20</v>
      </c>
      <c r="F4761" s="16" t="s">
        <v>14646</v>
      </c>
    </row>
    <row r="4762" spans="1:6" x14ac:dyDescent="0.25">
      <c r="A4762" s="16" t="s">
        <v>14647</v>
      </c>
      <c r="B4762" s="17" t="s">
        <v>14648</v>
      </c>
      <c r="C4762" s="17" t="s">
        <v>11</v>
      </c>
      <c r="D4762" s="17" t="s">
        <v>12</v>
      </c>
      <c r="E4762" s="17" t="s">
        <v>13</v>
      </c>
      <c r="F4762" s="16" t="s">
        <v>14649</v>
      </c>
    </row>
    <row r="4763" spans="1:6" x14ac:dyDescent="0.25">
      <c r="A4763" s="16" t="s">
        <v>14650</v>
      </c>
      <c r="B4763" s="17" t="s">
        <v>14651</v>
      </c>
      <c r="C4763" s="17" t="s">
        <v>11</v>
      </c>
      <c r="D4763" s="17" t="s">
        <v>12</v>
      </c>
      <c r="E4763" s="17" t="s">
        <v>13</v>
      </c>
      <c r="F4763" s="16" t="s">
        <v>14652</v>
      </c>
    </row>
    <row r="4764" spans="1:6" x14ac:dyDescent="0.25">
      <c r="A4764" s="16" t="s">
        <v>14653</v>
      </c>
      <c r="B4764" s="17" t="s">
        <v>14654</v>
      </c>
      <c r="C4764" s="17" t="s">
        <v>11</v>
      </c>
      <c r="D4764" s="17" t="s">
        <v>12</v>
      </c>
      <c r="E4764" s="17" t="s">
        <v>13</v>
      </c>
      <c r="F4764" s="16" t="s">
        <v>14655</v>
      </c>
    </row>
    <row r="4765" spans="1:6" x14ac:dyDescent="0.25">
      <c r="A4765" s="16" t="s">
        <v>14656</v>
      </c>
      <c r="B4765" s="17" t="s">
        <v>14657</v>
      </c>
      <c r="C4765" s="17" t="s">
        <v>11</v>
      </c>
      <c r="D4765" s="17" t="s">
        <v>32</v>
      </c>
      <c r="E4765" s="17" t="s">
        <v>20</v>
      </c>
      <c r="F4765" s="16" t="s">
        <v>14658</v>
      </c>
    </row>
    <row r="4766" spans="1:6" x14ac:dyDescent="0.25">
      <c r="A4766" s="16" t="s">
        <v>14659</v>
      </c>
      <c r="B4766" s="17" t="s">
        <v>14660</v>
      </c>
      <c r="C4766" s="17" t="s">
        <v>11</v>
      </c>
      <c r="D4766" s="17" t="s">
        <v>32</v>
      </c>
      <c r="E4766" s="17" t="s">
        <v>20</v>
      </c>
      <c r="F4766" s="16" t="s">
        <v>14661</v>
      </c>
    </row>
    <row r="4767" spans="1:6" x14ac:dyDescent="0.25">
      <c r="A4767" s="16" t="s">
        <v>14662</v>
      </c>
      <c r="B4767" s="17" t="s">
        <v>14663</v>
      </c>
      <c r="C4767" s="17" t="s">
        <v>11</v>
      </c>
      <c r="D4767" s="17" t="s">
        <v>74</v>
      </c>
      <c r="E4767" s="17" t="s">
        <v>20</v>
      </c>
      <c r="F4767" s="16" t="s">
        <v>14664</v>
      </c>
    </row>
    <row r="4768" spans="1:6" x14ac:dyDescent="0.25">
      <c r="A4768" s="16" t="s">
        <v>14665</v>
      </c>
      <c r="B4768" s="17" t="s">
        <v>14666</v>
      </c>
      <c r="C4768" s="17" t="s">
        <v>11</v>
      </c>
      <c r="D4768" s="17" t="s">
        <v>12</v>
      </c>
      <c r="E4768" s="17" t="s">
        <v>13</v>
      </c>
      <c r="F4768" s="16" t="s">
        <v>14667</v>
      </c>
    </row>
    <row r="4769" spans="1:6" x14ac:dyDescent="0.25">
      <c r="A4769" s="16" t="s">
        <v>14668</v>
      </c>
      <c r="B4769" s="17" t="s">
        <v>14669</v>
      </c>
      <c r="C4769" s="17" t="s">
        <v>11</v>
      </c>
      <c r="D4769" s="17" t="s">
        <v>83</v>
      </c>
      <c r="E4769" s="17" t="s">
        <v>20</v>
      </c>
      <c r="F4769" s="16" t="s">
        <v>14670</v>
      </c>
    </row>
    <row r="4770" spans="1:6" x14ac:dyDescent="0.25">
      <c r="A4770" s="16" t="s">
        <v>14671</v>
      </c>
      <c r="B4770" s="17" t="s">
        <v>14672</v>
      </c>
      <c r="C4770" s="17" t="s">
        <v>11</v>
      </c>
      <c r="D4770" s="17" t="s">
        <v>12</v>
      </c>
      <c r="E4770" s="17" t="s">
        <v>13</v>
      </c>
      <c r="F4770" s="16" t="s">
        <v>14673</v>
      </c>
    </row>
    <row r="4771" spans="1:6" x14ac:dyDescent="0.25">
      <c r="A4771" s="16" t="s">
        <v>14674</v>
      </c>
      <c r="B4771" s="17" t="s">
        <v>14675</v>
      </c>
      <c r="C4771" s="17" t="s">
        <v>11</v>
      </c>
      <c r="D4771" s="17" t="s">
        <v>12</v>
      </c>
      <c r="E4771" s="17" t="s">
        <v>13</v>
      </c>
      <c r="F4771" s="16" t="s">
        <v>14676</v>
      </c>
    </row>
    <row r="4772" spans="1:6" x14ac:dyDescent="0.25">
      <c r="A4772" s="16" t="s">
        <v>14677</v>
      </c>
      <c r="B4772" s="17" t="s">
        <v>14678</v>
      </c>
      <c r="C4772" s="17" t="s">
        <v>11</v>
      </c>
      <c r="D4772" s="17" t="s">
        <v>12</v>
      </c>
      <c r="E4772" s="17" t="s">
        <v>13</v>
      </c>
      <c r="F4772" s="16" t="s">
        <v>14679</v>
      </c>
    </row>
    <row r="4773" spans="1:6" x14ac:dyDescent="0.25">
      <c r="A4773" s="16" t="s">
        <v>14680</v>
      </c>
      <c r="B4773" s="17" t="s">
        <v>14681</v>
      </c>
      <c r="C4773" s="17" t="s">
        <v>11</v>
      </c>
      <c r="D4773" s="17" t="s">
        <v>148</v>
      </c>
      <c r="E4773" s="17" t="s">
        <v>20</v>
      </c>
      <c r="F4773" s="16" t="s">
        <v>14682</v>
      </c>
    </row>
    <row r="4774" spans="1:6" x14ac:dyDescent="0.25">
      <c r="A4774" s="16" t="s">
        <v>14683</v>
      </c>
      <c r="B4774" s="17" t="s">
        <v>14684</v>
      </c>
      <c r="C4774" s="17" t="s">
        <v>11</v>
      </c>
      <c r="D4774" s="17" t="s">
        <v>12</v>
      </c>
      <c r="E4774" s="17" t="s">
        <v>13</v>
      </c>
      <c r="F4774" s="16" t="s">
        <v>14685</v>
      </c>
    </row>
    <row r="4775" spans="1:6" x14ac:dyDescent="0.25">
      <c r="A4775" s="16" t="s">
        <v>14686</v>
      </c>
      <c r="B4775" s="17" t="s">
        <v>14687</v>
      </c>
      <c r="C4775" s="17" t="s">
        <v>11</v>
      </c>
      <c r="D4775" s="17" t="s">
        <v>83</v>
      </c>
      <c r="E4775" s="17" t="s">
        <v>20</v>
      </c>
      <c r="F4775" s="16" t="s">
        <v>14688</v>
      </c>
    </row>
    <row r="4776" spans="1:6" x14ac:dyDescent="0.25">
      <c r="A4776" s="16" t="s">
        <v>14689</v>
      </c>
      <c r="B4776" s="17" t="s">
        <v>14690</v>
      </c>
      <c r="C4776" s="17" t="s">
        <v>11</v>
      </c>
      <c r="D4776" s="17" t="s">
        <v>12</v>
      </c>
      <c r="E4776" s="17" t="s">
        <v>13</v>
      </c>
      <c r="F4776" s="16" t="s">
        <v>14691</v>
      </c>
    </row>
    <row r="4777" spans="1:6" x14ac:dyDescent="0.25">
      <c r="A4777" s="16" t="s">
        <v>14692</v>
      </c>
      <c r="B4777" s="17" t="s">
        <v>14693</v>
      </c>
      <c r="C4777" s="17" t="s">
        <v>11</v>
      </c>
      <c r="D4777" s="17" t="s">
        <v>12</v>
      </c>
      <c r="E4777" s="17" t="s">
        <v>13</v>
      </c>
      <c r="F4777" s="16" t="s">
        <v>14694</v>
      </c>
    </row>
    <row r="4778" spans="1:6" x14ac:dyDescent="0.25">
      <c r="A4778" s="16" t="s">
        <v>14695</v>
      </c>
      <c r="B4778" s="17" t="s">
        <v>14696</v>
      </c>
      <c r="C4778" s="17" t="s">
        <v>11</v>
      </c>
      <c r="D4778" s="17" t="s">
        <v>12</v>
      </c>
      <c r="E4778" s="17" t="s">
        <v>13</v>
      </c>
      <c r="F4778" s="16" t="s">
        <v>14697</v>
      </c>
    </row>
    <row r="4779" spans="1:6" x14ac:dyDescent="0.25">
      <c r="A4779" s="16" t="s">
        <v>14698</v>
      </c>
      <c r="B4779" s="17" t="s">
        <v>14699</v>
      </c>
      <c r="C4779" s="17" t="s">
        <v>11</v>
      </c>
      <c r="D4779" s="17" t="s">
        <v>26</v>
      </c>
      <c r="E4779" s="17" t="s">
        <v>20</v>
      </c>
      <c r="F4779" s="16" t="s">
        <v>14700</v>
      </c>
    </row>
    <row r="4780" spans="1:6" x14ac:dyDescent="0.25">
      <c r="A4780" s="16" t="s">
        <v>14701</v>
      </c>
      <c r="B4780" s="17" t="s">
        <v>14702</v>
      </c>
      <c r="C4780" s="17" t="s">
        <v>11</v>
      </c>
      <c r="D4780" s="17" t="s">
        <v>68</v>
      </c>
      <c r="E4780" s="17" t="s">
        <v>20</v>
      </c>
      <c r="F4780" s="16" t="s">
        <v>14703</v>
      </c>
    </row>
    <row r="4781" spans="1:6" x14ac:dyDescent="0.25">
      <c r="A4781" s="16" t="s">
        <v>14704</v>
      </c>
      <c r="B4781" s="17" t="s">
        <v>14705</v>
      </c>
      <c r="C4781" s="17" t="s">
        <v>11</v>
      </c>
      <c r="D4781" s="17" t="s">
        <v>59</v>
      </c>
      <c r="E4781" s="17" t="s">
        <v>13</v>
      </c>
      <c r="F4781" s="16" t="s">
        <v>14706</v>
      </c>
    </row>
    <row r="4782" spans="1:6" x14ac:dyDescent="0.25">
      <c r="A4782" s="16" t="s">
        <v>14707</v>
      </c>
      <c r="B4782" s="17" t="s">
        <v>14708</v>
      </c>
      <c r="C4782" s="17" t="s">
        <v>11</v>
      </c>
      <c r="D4782" s="17" t="s">
        <v>12</v>
      </c>
      <c r="E4782" s="17" t="s">
        <v>13</v>
      </c>
      <c r="F4782" s="16" t="s">
        <v>14709</v>
      </c>
    </row>
    <row r="4783" spans="1:6" x14ac:dyDescent="0.25">
      <c r="A4783" s="16" t="s">
        <v>14710</v>
      </c>
      <c r="B4783" s="17" t="s">
        <v>14711</v>
      </c>
      <c r="C4783" s="17" t="s">
        <v>11</v>
      </c>
      <c r="D4783" s="17" t="s">
        <v>12</v>
      </c>
      <c r="E4783" s="17" t="s">
        <v>13</v>
      </c>
      <c r="F4783" s="16" t="s">
        <v>14712</v>
      </c>
    </row>
    <row r="4784" spans="1:6" x14ac:dyDescent="0.25">
      <c r="A4784" s="16" t="s">
        <v>14713</v>
      </c>
      <c r="B4784" s="17" t="s">
        <v>14714</v>
      </c>
      <c r="C4784" s="17" t="s">
        <v>11</v>
      </c>
      <c r="D4784" s="17" t="s">
        <v>12</v>
      </c>
      <c r="E4784" s="17" t="s">
        <v>13</v>
      </c>
      <c r="F4784" s="16" t="s">
        <v>14715</v>
      </c>
    </row>
    <row r="4785" spans="1:6" x14ac:dyDescent="0.25">
      <c r="A4785" s="16" t="s">
        <v>14716</v>
      </c>
      <c r="B4785" s="17" t="s">
        <v>14717</v>
      </c>
      <c r="C4785" s="17" t="s">
        <v>11</v>
      </c>
      <c r="D4785" s="17" t="s">
        <v>80</v>
      </c>
      <c r="E4785" s="17" t="s">
        <v>20</v>
      </c>
      <c r="F4785" s="16" t="s">
        <v>14718</v>
      </c>
    </row>
    <row r="4786" spans="1:6" x14ac:dyDescent="0.25">
      <c r="A4786" s="16" t="s">
        <v>14719</v>
      </c>
      <c r="B4786" s="17" t="s">
        <v>14720</v>
      </c>
      <c r="C4786" s="17" t="s">
        <v>11</v>
      </c>
      <c r="D4786" s="17" t="s">
        <v>32</v>
      </c>
      <c r="E4786" s="17" t="s">
        <v>20</v>
      </c>
      <c r="F4786" s="16" t="s">
        <v>14721</v>
      </c>
    </row>
    <row r="4787" spans="1:6" x14ac:dyDescent="0.25">
      <c r="A4787" s="16" t="s">
        <v>14722</v>
      </c>
      <c r="B4787" s="17" t="s">
        <v>14723</v>
      </c>
      <c r="C4787" s="17" t="s">
        <v>11</v>
      </c>
      <c r="D4787" s="17" t="s">
        <v>12</v>
      </c>
      <c r="E4787" s="17" t="s">
        <v>13</v>
      </c>
      <c r="F4787" s="16" t="s">
        <v>14724</v>
      </c>
    </row>
    <row r="4788" spans="1:6" x14ac:dyDescent="0.25">
      <c r="A4788" s="16" t="s">
        <v>14725</v>
      </c>
      <c r="B4788" s="17" t="s">
        <v>14726</v>
      </c>
      <c r="C4788" s="17" t="s">
        <v>11</v>
      </c>
      <c r="D4788" s="17" t="s">
        <v>26</v>
      </c>
      <c r="E4788" s="17" t="s">
        <v>20</v>
      </c>
      <c r="F4788" s="16" t="s">
        <v>14727</v>
      </c>
    </row>
    <row r="4789" spans="1:6" x14ac:dyDescent="0.25">
      <c r="A4789" s="16" t="s">
        <v>14728</v>
      </c>
      <c r="B4789" s="17" t="s">
        <v>14729</v>
      </c>
      <c r="C4789" s="17" t="s">
        <v>11</v>
      </c>
      <c r="D4789" s="17" t="s">
        <v>12</v>
      </c>
      <c r="E4789" s="17" t="s">
        <v>13</v>
      </c>
      <c r="F4789" s="16" t="s">
        <v>14730</v>
      </c>
    </row>
    <row r="4790" spans="1:6" x14ac:dyDescent="0.25">
      <c r="A4790" s="16" t="s">
        <v>14731</v>
      </c>
      <c r="B4790" s="17" t="s">
        <v>14732</v>
      </c>
      <c r="C4790" s="17" t="s">
        <v>11</v>
      </c>
      <c r="D4790" s="17" t="s">
        <v>12</v>
      </c>
      <c r="E4790" s="17" t="s">
        <v>13</v>
      </c>
      <c r="F4790" s="16" t="s">
        <v>14733</v>
      </c>
    </row>
    <row r="4791" spans="1:6" x14ac:dyDescent="0.25">
      <c r="A4791" s="16" t="s">
        <v>14734</v>
      </c>
      <c r="B4791" s="17" t="s">
        <v>14735</v>
      </c>
      <c r="C4791" s="17" t="s">
        <v>11</v>
      </c>
      <c r="D4791" s="17" t="s">
        <v>148</v>
      </c>
      <c r="E4791" s="17" t="s">
        <v>20</v>
      </c>
      <c r="F4791" s="16" t="s">
        <v>14736</v>
      </c>
    </row>
    <row r="4792" spans="1:6" x14ac:dyDescent="0.25">
      <c r="A4792" s="16" t="s">
        <v>14737</v>
      </c>
      <c r="B4792" s="17" t="s">
        <v>14738</v>
      </c>
      <c r="C4792" s="17" t="s">
        <v>11</v>
      </c>
      <c r="D4792" s="17" t="s">
        <v>12</v>
      </c>
      <c r="E4792" s="17" t="s">
        <v>13</v>
      </c>
      <c r="F4792" s="16" t="s">
        <v>14739</v>
      </c>
    </row>
    <row r="4793" spans="1:6" x14ac:dyDescent="0.25">
      <c r="A4793" s="16" t="s">
        <v>14740</v>
      </c>
      <c r="B4793" s="17" t="s">
        <v>14741</v>
      </c>
      <c r="C4793" s="17" t="s">
        <v>11</v>
      </c>
      <c r="D4793" s="17" t="s">
        <v>12</v>
      </c>
      <c r="E4793" s="17" t="s">
        <v>13</v>
      </c>
      <c r="F4793" s="16" t="s">
        <v>14742</v>
      </c>
    </row>
    <row r="4794" spans="1:6" x14ac:dyDescent="0.25">
      <c r="A4794" s="16" t="s">
        <v>14743</v>
      </c>
      <c r="B4794" s="17" t="s">
        <v>14744</v>
      </c>
      <c r="C4794" s="17" t="s">
        <v>11</v>
      </c>
      <c r="D4794" s="17" t="s">
        <v>32</v>
      </c>
      <c r="E4794" s="17" t="s">
        <v>20</v>
      </c>
      <c r="F4794" s="16" t="s">
        <v>14745</v>
      </c>
    </row>
    <row r="4795" spans="1:6" x14ac:dyDescent="0.25">
      <c r="A4795" s="16" t="s">
        <v>14746</v>
      </c>
      <c r="B4795" s="17" t="s">
        <v>14747</v>
      </c>
      <c r="C4795" s="17" t="s">
        <v>11</v>
      </c>
      <c r="D4795" s="17" t="s">
        <v>74</v>
      </c>
      <c r="E4795" s="17" t="s">
        <v>20</v>
      </c>
      <c r="F4795" s="16" t="s">
        <v>14748</v>
      </c>
    </row>
    <row r="4796" spans="1:6" x14ac:dyDescent="0.25">
      <c r="A4796" s="16" t="s">
        <v>14749</v>
      </c>
      <c r="B4796" s="17" t="s">
        <v>14750</v>
      </c>
      <c r="C4796" s="17" t="s">
        <v>11</v>
      </c>
      <c r="D4796" s="17" t="s">
        <v>12</v>
      </c>
      <c r="E4796" s="17" t="s">
        <v>13</v>
      </c>
      <c r="F4796" s="16" t="s">
        <v>14751</v>
      </c>
    </row>
    <row r="4797" spans="1:6" x14ac:dyDescent="0.25">
      <c r="A4797" s="16" t="s">
        <v>14752</v>
      </c>
      <c r="B4797" s="17" t="s">
        <v>14753</v>
      </c>
      <c r="C4797" s="17" t="s">
        <v>11</v>
      </c>
      <c r="D4797" s="17" t="s">
        <v>186</v>
      </c>
      <c r="E4797" s="17" t="s">
        <v>20</v>
      </c>
      <c r="F4797" s="16" t="s">
        <v>14754</v>
      </c>
    </row>
    <row r="4798" spans="1:6" x14ac:dyDescent="0.25">
      <c r="A4798" s="16" t="s">
        <v>14755</v>
      </c>
      <c r="B4798" s="17" t="s">
        <v>14756</v>
      </c>
      <c r="C4798" s="17" t="s">
        <v>11</v>
      </c>
      <c r="D4798" s="17" t="s">
        <v>12</v>
      </c>
      <c r="E4798" s="17" t="s">
        <v>13</v>
      </c>
      <c r="F4798" s="16" t="s">
        <v>14757</v>
      </c>
    </row>
    <row r="4799" spans="1:6" x14ac:dyDescent="0.25">
      <c r="A4799" s="16" t="s">
        <v>14758</v>
      </c>
      <c r="B4799" s="17" t="s">
        <v>14759</v>
      </c>
      <c r="C4799" s="17" t="s">
        <v>11</v>
      </c>
      <c r="D4799" s="17" t="s">
        <v>12</v>
      </c>
      <c r="E4799" s="17" t="s">
        <v>13</v>
      </c>
      <c r="F4799" s="16" t="s">
        <v>14760</v>
      </c>
    </row>
    <row r="4800" spans="1:6" x14ac:dyDescent="0.25">
      <c r="A4800" s="16" t="s">
        <v>14761</v>
      </c>
      <c r="B4800" s="17" t="s">
        <v>14762</v>
      </c>
      <c r="C4800" s="17" t="s">
        <v>11</v>
      </c>
      <c r="D4800" s="17" t="s">
        <v>12</v>
      </c>
      <c r="E4800" s="17" t="s">
        <v>13</v>
      </c>
      <c r="F4800" s="16" t="s">
        <v>14763</v>
      </c>
    </row>
    <row r="4801" spans="1:6" x14ac:dyDescent="0.25">
      <c r="A4801" s="16" t="s">
        <v>14764</v>
      </c>
      <c r="B4801" s="17" t="s">
        <v>14765</v>
      </c>
      <c r="C4801" s="17" t="s">
        <v>11</v>
      </c>
      <c r="D4801" s="17" t="s">
        <v>12</v>
      </c>
      <c r="E4801" s="17" t="s">
        <v>13</v>
      </c>
      <c r="F4801" s="16" t="s">
        <v>14766</v>
      </c>
    </row>
    <row r="4802" spans="1:6" x14ac:dyDescent="0.25">
      <c r="A4802" s="16" t="s">
        <v>14767</v>
      </c>
      <c r="B4802" s="17" t="s">
        <v>14768</v>
      </c>
      <c r="C4802" s="17" t="s">
        <v>11</v>
      </c>
      <c r="D4802" s="17" t="s">
        <v>12</v>
      </c>
      <c r="E4802" s="17" t="s">
        <v>13</v>
      </c>
      <c r="F4802" s="16" t="s">
        <v>14769</v>
      </c>
    </row>
    <row r="4803" spans="1:6" x14ac:dyDescent="0.25">
      <c r="A4803" s="16" t="s">
        <v>14770</v>
      </c>
      <c r="B4803" s="17" t="s">
        <v>14771</v>
      </c>
      <c r="C4803" s="17" t="s">
        <v>11</v>
      </c>
      <c r="D4803" s="17" t="s">
        <v>12</v>
      </c>
      <c r="E4803" s="17" t="s">
        <v>13</v>
      </c>
      <c r="F4803" s="16" t="s">
        <v>14772</v>
      </c>
    </row>
    <row r="4804" spans="1:6" x14ac:dyDescent="0.25">
      <c r="A4804" s="16" t="s">
        <v>14773</v>
      </c>
      <c r="B4804" s="17" t="s">
        <v>14774</v>
      </c>
      <c r="C4804" s="17" t="s">
        <v>11</v>
      </c>
      <c r="D4804" s="17" t="s">
        <v>12</v>
      </c>
      <c r="E4804" s="17" t="s">
        <v>13</v>
      </c>
      <c r="F4804" s="16" t="s">
        <v>14775</v>
      </c>
    </row>
    <row r="4805" spans="1:6" x14ac:dyDescent="0.25">
      <c r="A4805" s="16" t="s">
        <v>14776</v>
      </c>
      <c r="B4805" s="17" t="s">
        <v>14777</v>
      </c>
      <c r="C4805" s="17" t="s">
        <v>11</v>
      </c>
      <c r="D4805" s="17" t="s">
        <v>250</v>
      </c>
      <c r="E4805" s="17" t="s">
        <v>20</v>
      </c>
      <c r="F4805" s="16" t="s">
        <v>14778</v>
      </c>
    </row>
    <row r="4806" spans="1:6" x14ac:dyDescent="0.25">
      <c r="A4806" s="16" t="s">
        <v>14779</v>
      </c>
      <c r="B4806" s="17" t="s">
        <v>14780</v>
      </c>
      <c r="C4806" s="17" t="s">
        <v>11</v>
      </c>
      <c r="D4806" s="17" t="s">
        <v>12</v>
      </c>
      <c r="E4806" s="17" t="s">
        <v>13</v>
      </c>
      <c r="F4806" s="16" t="s">
        <v>14781</v>
      </c>
    </row>
    <row r="4807" spans="1:6" x14ac:dyDescent="0.25">
      <c r="A4807" s="16" t="s">
        <v>14782</v>
      </c>
      <c r="B4807" s="17" t="s">
        <v>14783</v>
      </c>
      <c r="C4807" s="17" t="s">
        <v>11</v>
      </c>
      <c r="D4807" s="17" t="s">
        <v>233</v>
      </c>
      <c r="E4807" s="17" t="s">
        <v>20</v>
      </c>
      <c r="F4807" s="16" t="s">
        <v>14784</v>
      </c>
    </row>
    <row r="4808" spans="1:6" x14ac:dyDescent="0.25">
      <c r="A4808" s="16" t="s">
        <v>14785</v>
      </c>
      <c r="B4808" s="17" t="s">
        <v>14786</v>
      </c>
      <c r="C4808" s="17" t="s">
        <v>11</v>
      </c>
      <c r="D4808" s="17" t="s">
        <v>26</v>
      </c>
      <c r="E4808" s="17" t="s">
        <v>20</v>
      </c>
      <c r="F4808" s="16" t="s">
        <v>14787</v>
      </c>
    </row>
    <row r="4809" spans="1:6" x14ac:dyDescent="0.25">
      <c r="A4809" s="16" t="s">
        <v>14788</v>
      </c>
      <c r="B4809" s="17" t="s">
        <v>14789</v>
      </c>
      <c r="C4809" s="17" t="s">
        <v>11</v>
      </c>
      <c r="D4809" s="17" t="s">
        <v>12</v>
      </c>
      <c r="E4809" s="17" t="s">
        <v>13</v>
      </c>
      <c r="F4809" s="16" t="s">
        <v>14790</v>
      </c>
    </row>
    <row r="4810" spans="1:6" x14ac:dyDescent="0.25">
      <c r="A4810" s="16" t="s">
        <v>14791</v>
      </c>
      <c r="B4810" s="17" t="s">
        <v>14792</v>
      </c>
      <c r="C4810" s="17" t="s">
        <v>11</v>
      </c>
      <c r="D4810" s="17" t="s">
        <v>19</v>
      </c>
      <c r="E4810" s="17" t="s">
        <v>20</v>
      </c>
      <c r="F4810" s="16" t="s">
        <v>14793</v>
      </c>
    </row>
    <row r="4811" spans="1:6" x14ac:dyDescent="0.25">
      <c r="A4811" s="16" t="s">
        <v>14794</v>
      </c>
      <c r="B4811" s="17" t="s">
        <v>14795</v>
      </c>
      <c r="C4811" s="17" t="s">
        <v>11</v>
      </c>
      <c r="D4811" s="17" t="s">
        <v>12</v>
      </c>
      <c r="E4811" s="17" t="s">
        <v>13</v>
      </c>
      <c r="F4811" s="16" t="s">
        <v>14796</v>
      </c>
    </row>
    <row r="4812" spans="1:6" x14ac:dyDescent="0.25">
      <c r="A4812" s="16" t="s">
        <v>14797</v>
      </c>
      <c r="B4812" s="17" t="s">
        <v>14798</v>
      </c>
      <c r="C4812" s="17" t="s">
        <v>11</v>
      </c>
      <c r="D4812" s="17" t="s">
        <v>182</v>
      </c>
      <c r="E4812" s="17" t="s">
        <v>20</v>
      </c>
      <c r="F4812" s="16" t="s">
        <v>14799</v>
      </c>
    </row>
    <row r="4813" spans="1:6" x14ac:dyDescent="0.25">
      <c r="A4813" s="16" t="s">
        <v>14800</v>
      </c>
      <c r="B4813" s="17" t="s">
        <v>14801</v>
      </c>
      <c r="C4813" s="17" t="s">
        <v>11</v>
      </c>
      <c r="D4813" s="17" t="s">
        <v>182</v>
      </c>
      <c r="E4813" s="17" t="s">
        <v>20</v>
      </c>
      <c r="F4813" s="16" t="s">
        <v>14802</v>
      </c>
    </row>
    <row r="4814" spans="1:6" x14ac:dyDescent="0.25">
      <c r="A4814" s="16" t="s">
        <v>14803</v>
      </c>
      <c r="B4814" s="17" t="s">
        <v>14804</v>
      </c>
      <c r="C4814" s="17" t="s">
        <v>11</v>
      </c>
      <c r="D4814" s="17" t="s">
        <v>80</v>
      </c>
      <c r="E4814" s="17" t="s">
        <v>20</v>
      </c>
      <c r="F4814" s="16" t="s">
        <v>14805</v>
      </c>
    </row>
    <row r="4815" spans="1:6" x14ac:dyDescent="0.25">
      <c r="A4815" s="16" t="s">
        <v>14806</v>
      </c>
      <c r="B4815" s="17" t="s">
        <v>14807</v>
      </c>
      <c r="C4815" s="17" t="s">
        <v>11</v>
      </c>
      <c r="D4815" s="17" t="s">
        <v>12</v>
      </c>
      <c r="E4815" s="17" t="s">
        <v>13</v>
      </c>
      <c r="F4815" s="16" t="s">
        <v>14808</v>
      </c>
    </row>
    <row r="4816" spans="1:6" x14ac:dyDescent="0.25">
      <c r="A4816" s="16" t="s">
        <v>14809</v>
      </c>
      <c r="B4816" s="17" t="s">
        <v>14810</v>
      </c>
      <c r="C4816" s="17" t="s">
        <v>11</v>
      </c>
      <c r="D4816" s="17" t="s">
        <v>83</v>
      </c>
      <c r="E4816" s="17" t="s">
        <v>20</v>
      </c>
      <c r="F4816" s="16" t="s">
        <v>14811</v>
      </c>
    </row>
    <row r="4817" spans="1:6" x14ac:dyDescent="0.25">
      <c r="A4817" s="16" t="s">
        <v>14812</v>
      </c>
      <c r="B4817" s="17" t="s">
        <v>14813</v>
      </c>
      <c r="C4817" s="17" t="s">
        <v>11</v>
      </c>
      <c r="D4817" s="17" t="s">
        <v>12</v>
      </c>
      <c r="E4817" s="17" t="s">
        <v>13</v>
      </c>
      <c r="F4817" s="16" t="s">
        <v>14814</v>
      </c>
    </row>
    <row r="4818" spans="1:6" x14ac:dyDescent="0.25">
      <c r="A4818" s="16" t="s">
        <v>14815</v>
      </c>
      <c r="B4818" s="17" t="s">
        <v>14816</v>
      </c>
      <c r="C4818" s="17" t="s">
        <v>11</v>
      </c>
      <c r="D4818" s="17" t="s">
        <v>80</v>
      </c>
      <c r="E4818" s="17" t="s">
        <v>20</v>
      </c>
      <c r="F4818" s="16" t="s">
        <v>14817</v>
      </c>
    </row>
    <row r="4819" spans="1:6" x14ac:dyDescent="0.25">
      <c r="A4819" s="16" t="s">
        <v>14818</v>
      </c>
      <c r="B4819" s="17" t="s">
        <v>14819</v>
      </c>
      <c r="C4819" s="17" t="s">
        <v>11</v>
      </c>
      <c r="D4819" s="17" t="s">
        <v>12</v>
      </c>
      <c r="E4819" s="17" t="s">
        <v>13</v>
      </c>
      <c r="F4819" s="16" t="s">
        <v>14820</v>
      </c>
    </row>
    <row r="4820" spans="1:6" x14ac:dyDescent="0.25">
      <c r="A4820" s="16" t="s">
        <v>14821</v>
      </c>
      <c r="B4820" s="17" t="s">
        <v>14822</v>
      </c>
      <c r="C4820" s="17" t="s">
        <v>11</v>
      </c>
      <c r="D4820" s="17" t="s">
        <v>74</v>
      </c>
      <c r="E4820" s="17" t="s">
        <v>20</v>
      </c>
      <c r="F4820" s="16" t="s">
        <v>14823</v>
      </c>
    </row>
    <row r="4821" spans="1:6" x14ac:dyDescent="0.25">
      <c r="A4821" s="16" t="s">
        <v>14824</v>
      </c>
      <c r="B4821" s="17" t="s">
        <v>14825</v>
      </c>
      <c r="C4821" s="17" t="s">
        <v>11</v>
      </c>
      <c r="D4821" s="17" t="s">
        <v>250</v>
      </c>
      <c r="E4821" s="17" t="s">
        <v>20</v>
      </c>
      <c r="F4821" s="16" t="s">
        <v>14826</v>
      </c>
    </row>
    <row r="4822" spans="1:6" x14ac:dyDescent="0.25">
      <c r="A4822" s="16" t="s">
        <v>14827</v>
      </c>
      <c r="B4822" s="17" t="s">
        <v>14828</v>
      </c>
      <c r="C4822" s="17" t="s">
        <v>11</v>
      </c>
      <c r="D4822" s="17" t="s">
        <v>182</v>
      </c>
      <c r="E4822" s="17" t="s">
        <v>20</v>
      </c>
      <c r="F4822" s="16" t="s">
        <v>14829</v>
      </c>
    </row>
    <row r="4823" spans="1:6" x14ac:dyDescent="0.25">
      <c r="A4823" s="16" t="s">
        <v>14830</v>
      </c>
      <c r="B4823" s="17" t="s">
        <v>14831</v>
      </c>
      <c r="C4823" s="17" t="s">
        <v>11</v>
      </c>
      <c r="D4823" s="17" t="s">
        <v>544</v>
      </c>
      <c r="E4823" s="17" t="s">
        <v>20</v>
      </c>
      <c r="F4823" s="16" t="s">
        <v>14832</v>
      </c>
    </row>
    <row r="4824" spans="1:6" x14ac:dyDescent="0.25">
      <c r="A4824" s="16" t="s">
        <v>14833</v>
      </c>
      <c r="B4824" s="17" t="s">
        <v>14834</v>
      </c>
      <c r="C4824" s="17" t="s">
        <v>11</v>
      </c>
      <c r="D4824" s="17" t="s">
        <v>12</v>
      </c>
      <c r="E4824" s="17" t="s">
        <v>13</v>
      </c>
      <c r="F4824" s="16" t="s">
        <v>14835</v>
      </c>
    </row>
    <row r="4825" spans="1:6" x14ac:dyDescent="0.25">
      <c r="A4825" s="16" t="s">
        <v>14836</v>
      </c>
      <c r="B4825" s="17" t="s">
        <v>14837</v>
      </c>
      <c r="C4825" s="17" t="s">
        <v>11</v>
      </c>
      <c r="D4825" s="17" t="s">
        <v>12</v>
      </c>
      <c r="E4825" s="17" t="s">
        <v>13</v>
      </c>
      <c r="F4825" s="16" t="s">
        <v>14838</v>
      </c>
    </row>
    <row r="4826" spans="1:6" x14ac:dyDescent="0.25">
      <c r="A4826" s="16" t="s">
        <v>14839</v>
      </c>
      <c r="B4826" s="17" t="s">
        <v>14840</v>
      </c>
      <c r="C4826" s="17" t="s">
        <v>11</v>
      </c>
      <c r="D4826" s="17" t="s">
        <v>233</v>
      </c>
      <c r="E4826" s="17" t="s">
        <v>20</v>
      </c>
      <c r="F4826" s="16" t="s">
        <v>14841</v>
      </c>
    </row>
    <row r="4827" spans="1:6" x14ac:dyDescent="0.25">
      <c r="A4827" s="16" t="s">
        <v>14842</v>
      </c>
      <c r="B4827" s="17" t="s">
        <v>14843</v>
      </c>
      <c r="C4827" s="17" t="s">
        <v>11</v>
      </c>
      <c r="D4827" s="17" t="s">
        <v>59</v>
      </c>
      <c r="E4827" s="17" t="s">
        <v>13</v>
      </c>
      <c r="F4827" s="16" t="s">
        <v>14844</v>
      </c>
    </row>
    <row r="4828" spans="1:6" x14ac:dyDescent="0.25">
      <c r="A4828" s="16" t="s">
        <v>14845</v>
      </c>
      <c r="B4828" s="17" t="s">
        <v>14846</v>
      </c>
      <c r="C4828" s="17" t="s">
        <v>11</v>
      </c>
      <c r="D4828" s="17" t="s">
        <v>12</v>
      </c>
      <c r="E4828" s="17" t="s">
        <v>13</v>
      </c>
      <c r="F4828" s="16" t="s">
        <v>14847</v>
      </c>
    </row>
    <row r="4829" spans="1:6" x14ac:dyDescent="0.25">
      <c r="A4829" s="16" t="s">
        <v>14848</v>
      </c>
      <c r="B4829" s="17" t="s">
        <v>14849</v>
      </c>
      <c r="C4829" s="17" t="s">
        <v>11</v>
      </c>
      <c r="D4829" s="17" t="s">
        <v>74</v>
      </c>
      <c r="E4829" s="17" t="s">
        <v>20</v>
      </c>
      <c r="F4829" s="16" t="s">
        <v>14850</v>
      </c>
    </row>
    <row r="4830" spans="1:6" x14ac:dyDescent="0.25">
      <c r="A4830" s="16" t="s">
        <v>14851</v>
      </c>
      <c r="B4830" s="17" t="s">
        <v>14852</v>
      </c>
      <c r="C4830" s="17" t="s">
        <v>11</v>
      </c>
      <c r="D4830" s="17" t="s">
        <v>12</v>
      </c>
      <c r="E4830" s="17" t="s">
        <v>13</v>
      </c>
      <c r="F4830" s="16" t="s">
        <v>14853</v>
      </c>
    </row>
    <row r="4831" spans="1:6" x14ac:dyDescent="0.25">
      <c r="A4831" s="16" t="s">
        <v>14854</v>
      </c>
      <c r="B4831" s="17" t="s">
        <v>14855</v>
      </c>
      <c r="C4831" s="17" t="s">
        <v>11</v>
      </c>
      <c r="D4831" s="17" t="s">
        <v>182</v>
      </c>
      <c r="E4831" s="17" t="s">
        <v>20</v>
      </c>
      <c r="F4831" s="16" t="s">
        <v>14856</v>
      </c>
    </row>
    <row r="4832" spans="1:6" x14ac:dyDescent="0.25">
      <c r="A4832" s="16" t="s">
        <v>14857</v>
      </c>
      <c r="B4832" s="17" t="s">
        <v>14858</v>
      </c>
      <c r="C4832" s="17" t="s">
        <v>11</v>
      </c>
      <c r="D4832" s="17" t="s">
        <v>32</v>
      </c>
      <c r="E4832" s="17" t="s">
        <v>20</v>
      </c>
      <c r="F4832" s="16" t="s">
        <v>14859</v>
      </c>
    </row>
    <row r="4833" spans="1:6" x14ac:dyDescent="0.25">
      <c r="A4833" s="16" t="s">
        <v>14860</v>
      </c>
      <c r="B4833" s="17" t="s">
        <v>14861</v>
      </c>
      <c r="C4833" s="17" t="s">
        <v>11</v>
      </c>
      <c r="D4833" s="17" t="s">
        <v>74</v>
      </c>
      <c r="E4833" s="17" t="s">
        <v>20</v>
      </c>
      <c r="F4833" s="16" t="s">
        <v>14862</v>
      </c>
    </row>
    <row r="4834" spans="1:6" x14ac:dyDescent="0.25">
      <c r="A4834" s="16" t="s">
        <v>14863</v>
      </c>
      <c r="B4834" s="17" t="s">
        <v>14864</v>
      </c>
      <c r="C4834" s="17" t="s">
        <v>11</v>
      </c>
      <c r="D4834" s="17" t="s">
        <v>12</v>
      </c>
      <c r="E4834" s="17" t="s">
        <v>13</v>
      </c>
      <c r="F4834" s="16" t="s">
        <v>14865</v>
      </c>
    </row>
    <row r="4835" spans="1:6" x14ac:dyDescent="0.25">
      <c r="A4835" s="16" t="s">
        <v>14866</v>
      </c>
      <c r="B4835" s="17" t="s">
        <v>14867</v>
      </c>
      <c r="C4835" s="17" t="s">
        <v>11</v>
      </c>
      <c r="D4835" s="17" t="s">
        <v>12</v>
      </c>
      <c r="E4835" s="17" t="s">
        <v>13</v>
      </c>
      <c r="F4835" s="16" t="s">
        <v>14868</v>
      </c>
    </row>
    <row r="4836" spans="1:6" x14ac:dyDescent="0.25">
      <c r="A4836" s="16" t="s">
        <v>14869</v>
      </c>
      <c r="B4836" s="17" t="s">
        <v>14870</v>
      </c>
      <c r="C4836" s="17" t="s">
        <v>11</v>
      </c>
      <c r="D4836" s="17" t="s">
        <v>80</v>
      </c>
      <c r="E4836" s="17" t="s">
        <v>20</v>
      </c>
      <c r="F4836" s="16" t="s">
        <v>14871</v>
      </c>
    </row>
    <row r="4837" spans="1:6" x14ac:dyDescent="0.25">
      <c r="A4837" s="16" t="s">
        <v>14872</v>
      </c>
      <c r="B4837" s="17" t="s">
        <v>14873</v>
      </c>
      <c r="C4837" s="17" t="s">
        <v>11</v>
      </c>
      <c r="D4837" s="17" t="s">
        <v>12</v>
      </c>
      <c r="E4837" s="17" t="s">
        <v>13</v>
      </c>
      <c r="F4837" s="16" t="s">
        <v>14874</v>
      </c>
    </row>
    <row r="4838" spans="1:6" x14ac:dyDescent="0.25">
      <c r="A4838" s="16" t="s">
        <v>14875</v>
      </c>
      <c r="B4838" s="17" t="s">
        <v>14876</v>
      </c>
      <c r="C4838" s="17" t="s">
        <v>11</v>
      </c>
      <c r="D4838" s="17" t="s">
        <v>12</v>
      </c>
      <c r="E4838" s="17" t="s">
        <v>13</v>
      </c>
      <c r="F4838" s="16" t="s">
        <v>14877</v>
      </c>
    </row>
    <row r="4839" spans="1:6" x14ac:dyDescent="0.25">
      <c r="A4839" s="16" t="s">
        <v>14878</v>
      </c>
      <c r="B4839" s="17" t="s">
        <v>14879</v>
      </c>
      <c r="C4839" s="17" t="s">
        <v>11</v>
      </c>
      <c r="D4839" s="17" t="s">
        <v>12</v>
      </c>
      <c r="E4839" s="17" t="s">
        <v>13</v>
      </c>
      <c r="F4839" s="16" t="s">
        <v>14880</v>
      </c>
    </row>
    <row r="4840" spans="1:6" x14ac:dyDescent="0.25">
      <c r="A4840" s="16" t="s">
        <v>14881</v>
      </c>
      <c r="B4840" s="17" t="s">
        <v>14882</v>
      </c>
      <c r="C4840" s="17" t="s">
        <v>11</v>
      </c>
      <c r="D4840" s="17" t="s">
        <v>12</v>
      </c>
      <c r="E4840" s="17" t="s">
        <v>13</v>
      </c>
      <c r="F4840" s="16" t="s">
        <v>14883</v>
      </c>
    </row>
    <row r="4841" spans="1:6" x14ac:dyDescent="0.25">
      <c r="A4841" s="16" t="s">
        <v>14884</v>
      </c>
      <c r="B4841" s="17" t="s">
        <v>14885</v>
      </c>
      <c r="C4841" s="17" t="s">
        <v>11</v>
      </c>
      <c r="D4841" s="17" t="s">
        <v>12</v>
      </c>
      <c r="E4841" s="17" t="s">
        <v>13</v>
      </c>
      <c r="F4841" s="16" t="s">
        <v>14886</v>
      </c>
    </row>
    <row r="4842" spans="1:6" x14ac:dyDescent="0.25">
      <c r="A4842" s="16" t="s">
        <v>14887</v>
      </c>
      <c r="B4842" s="17" t="s">
        <v>14888</v>
      </c>
      <c r="C4842" s="17" t="s">
        <v>11</v>
      </c>
      <c r="D4842" s="17" t="s">
        <v>186</v>
      </c>
      <c r="E4842" s="17" t="s">
        <v>20</v>
      </c>
      <c r="F4842" s="16" t="s">
        <v>14889</v>
      </c>
    </row>
    <row r="4843" spans="1:6" x14ac:dyDescent="0.25">
      <c r="A4843" s="16" t="s">
        <v>14890</v>
      </c>
      <c r="B4843" s="17" t="s">
        <v>14891</v>
      </c>
      <c r="C4843" s="17" t="s">
        <v>11</v>
      </c>
      <c r="D4843" s="17" t="s">
        <v>12</v>
      </c>
      <c r="E4843" s="17" t="s">
        <v>13</v>
      </c>
      <c r="F4843" s="16" t="s">
        <v>14892</v>
      </c>
    </row>
    <row r="4844" spans="1:6" x14ac:dyDescent="0.25">
      <c r="A4844" s="16" t="s">
        <v>14893</v>
      </c>
      <c r="B4844" s="17" t="s">
        <v>14894</v>
      </c>
      <c r="C4844" s="17" t="s">
        <v>11</v>
      </c>
      <c r="D4844" s="17" t="s">
        <v>649</v>
      </c>
      <c r="E4844" s="17" t="s">
        <v>20</v>
      </c>
      <c r="F4844" s="16" t="s">
        <v>14895</v>
      </c>
    </row>
    <row r="4845" spans="1:6" x14ac:dyDescent="0.25">
      <c r="A4845" s="16" t="s">
        <v>14896</v>
      </c>
      <c r="B4845" s="17" t="s">
        <v>14897</v>
      </c>
      <c r="C4845" s="17" t="s">
        <v>11</v>
      </c>
      <c r="D4845" s="17" t="s">
        <v>12</v>
      </c>
      <c r="E4845" s="17" t="s">
        <v>13</v>
      </c>
      <c r="F4845" s="16" t="s">
        <v>14898</v>
      </c>
    </row>
    <row r="4846" spans="1:6" x14ac:dyDescent="0.25">
      <c r="A4846" s="16" t="s">
        <v>14899</v>
      </c>
      <c r="B4846" s="17" t="s">
        <v>14900</v>
      </c>
      <c r="C4846" s="17" t="s">
        <v>11</v>
      </c>
      <c r="D4846" s="17" t="s">
        <v>32</v>
      </c>
      <c r="E4846" s="17" t="s">
        <v>20</v>
      </c>
      <c r="F4846" s="16" t="s">
        <v>14901</v>
      </c>
    </row>
    <row r="4847" spans="1:6" x14ac:dyDescent="0.25">
      <c r="A4847" s="16" t="s">
        <v>14902</v>
      </c>
      <c r="B4847" s="17" t="s">
        <v>14903</v>
      </c>
      <c r="C4847" s="17" t="s">
        <v>11</v>
      </c>
      <c r="D4847" s="17" t="s">
        <v>250</v>
      </c>
      <c r="E4847" s="17" t="s">
        <v>20</v>
      </c>
      <c r="F4847" s="16" t="s">
        <v>14904</v>
      </c>
    </row>
    <row r="4848" spans="1:6" x14ac:dyDescent="0.25">
      <c r="A4848" s="16" t="s">
        <v>14905</v>
      </c>
      <c r="B4848" s="17" t="s">
        <v>14906</v>
      </c>
      <c r="C4848" s="17" t="s">
        <v>11</v>
      </c>
      <c r="D4848" s="17" t="s">
        <v>12</v>
      </c>
      <c r="E4848" s="17" t="s">
        <v>13</v>
      </c>
      <c r="F4848" s="16" t="s">
        <v>14907</v>
      </c>
    </row>
    <row r="4849" spans="1:6" x14ac:dyDescent="0.25">
      <c r="A4849" s="16" t="s">
        <v>14908</v>
      </c>
      <c r="B4849" s="17" t="s">
        <v>14909</v>
      </c>
      <c r="C4849" s="17" t="s">
        <v>11</v>
      </c>
      <c r="D4849" s="17" t="s">
        <v>68</v>
      </c>
      <c r="E4849" s="17" t="s">
        <v>20</v>
      </c>
      <c r="F4849" s="16" t="s">
        <v>14910</v>
      </c>
    </row>
    <row r="4850" spans="1:6" x14ac:dyDescent="0.25">
      <c r="A4850" s="16" t="s">
        <v>14911</v>
      </c>
      <c r="B4850" s="17" t="s">
        <v>14912</v>
      </c>
      <c r="C4850" s="17" t="s">
        <v>11</v>
      </c>
      <c r="D4850" s="17" t="s">
        <v>74</v>
      </c>
      <c r="E4850" s="17" t="s">
        <v>20</v>
      </c>
      <c r="F4850" s="16" t="s">
        <v>14913</v>
      </c>
    </row>
    <row r="4851" spans="1:6" x14ac:dyDescent="0.25">
      <c r="A4851" s="16" t="s">
        <v>14914</v>
      </c>
      <c r="B4851" s="17" t="s">
        <v>14915</v>
      </c>
      <c r="C4851" s="17" t="s">
        <v>11</v>
      </c>
      <c r="D4851" s="17" t="s">
        <v>148</v>
      </c>
      <c r="E4851" s="17" t="s">
        <v>20</v>
      </c>
      <c r="F4851" s="16" t="s">
        <v>14916</v>
      </c>
    </row>
    <row r="4852" spans="1:6" x14ac:dyDescent="0.25">
      <c r="A4852" s="16" t="s">
        <v>14917</v>
      </c>
      <c r="B4852" s="17" t="s">
        <v>14918</v>
      </c>
      <c r="C4852" s="17" t="s">
        <v>11</v>
      </c>
      <c r="D4852" s="17" t="s">
        <v>32</v>
      </c>
      <c r="E4852" s="17" t="s">
        <v>20</v>
      </c>
      <c r="F4852" s="16" t="s">
        <v>14919</v>
      </c>
    </row>
    <row r="4853" spans="1:6" x14ac:dyDescent="0.25">
      <c r="A4853" s="16" t="s">
        <v>14920</v>
      </c>
      <c r="B4853" s="17" t="s">
        <v>14921</v>
      </c>
      <c r="C4853" s="17" t="s">
        <v>11</v>
      </c>
      <c r="D4853" s="17" t="s">
        <v>12</v>
      </c>
      <c r="E4853" s="17" t="s">
        <v>13</v>
      </c>
      <c r="F4853" s="16" t="s">
        <v>14922</v>
      </c>
    </row>
    <row r="4854" spans="1:6" x14ac:dyDescent="0.25">
      <c r="A4854" s="16" t="s">
        <v>14923</v>
      </c>
      <c r="B4854" s="17" t="s">
        <v>14924</v>
      </c>
      <c r="C4854" s="17" t="s">
        <v>11</v>
      </c>
      <c r="D4854" s="17" t="s">
        <v>182</v>
      </c>
      <c r="E4854" s="17" t="s">
        <v>20</v>
      </c>
      <c r="F4854" s="16" t="s">
        <v>14925</v>
      </c>
    </row>
    <row r="4855" spans="1:6" x14ac:dyDescent="0.25">
      <c r="A4855" s="16" t="s">
        <v>14926</v>
      </c>
      <c r="B4855" s="17" t="s">
        <v>14927</v>
      </c>
      <c r="C4855" s="17" t="s">
        <v>11</v>
      </c>
      <c r="D4855" s="17" t="s">
        <v>74</v>
      </c>
      <c r="E4855" s="17" t="s">
        <v>20</v>
      </c>
      <c r="F4855" s="16" t="s">
        <v>14928</v>
      </c>
    </row>
    <row r="4856" spans="1:6" x14ac:dyDescent="0.25">
      <c r="A4856" s="16" t="s">
        <v>14929</v>
      </c>
      <c r="B4856" s="17" t="s">
        <v>14930</v>
      </c>
      <c r="C4856" s="17" t="s">
        <v>11</v>
      </c>
      <c r="D4856" s="17" t="s">
        <v>12</v>
      </c>
      <c r="E4856" s="17" t="s">
        <v>13</v>
      </c>
      <c r="F4856" s="16" t="s">
        <v>14931</v>
      </c>
    </row>
    <row r="4857" spans="1:6" x14ac:dyDescent="0.25">
      <c r="A4857" s="16" t="s">
        <v>14932</v>
      </c>
      <c r="B4857" s="17" t="s">
        <v>14933</v>
      </c>
      <c r="C4857" s="17" t="s">
        <v>11</v>
      </c>
      <c r="D4857" s="17" t="s">
        <v>12</v>
      </c>
      <c r="E4857" s="17" t="s">
        <v>13</v>
      </c>
      <c r="F4857" s="16" t="s">
        <v>14934</v>
      </c>
    </row>
    <row r="4858" spans="1:6" x14ac:dyDescent="0.25">
      <c r="A4858" s="16" t="s">
        <v>14935</v>
      </c>
      <c r="B4858" s="17" t="s">
        <v>14936</v>
      </c>
      <c r="C4858" s="17" t="s">
        <v>11</v>
      </c>
      <c r="D4858" s="17" t="s">
        <v>291</v>
      </c>
      <c r="E4858" s="17" t="s">
        <v>20</v>
      </c>
      <c r="F4858" s="16" t="s">
        <v>14937</v>
      </c>
    </row>
    <row r="4859" spans="1:6" x14ac:dyDescent="0.25">
      <c r="A4859" s="16" t="s">
        <v>14938</v>
      </c>
      <c r="B4859" s="17" t="s">
        <v>14939</v>
      </c>
      <c r="C4859" s="17" t="s">
        <v>11</v>
      </c>
      <c r="D4859" s="17" t="s">
        <v>59</v>
      </c>
      <c r="E4859" s="17" t="s">
        <v>13</v>
      </c>
      <c r="F4859" s="16" t="s">
        <v>14940</v>
      </c>
    </row>
    <row r="4860" spans="1:6" x14ac:dyDescent="0.25">
      <c r="A4860" s="16" t="s">
        <v>14941</v>
      </c>
      <c r="B4860" s="17" t="s">
        <v>14942</v>
      </c>
      <c r="C4860" s="17" t="s">
        <v>11</v>
      </c>
      <c r="D4860" s="17" t="s">
        <v>12</v>
      </c>
      <c r="E4860" s="17" t="s">
        <v>13</v>
      </c>
      <c r="F4860" s="16" t="s">
        <v>14943</v>
      </c>
    </row>
    <row r="4861" spans="1:6" x14ac:dyDescent="0.25">
      <c r="A4861" s="16" t="s">
        <v>14944</v>
      </c>
      <c r="B4861" s="17" t="s">
        <v>14945</v>
      </c>
      <c r="C4861" s="17" t="s">
        <v>11</v>
      </c>
      <c r="D4861" s="17" t="s">
        <v>250</v>
      </c>
      <c r="E4861" s="17" t="s">
        <v>20</v>
      </c>
      <c r="F4861" s="16" t="s">
        <v>14946</v>
      </c>
    </row>
    <row r="4862" spans="1:6" x14ac:dyDescent="0.25">
      <c r="A4862" s="16" t="s">
        <v>14947</v>
      </c>
      <c r="B4862" s="17" t="s">
        <v>14948</v>
      </c>
      <c r="C4862" s="17" t="s">
        <v>11</v>
      </c>
      <c r="D4862" s="17" t="s">
        <v>12</v>
      </c>
      <c r="E4862" s="17" t="s">
        <v>13</v>
      </c>
      <c r="F4862" s="16" t="s">
        <v>14949</v>
      </c>
    </row>
    <row r="4863" spans="1:6" x14ac:dyDescent="0.25">
      <c r="A4863" s="16" t="s">
        <v>14950</v>
      </c>
      <c r="B4863" s="17" t="s">
        <v>14951</v>
      </c>
      <c r="C4863" s="17" t="s">
        <v>11</v>
      </c>
      <c r="D4863" s="17" t="s">
        <v>12</v>
      </c>
      <c r="E4863" s="17" t="s">
        <v>13</v>
      </c>
      <c r="F4863" s="16" t="s">
        <v>14952</v>
      </c>
    </row>
    <row r="4864" spans="1:6" x14ac:dyDescent="0.25">
      <c r="A4864" s="16" t="s">
        <v>14953</v>
      </c>
      <c r="B4864" s="17" t="s">
        <v>14954</v>
      </c>
      <c r="C4864" s="17" t="s">
        <v>11</v>
      </c>
      <c r="D4864" s="17" t="s">
        <v>233</v>
      </c>
      <c r="E4864" s="17" t="s">
        <v>20</v>
      </c>
      <c r="F4864" s="16" t="s">
        <v>14955</v>
      </c>
    </row>
    <row r="4865" spans="1:6" x14ac:dyDescent="0.25">
      <c r="A4865" s="16" t="s">
        <v>14956</v>
      </c>
      <c r="B4865" s="17" t="s">
        <v>14957</v>
      </c>
      <c r="C4865" s="17" t="s">
        <v>11</v>
      </c>
      <c r="D4865" s="17" t="s">
        <v>186</v>
      </c>
      <c r="E4865" s="17" t="s">
        <v>20</v>
      </c>
      <c r="F4865" s="16" t="s">
        <v>14958</v>
      </c>
    </row>
    <row r="4866" spans="1:6" x14ac:dyDescent="0.25">
      <c r="A4866" s="16" t="s">
        <v>14959</v>
      </c>
      <c r="B4866" s="17" t="s">
        <v>14960</v>
      </c>
      <c r="C4866" s="17" t="s">
        <v>11</v>
      </c>
      <c r="D4866" s="17" t="s">
        <v>12</v>
      </c>
      <c r="E4866" s="17" t="s">
        <v>13</v>
      </c>
      <c r="F4866" s="16" t="s">
        <v>14961</v>
      </c>
    </row>
    <row r="4867" spans="1:6" x14ac:dyDescent="0.25">
      <c r="A4867" s="16" t="s">
        <v>14962</v>
      </c>
      <c r="B4867" s="17" t="s">
        <v>14963</v>
      </c>
      <c r="C4867" s="17" t="s">
        <v>359</v>
      </c>
      <c r="D4867" s="17" t="s">
        <v>32</v>
      </c>
      <c r="E4867" s="17" t="s">
        <v>20</v>
      </c>
      <c r="F4867" s="16" t="s">
        <v>14964</v>
      </c>
    </row>
    <row r="4868" spans="1:6" x14ac:dyDescent="0.25">
      <c r="A4868" s="16" t="s">
        <v>14965</v>
      </c>
      <c r="B4868" s="17" t="s">
        <v>14966</v>
      </c>
      <c r="C4868" s="17" t="s">
        <v>11</v>
      </c>
      <c r="D4868" s="17" t="s">
        <v>32</v>
      </c>
      <c r="E4868" s="17" t="s">
        <v>20</v>
      </c>
      <c r="F4868" s="16" t="s">
        <v>14967</v>
      </c>
    </row>
    <row r="4869" spans="1:6" x14ac:dyDescent="0.25">
      <c r="A4869" s="16" t="s">
        <v>14968</v>
      </c>
      <c r="B4869" s="17" t="s">
        <v>14969</v>
      </c>
      <c r="C4869" s="17" t="s">
        <v>11</v>
      </c>
      <c r="D4869" s="17" t="s">
        <v>250</v>
      </c>
      <c r="E4869" s="17" t="s">
        <v>20</v>
      </c>
      <c r="F4869" s="16" t="s">
        <v>14970</v>
      </c>
    </row>
    <row r="4870" spans="1:6" x14ac:dyDescent="0.25">
      <c r="A4870" s="16" t="s">
        <v>14971</v>
      </c>
      <c r="B4870" s="17" t="s">
        <v>14972</v>
      </c>
      <c r="C4870" s="17" t="s">
        <v>11</v>
      </c>
      <c r="D4870" s="17" t="s">
        <v>182</v>
      </c>
      <c r="E4870" s="17" t="s">
        <v>20</v>
      </c>
      <c r="F4870" s="16" t="s">
        <v>14973</v>
      </c>
    </row>
    <row r="4871" spans="1:6" x14ac:dyDescent="0.25">
      <c r="A4871" s="16" t="s">
        <v>14974</v>
      </c>
      <c r="B4871" s="17" t="s">
        <v>14975</v>
      </c>
      <c r="C4871" s="17" t="s">
        <v>11</v>
      </c>
      <c r="D4871" s="17" t="s">
        <v>80</v>
      </c>
      <c r="E4871" s="17" t="s">
        <v>20</v>
      </c>
      <c r="F4871" s="16" t="s">
        <v>14976</v>
      </c>
    </row>
    <row r="4872" spans="1:6" x14ac:dyDescent="0.25">
      <c r="A4872" s="16" t="s">
        <v>14977</v>
      </c>
      <c r="B4872" s="17" t="s">
        <v>14978</v>
      </c>
      <c r="C4872" s="17" t="s">
        <v>11</v>
      </c>
      <c r="D4872" s="17" t="s">
        <v>12</v>
      </c>
      <c r="E4872" s="17" t="s">
        <v>13</v>
      </c>
      <c r="F4872" s="16" t="s">
        <v>14979</v>
      </c>
    </row>
    <row r="4873" spans="1:6" x14ac:dyDescent="0.25">
      <c r="A4873" s="16" t="s">
        <v>14980</v>
      </c>
      <c r="B4873" s="17" t="s">
        <v>14981</v>
      </c>
      <c r="C4873" s="17" t="s">
        <v>11</v>
      </c>
      <c r="D4873" s="17" t="s">
        <v>12</v>
      </c>
      <c r="E4873" s="17" t="s">
        <v>13</v>
      </c>
      <c r="F4873" s="16" t="s">
        <v>14982</v>
      </c>
    </row>
    <row r="4874" spans="1:6" x14ac:dyDescent="0.25">
      <c r="A4874" s="16" t="s">
        <v>14983</v>
      </c>
      <c r="B4874" s="17" t="s">
        <v>14984</v>
      </c>
      <c r="C4874" s="17" t="s">
        <v>11</v>
      </c>
      <c r="D4874" s="17" t="s">
        <v>186</v>
      </c>
      <c r="E4874" s="17" t="s">
        <v>20</v>
      </c>
      <c r="F4874" s="16" t="s">
        <v>14985</v>
      </c>
    </row>
    <row r="4875" spans="1:6" x14ac:dyDescent="0.25">
      <c r="A4875" s="16" t="s">
        <v>14986</v>
      </c>
      <c r="B4875" s="17" t="s">
        <v>14987</v>
      </c>
      <c r="C4875" s="17" t="s">
        <v>11</v>
      </c>
      <c r="D4875" s="17" t="s">
        <v>291</v>
      </c>
      <c r="E4875" s="17" t="s">
        <v>20</v>
      </c>
      <c r="F4875" s="16" t="s">
        <v>14988</v>
      </c>
    </row>
    <row r="4876" spans="1:6" x14ac:dyDescent="0.25">
      <c r="A4876" s="16" t="s">
        <v>14989</v>
      </c>
      <c r="B4876" s="17" t="s">
        <v>14990</v>
      </c>
      <c r="C4876" s="17" t="s">
        <v>11</v>
      </c>
      <c r="D4876" s="17" t="s">
        <v>233</v>
      </c>
      <c r="E4876" s="17" t="s">
        <v>20</v>
      </c>
      <c r="F4876" s="16" t="s">
        <v>14991</v>
      </c>
    </row>
    <row r="4877" spans="1:6" x14ac:dyDescent="0.25">
      <c r="A4877" s="16" t="s">
        <v>14992</v>
      </c>
      <c r="B4877" s="17" t="s">
        <v>14993</v>
      </c>
      <c r="C4877" s="17" t="s">
        <v>11</v>
      </c>
      <c r="D4877" s="17" t="s">
        <v>291</v>
      </c>
      <c r="E4877" s="17" t="s">
        <v>20</v>
      </c>
      <c r="F4877" s="16" t="s">
        <v>14994</v>
      </c>
    </row>
    <row r="4878" spans="1:6" x14ac:dyDescent="0.25">
      <c r="A4878" s="16" t="s">
        <v>14995</v>
      </c>
      <c r="B4878" s="17" t="s">
        <v>14996</v>
      </c>
      <c r="C4878" s="17" t="s">
        <v>11</v>
      </c>
      <c r="D4878" s="17" t="s">
        <v>12</v>
      </c>
      <c r="E4878" s="17" t="s">
        <v>13</v>
      </c>
      <c r="F4878" s="16" t="s">
        <v>14997</v>
      </c>
    </row>
    <row r="4879" spans="1:6" x14ac:dyDescent="0.25">
      <c r="A4879" s="16" t="s">
        <v>14998</v>
      </c>
      <c r="B4879" s="17" t="s">
        <v>14999</v>
      </c>
      <c r="C4879" s="17" t="s">
        <v>11</v>
      </c>
      <c r="D4879" s="17" t="s">
        <v>12</v>
      </c>
      <c r="E4879" s="17" t="s">
        <v>13</v>
      </c>
      <c r="F4879" s="16" t="s">
        <v>15000</v>
      </c>
    </row>
    <row r="4880" spans="1:6" x14ac:dyDescent="0.25">
      <c r="A4880" s="16" t="s">
        <v>15001</v>
      </c>
      <c r="B4880" s="17" t="s">
        <v>15002</v>
      </c>
      <c r="C4880" s="17" t="s">
        <v>11</v>
      </c>
      <c r="D4880" s="17" t="s">
        <v>32</v>
      </c>
      <c r="E4880" s="17" t="s">
        <v>20</v>
      </c>
      <c r="F4880" s="16" t="s">
        <v>15003</v>
      </c>
    </row>
    <row r="4881" spans="1:6" x14ac:dyDescent="0.25">
      <c r="A4881" s="16" t="s">
        <v>15004</v>
      </c>
      <c r="B4881" s="17" t="s">
        <v>15005</v>
      </c>
      <c r="C4881" s="17" t="s">
        <v>11</v>
      </c>
      <c r="D4881" s="17" t="s">
        <v>26</v>
      </c>
      <c r="E4881" s="17" t="s">
        <v>20</v>
      </c>
      <c r="F4881" s="16" t="s">
        <v>15006</v>
      </c>
    </row>
    <row r="4882" spans="1:6" x14ac:dyDescent="0.25">
      <c r="A4882" s="16" t="s">
        <v>15007</v>
      </c>
      <c r="B4882" s="17" t="s">
        <v>15008</v>
      </c>
      <c r="C4882" s="17" t="s">
        <v>11</v>
      </c>
      <c r="D4882" s="17" t="s">
        <v>32</v>
      </c>
      <c r="E4882" s="17" t="s">
        <v>20</v>
      </c>
      <c r="F4882" s="16" t="s">
        <v>15009</v>
      </c>
    </row>
    <row r="4883" spans="1:6" x14ac:dyDescent="0.25">
      <c r="A4883" s="16" t="s">
        <v>15010</v>
      </c>
      <c r="B4883" s="17" t="s">
        <v>15011</v>
      </c>
      <c r="C4883" s="17" t="s">
        <v>11</v>
      </c>
      <c r="D4883" s="17" t="s">
        <v>12</v>
      </c>
      <c r="E4883" s="17" t="s">
        <v>13</v>
      </c>
      <c r="F4883" s="16" t="s">
        <v>15012</v>
      </c>
    </row>
    <row r="4884" spans="1:6" x14ac:dyDescent="0.25">
      <c r="A4884" s="16" t="s">
        <v>15013</v>
      </c>
      <c r="B4884" s="17" t="s">
        <v>15014</v>
      </c>
      <c r="C4884" s="17" t="s">
        <v>11</v>
      </c>
      <c r="D4884" s="17" t="s">
        <v>80</v>
      </c>
      <c r="E4884" s="17" t="s">
        <v>20</v>
      </c>
      <c r="F4884" s="16" t="s">
        <v>15015</v>
      </c>
    </row>
    <row r="4885" spans="1:6" x14ac:dyDescent="0.25">
      <c r="A4885" s="16" t="s">
        <v>15016</v>
      </c>
      <c r="B4885" s="17" t="s">
        <v>15017</v>
      </c>
      <c r="C4885" s="17" t="s">
        <v>11</v>
      </c>
      <c r="D4885" s="17" t="s">
        <v>74</v>
      </c>
      <c r="E4885" s="17" t="s">
        <v>20</v>
      </c>
      <c r="F4885" s="16" t="s">
        <v>15018</v>
      </c>
    </row>
    <row r="4886" spans="1:6" x14ac:dyDescent="0.25">
      <c r="A4886" s="16" t="s">
        <v>15019</v>
      </c>
      <c r="B4886" s="17" t="s">
        <v>15020</v>
      </c>
      <c r="C4886" s="17" t="s">
        <v>11</v>
      </c>
      <c r="D4886" s="17" t="s">
        <v>26</v>
      </c>
      <c r="E4886" s="17" t="s">
        <v>20</v>
      </c>
      <c r="F4886" s="16" t="s">
        <v>15021</v>
      </c>
    </row>
    <row r="4887" spans="1:6" x14ac:dyDescent="0.25">
      <c r="A4887" s="16" t="s">
        <v>15022</v>
      </c>
      <c r="B4887" s="17" t="s">
        <v>15023</v>
      </c>
      <c r="C4887" s="17" t="s">
        <v>11</v>
      </c>
      <c r="D4887" s="17" t="s">
        <v>186</v>
      </c>
      <c r="E4887" s="17" t="s">
        <v>20</v>
      </c>
      <c r="F4887" s="16" t="s">
        <v>15024</v>
      </c>
    </row>
    <row r="4888" spans="1:6" x14ac:dyDescent="0.25">
      <c r="A4888" s="16" t="s">
        <v>15025</v>
      </c>
      <c r="B4888" s="17" t="s">
        <v>15026</v>
      </c>
      <c r="C4888" s="17" t="s">
        <v>11</v>
      </c>
      <c r="D4888" s="17" t="s">
        <v>80</v>
      </c>
      <c r="E4888" s="17" t="s">
        <v>20</v>
      </c>
      <c r="F4888" s="16" t="s">
        <v>15027</v>
      </c>
    </row>
    <row r="4889" spans="1:6" x14ac:dyDescent="0.25">
      <c r="A4889" s="16" t="s">
        <v>15028</v>
      </c>
      <c r="B4889" s="17" t="s">
        <v>15029</v>
      </c>
      <c r="C4889" s="17" t="s">
        <v>11</v>
      </c>
      <c r="D4889" s="17" t="s">
        <v>12</v>
      </c>
      <c r="E4889" s="17" t="s">
        <v>13</v>
      </c>
      <c r="F4889" s="16" t="s">
        <v>15030</v>
      </c>
    </row>
    <row r="4890" spans="1:6" x14ac:dyDescent="0.25">
      <c r="A4890" s="16" t="s">
        <v>15031</v>
      </c>
      <c r="B4890" s="17" t="s">
        <v>15032</v>
      </c>
      <c r="C4890" s="17" t="s">
        <v>11</v>
      </c>
      <c r="D4890" s="17" t="s">
        <v>83</v>
      </c>
      <c r="E4890" s="17" t="s">
        <v>20</v>
      </c>
      <c r="F4890" s="16" t="s">
        <v>15033</v>
      </c>
    </row>
    <row r="4891" spans="1:6" x14ac:dyDescent="0.25">
      <c r="A4891" s="16" t="s">
        <v>15034</v>
      </c>
      <c r="B4891" s="17" t="s">
        <v>15035</v>
      </c>
      <c r="C4891" s="17" t="s">
        <v>11</v>
      </c>
      <c r="D4891" s="17" t="s">
        <v>80</v>
      </c>
      <c r="E4891" s="17" t="s">
        <v>20</v>
      </c>
      <c r="F4891" s="16" t="s">
        <v>15036</v>
      </c>
    </row>
    <row r="4892" spans="1:6" x14ac:dyDescent="0.25">
      <c r="A4892" s="16" t="s">
        <v>15037</v>
      </c>
      <c r="B4892" s="17" t="s">
        <v>15038</v>
      </c>
      <c r="C4892" s="17" t="s">
        <v>11</v>
      </c>
      <c r="D4892" s="17" t="s">
        <v>12</v>
      </c>
      <c r="E4892" s="17" t="s">
        <v>13</v>
      </c>
      <c r="F4892" s="16" t="s">
        <v>15039</v>
      </c>
    </row>
    <row r="4893" spans="1:6" x14ac:dyDescent="0.25">
      <c r="A4893" s="16" t="s">
        <v>15040</v>
      </c>
      <c r="B4893" s="17" t="s">
        <v>15041</v>
      </c>
      <c r="C4893" s="17" t="s">
        <v>11</v>
      </c>
      <c r="D4893" s="17" t="s">
        <v>12</v>
      </c>
      <c r="E4893" s="17" t="s">
        <v>13</v>
      </c>
      <c r="F4893" s="16" t="s">
        <v>15042</v>
      </c>
    </row>
    <row r="4894" spans="1:6" x14ac:dyDescent="0.25">
      <c r="A4894" s="16" t="s">
        <v>15043</v>
      </c>
      <c r="B4894" s="17" t="s">
        <v>15044</v>
      </c>
      <c r="C4894" s="17" t="s">
        <v>11</v>
      </c>
      <c r="D4894" s="17" t="s">
        <v>32</v>
      </c>
      <c r="E4894" s="17" t="s">
        <v>20</v>
      </c>
      <c r="F4894" s="16" t="s">
        <v>15045</v>
      </c>
    </row>
    <row r="4895" spans="1:6" x14ac:dyDescent="0.25">
      <c r="A4895" s="16" t="s">
        <v>15046</v>
      </c>
      <c r="B4895" s="17" t="s">
        <v>15047</v>
      </c>
      <c r="C4895" s="17" t="s">
        <v>11</v>
      </c>
      <c r="D4895" s="17" t="s">
        <v>12</v>
      </c>
      <c r="E4895" s="17" t="s">
        <v>13</v>
      </c>
      <c r="F4895" s="16" t="s">
        <v>15048</v>
      </c>
    </row>
    <row r="4896" spans="1:6" x14ac:dyDescent="0.25">
      <c r="A4896" s="16" t="s">
        <v>15049</v>
      </c>
      <c r="B4896" s="17" t="s">
        <v>15050</v>
      </c>
      <c r="C4896" s="17" t="s">
        <v>11</v>
      </c>
      <c r="D4896" s="17" t="s">
        <v>186</v>
      </c>
      <c r="E4896" s="17" t="s">
        <v>20</v>
      </c>
      <c r="F4896" s="16" t="s">
        <v>15051</v>
      </c>
    </row>
    <row r="4897" spans="1:6" x14ac:dyDescent="0.25">
      <c r="A4897" s="16" t="s">
        <v>15052</v>
      </c>
      <c r="B4897" s="17" t="s">
        <v>15053</v>
      </c>
      <c r="C4897" s="17" t="s">
        <v>11</v>
      </c>
      <c r="D4897" s="17" t="s">
        <v>12</v>
      </c>
      <c r="E4897" s="17" t="s">
        <v>13</v>
      </c>
      <c r="F4897" s="16" t="s">
        <v>15054</v>
      </c>
    </row>
    <row r="4898" spans="1:6" x14ac:dyDescent="0.25">
      <c r="A4898" s="16" t="s">
        <v>15055</v>
      </c>
      <c r="B4898" s="17" t="s">
        <v>15056</v>
      </c>
      <c r="C4898" s="17" t="s">
        <v>11</v>
      </c>
      <c r="D4898" s="17" t="s">
        <v>12</v>
      </c>
      <c r="E4898" s="17" t="s">
        <v>13</v>
      </c>
      <c r="F4898" s="16" t="s">
        <v>15057</v>
      </c>
    </row>
    <row r="4899" spans="1:6" x14ac:dyDescent="0.25">
      <c r="A4899" s="16" t="s">
        <v>15058</v>
      </c>
      <c r="B4899" s="17" t="s">
        <v>15059</v>
      </c>
      <c r="C4899" s="17" t="s">
        <v>11</v>
      </c>
      <c r="D4899" s="17" t="s">
        <v>32</v>
      </c>
      <c r="E4899" s="17" t="s">
        <v>20</v>
      </c>
      <c r="F4899" s="16" t="s">
        <v>15060</v>
      </c>
    </row>
    <row r="4900" spans="1:6" x14ac:dyDescent="0.25">
      <c r="A4900" s="16" t="s">
        <v>15061</v>
      </c>
      <c r="B4900" s="17" t="s">
        <v>15062</v>
      </c>
      <c r="C4900" s="17" t="s">
        <v>11</v>
      </c>
      <c r="D4900" s="17" t="s">
        <v>80</v>
      </c>
      <c r="E4900" s="17" t="s">
        <v>20</v>
      </c>
      <c r="F4900" s="16" t="s">
        <v>15063</v>
      </c>
    </row>
    <row r="4901" spans="1:6" x14ac:dyDescent="0.25">
      <c r="A4901" s="16" t="s">
        <v>15064</v>
      </c>
      <c r="B4901" s="17" t="s">
        <v>15065</v>
      </c>
      <c r="C4901" s="17" t="s">
        <v>11</v>
      </c>
      <c r="D4901" s="17" t="s">
        <v>32</v>
      </c>
      <c r="E4901" s="17" t="s">
        <v>20</v>
      </c>
      <c r="F4901" s="16" t="s">
        <v>15066</v>
      </c>
    </row>
    <row r="4902" spans="1:6" x14ac:dyDescent="0.25">
      <c r="A4902" s="16" t="s">
        <v>15067</v>
      </c>
      <c r="B4902" s="17" t="s">
        <v>15068</v>
      </c>
      <c r="C4902" s="17" t="s">
        <v>11</v>
      </c>
      <c r="D4902" s="17" t="s">
        <v>32</v>
      </c>
      <c r="E4902" s="17" t="s">
        <v>20</v>
      </c>
      <c r="F4902" s="16" t="s">
        <v>15069</v>
      </c>
    </row>
    <row r="4903" spans="1:6" x14ac:dyDescent="0.25">
      <c r="A4903" s="16" t="s">
        <v>15070</v>
      </c>
      <c r="B4903" s="17" t="s">
        <v>15071</v>
      </c>
      <c r="C4903" s="17" t="s">
        <v>11</v>
      </c>
      <c r="D4903" s="17" t="s">
        <v>80</v>
      </c>
      <c r="E4903" s="17" t="s">
        <v>20</v>
      </c>
      <c r="F4903" s="16" t="s">
        <v>15072</v>
      </c>
    </row>
    <row r="4904" spans="1:6" x14ac:dyDescent="0.25">
      <c r="A4904" s="16" t="s">
        <v>15073</v>
      </c>
      <c r="B4904" s="17" t="s">
        <v>15074</v>
      </c>
      <c r="C4904" s="17" t="s">
        <v>11</v>
      </c>
      <c r="D4904" s="17" t="s">
        <v>74</v>
      </c>
      <c r="E4904" s="17" t="s">
        <v>20</v>
      </c>
      <c r="F4904" s="16" t="s">
        <v>15075</v>
      </c>
    </row>
    <row r="4905" spans="1:6" x14ac:dyDescent="0.25">
      <c r="A4905" s="16" t="s">
        <v>15076</v>
      </c>
      <c r="B4905" s="17" t="s">
        <v>15077</v>
      </c>
      <c r="C4905" s="17" t="s">
        <v>11</v>
      </c>
      <c r="D4905" s="17" t="s">
        <v>186</v>
      </c>
      <c r="E4905" s="17" t="s">
        <v>20</v>
      </c>
      <c r="F4905" s="16" t="s">
        <v>15078</v>
      </c>
    </row>
    <row r="4906" spans="1:6" x14ac:dyDescent="0.25">
      <c r="A4906" s="16" t="s">
        <v>15079</v>
      </c>
      <c r="B4906" s="17" t="s">
        <v>15080</v>
      </c>
      <c r="C4906" s="17" t="s">
        <v>11</v>
      </c>
      <c r="D4906" s="17" t="s">
        <v>74</v>
      </c>
      <c r="E4906" s="17" t="s">
        <v>20</v>
      </c>
      <c r="F4906" s="16" t="s">
        <v>15081</v>
      </c>
    </row>
    <row r="4907" spans="1:6" x14ac:dyDescent="0.25">
      <c r="A4907" s="16" t="s">
        <v>15082</v>
      </c>
      <c r="B4907" s="17" t="s">
        <v>15083</v>
      </c>
      <c r="C4907" s="17" t="s">
        <v>11</v>
      </c>
      <c r="D4907" s="17" t="s">
        <v>32</v>
      </c>
      <c r="E4907" s="17" t="s">
        <v>20</v>
      </c>
      <c r="F4907" s="16" t="s">
        <v>15084</v>
      </c>
    </row>
    <row r="4908" spans="1:6" x14ac:dyDescent="0.25">
      <c r="A4908" s="16" t="s">
        <v>15085</v>
      </c>
      <c r="B4908" s="17" t="s">
        <v>15086</v>
      </c>
      <c r="C4908" s="17" t="s">
        <v>11</v>
      </c>
      <c r="D4908" s="17" t="s">
        <v>68</v>
      </c>
      <c r="E4908" s="17" t="s">
        <v>20</v>
      </c>
      <c r="F4908" s="16" t="s">
        <v>15087</v>
      </c>
    </row>
    <row r="4909" spans="1:6" x14ac:dyDescent="0.25">
      <c r="A4909" s="16" t="s">
        <v>15088</v>
      </c>
      <c r="B4909" s="17" t="s">
        <v>15089</v>
      </c>
      <c r="C4909" s="17" t="s">
        <v>11</v>
      </c>
      <c r="D4909" s="17" t="s">
        <v>80</v>
      </c>
      <c r="E4909" s="17" t="s">
        <v>20</v>
      </c>
      <c r="F4909" s="16" t="s">
        <v>15090</v>
      </c>
    </row>
    <row r="4910" spans="1:6" x14ac:dyDescent="0.25">
      <c r="A4910" s="16" t="s">
        <v>15091</v>
      </c>
      <c r="B4910" s="17" t="s">
        <v>15092</v>
      </c>
      <c r="C4910" s="17" t="s">
        <v>11</v>
      </c>
      <c r="D4910" s="17" t="s">
        <v>186</v>
      </c>
      <c r="E4910" s="17" t="s">
        <v>20</v>
      </c>
      <c r="F4910" s="16" t="s">
        <v>15093</v>
      </c>
    </row>
    <row r="4911" spans="1:6" x14ac:dyDescent="0.25">
      <c r="A4911" s="16" t="s">
        <v>15094</v>
      </c>
      <c r="B4911" s="17" t="s">
        <v>15095</v>
      </c>
      <c r="C4911" s="17" t="s">
        <v>11</v>
      </c>
      <c r="D4911" s="17" t="s">
        <v>83</v>
      </c>
      <c r="E4911" s="17" t="s">
        <v>20</v>
      </c>
      <c r="F4911" s="16" t="s">
        <v>15096</v>
      </c>
    </row>
    <row r="4912" spans="1:6" x14ac:dyDescent="0.25">
      <c r="A4912" s="16" t="s">
        <v>15097</v>
      </c>
      <c r="B4912" s="17" t="s">
        <v>15098</v>
      </c>
      <c r="C4912" s="17" t="s">
        <v>11</v>
      </c>
      <c r="D4912" s="17" t="s">
        <v>32</v>
      </c>
      <c r="E4912" s="17" t="s">
        <v>20</v>
      </c>
      <c r="F4912" s="16" t="s">
        <v>15099</v>
      </c>
    </row>
    <row r="4913" spans="1:6" x14ac:dyDescent="0.25">
      <c r="A4913" s="16" t="s">
        <v>15100</v>
      </c>
      <c r="B4913" s="17" t="s">
        <v>15101</v>
      </c>
      <c r="C4913" s="17" t="s">
        <v>11</v>
      </c>
      <c r="D4913" s="17" t="s">
        <v>670</v>
      </c>
      <c r="E4913" s="17" t="s">
        <v>20</v>
      </c>
      <c r="F4913" s="16" t="s">
        <v>15102</v>
      </c>
    </row>
    <row r="4914" spans="1:6" x14ac:dyDescent="0.25">
      <c r="A4914" s="16" t="s">
        <v>15103</v>
      </c>
      <c r="B4914" s="17" t="s">
        <v>15104</v>
      </c>
      <c r="C4914" s="17" t="s">
        <v>11</v>
      </c>
      <c r="D4914" s="17" t="s">
        <v>182</v>
      </c>
      <c r="E4914" s="17" t="s">
        <v>20</v>
      </c>
      <c r="F4914" s="16" t="s">
        <v>15105</v>
      </c>
    </row>
    <row r="4915" spans="1:6" x14ac:dyDescent="0.25">
      <c r="A4915" s="16" t="s">
        <v>15106</v>
      </c>
      <c r="B4915" s="17" t="s">
        <v>15107</v>
      </c>
      <c r="C4915" s="17" t="s">
        <v>11</v>
      </c>
      <c r="D4915" s="17" t="s">
        <v>19</v>
      </c>
      <c r="E4915" s="17" t="s">
        <v>20</v>
      </c>
      <c r="F4915" s="16" t="s">
        <v>15108</v>
      </c>
    </row>
    <row r="4916" spans="1:6" x14ac:dyDescent="0.25">
      <c r="A4916" s="16" t="s">
        <v>15109</v>
      </c>
      <c r="B4916" s="17" t="s">
        <v>15110</v>
      </c>
      <c r="C4916" s="17" t="s">
        <v>11</v>
      </c>
      <c r="D4916" s="17" t="s">
        <v>74</v>
      </c>
      <c r="E4916" s="17" t="s">
        <v>20</v>
      </c>
      <c r="F4916" s="16" t="s">
        <v>15111</v>
      </c>
    </row>
    <row r="4917" spans="1:6" x14ac:dyDescent="0.25">
      <c r="A4917" s="16" t="s">
        <v>15112</v>
      </c>
      <c r="B4917" s="17" t="s">
        <v>15113</v>
      </c>
      <c r="C4917" s="17" t="s">
        <v>11</v>
      </c>
      <c r="D4917" s="17" t="s">
        <v>233</v>
      </c>
      <c r="E4917" s="17" t="s">
        <v>20</v>
      </c>
      <c r="F4917" s="16" t="s">
        <v>15114</v>
      </c>
    </row>
    <row r="4918" spans="1:6" x14ac:dyDescent="0.25">
      <c r="A4918" s="16" t="s">
        <v>15115</v>
      </c>
      <c r="B4918" s="17" t="s">
        <v>15116</v>
      </c>
      <c r="C4918" s="17" t="s">
        <v>11</v>
      </c>
      <c r="D4918" s="17" t="s">
        <v>59</v>
      </c>
      <c r="E4918" s="17" t="s">
        <v>13</v>
      </c>
      <c r="F4918" s="16" t="s">
        <v>15117</v>
      </c>
    </row>
    <row r="4919" spans="1:6" x14ac:dyDescent="0.25">
      <c r="A4919" s="16" t="s">
        <v>15118</v>
      </c>
      <c r="B4919" s="17" t="s">
        <v>15119</v>
      </c>
      <c r="C4919" s="17" t="s">
        <v>11</v>
      </c>
      <c r="D4919" s="17" t="s">
        <v>74</v>
      </c>
      <c r="E4919" s="17" t="s">
        <v>20</v>
      </c>
      <c r="F4919" s="16" t="s">
        <v>15120</v>
      </c>
    </row>
    <row r="4920" spans="1:6" x14ac:dyDescent="0.25">
      <c r="A4920" s="16" t="s">
        <v>15121</v>
      </c>
      <c r="B4920" s="17" t="s">
        <v>15122</v>
      </c>
      <c r="C4920" s="17" t="s">
        <v>11</v>
      </c>
      <c r="D4920" s="17" t="s">
        <v>74</v>
      </c>
      <c r="E4920" s="17" t="s">
        <v>20</v>
      </c>
      <c r="F4920" s="16" t="s">
        <v>15123</v>
      </c>
    </row>
    <row r="4921" spans="1:6" x14ac:dyDescent="0.25">
      <c r="A4921" s="16" t="s">
        <v>15124</v>
      </c>
      <c r="B4921" s="17" t="s">
        <v>15125</v>
      </c>
      <c r="C4921" s="17" t="s">
        <v>11</v>
      </c>
      <c r="D4921" s="17" t="s">
        <v>32</v>
      </c>
      <c r="E4921" s="17" t="s">
        <v>20</v>
      </c>
      <c r="F4921" s="16" t="s">
        <v>15126</v>
      </c>
    </row>
    <row r="4922" spans="1:6" x14ac:dyDescent="0.25">
      <c r="A4922" s="16" t="s">
        <v>15127</v>
      </c>
      <c r="B4922" s="17" t="s">
        <v>15128</v>
      </c>
      <c r="C4922" s="17" t="s">
        <v>11</v>
      </c>
      <c r="D4922" s="17" t="s">
        <v>250</v>
      </c>
      <c r="E4922" s="17" t="s">
        <v>20</v>
      </c>
      <c r="F4922" s="16" t="s">
        <v>15129</v>
      </c>
    </row>
    <row r="4923" spans="1:6" x14ac:dyDescent="0.25">
      <c r="A4923" s="16" t="s">
        <v>15130</v>
      </c>
      <c r="B4923" s="17" t="s">
        <v>15131</v>
      </c>
      <c r="C4923" s="17" t="s">
        <v>11</v>
      </c>
      <c r="D4923" s="17" t="s">
        <v>186</v>
      </c>
      <c r="E4923" s="17" t="s">
        <v>20</v>
      </c>
      <c r="F4923" s="16" t="s">
        <v>15132</v>
      </c>
    </row>
    <row r="4924" spans="1:6" x14ac:dyDescent="0.25">
      <c r="A4924" s="16" t="s">
        <v>15133</v>
      </c>
      <c r="B4924" s="17" t="s">
        <v>15134</v>
      </c>
      <c r="C4924" s="17" t="s">
        <v>11</v>
      </c>
      <c r="D4924" s="17" t="s">
        <v>186</v>
      </c>
      <c r="E4924" s="17" t="s">
        <v>20</v>
      </c>
      <c r="F4924" s="16" t="s">
        <v>15135</v>
      </c>
    </row>
    <row r="4925" spans="1:6" x14ac:dyDescent="0.25">
      <c r="A4925" s="16" t="s">
        <v>15136</v>
      </c>
      <c r="B4925" s="17" t="s">
        <v>15137</v>
      </c>
      <c r="C4925" s="17" t="s">
        <v>11</v>
      </c>
      <c r="D4925" s="17" t="s">
        <v>12</v>
      </c>
      <c r="E4925" s="17" t="s">
        <v>13</v>
      </c>
      <c r="F4925" s="16" t="s">
        <v>15138</v>
      </c>
    </row>
    <row r="4926" spans="1:6" x14ac:dyDescent="0.25">
      <c r="A4926" s="16" t="s">
        <v>15139</v>
      </c>
      <c r="B4926" s="17" t="s">
        <v>15140</v>
      </c>
      <c r="C4926" s="17" t="s">
        <v>11</v>
      </c>
      <c r="D4926" s="17" t="s">
        <v>32</v>
      </c>
      <c r="E4926" s="17" t="s">
        <v>20</v>
      </c>
      <c r="F4926" s="16" t="s">
        <v>15141</v>
      </c>
    </row>
    <row r="4927" spans="1:6" x14ac:dyDescent="0.25">
      <c r="A4927" s="16" t="s">
        <v>15142</v>
      </c>
      <c r="B4927" s="17" t="s">
        <v>15143</v>
      </c>
      <c r="C4927" s="17" t="s">
        <v>1235</v>
      </c>
      <c r="D4927" s="17" t="s">
        <v>1356</v>
      </c>
      <c r="E4927" s="17" t="s">
        <v>1237</v>
      </c>
      <c r="F4927" s="16" t="s">
        <v>15144</v>
      </c>
    </row>
    <row r="4928" spans="1:6" x14ac:dyDescent="0.25">
      <c r="A4928" s="16" t="s">
        <v>15145</v>
      </c>
      <c r="B4928" s="17" t="s">
        <v>15146</v>
      </c>
      <c r="C4928" s="17" t="s">
        <v>11</v>
      </c>
      <c r="D4928" s="17" t="s">
        <v>12</v>
      </c>
      <c r="E4928" s="17" t="s">
        <v>13</v>
      </c>
      <c r="F4928" s="16" t="s">
        <v>15147</v>
      </c>
    </row>
    <row r="4929" spans="1:6" x14ac:dyDescent="0.25">
      <c r="A4929" s="16" t="s">
        <v>15148</v>
      </c>
      <c r="B4929" s="17" t="s">
        <v>15149</v>
      </c>
      <c r="C4929" s="17" t="s">
        <v>11</v>
      </c>
      <c r="D4929" s="17" t="s">
        <v>12</v>
      </c>
      <c r="E4929" s="17" t="s">
        <v>13</v>
      </c>
      <c r="F4929" s="16" t="s">
        <v>15150</v>
      </c>
    </row>
    <row r="4930" spans="1:6" x14ac:dyDescent="0.25">
      <c r="A4930" s="16" t="s">
        <v>15151</v>
      </c>
      <c r="B4930" s="17" t="s">
        <v>15152</v>
      </c>
      <c r="C4930" s="17" t="s">
        <v>11</v>
      </c>
      <c r="D4930" s="17" t="s">
        <v>12</v>
      </c>
      <c r="E4930" s="17" t="s">
        <v>13</v>
      </c>
      <c r="F4930" s="16" t="s">
        <v>15153</v>
      </c>
    </row>
    <row r="4931" spans="1:6" x14ac:dyDescent="0.25">
      <c r="A4931" s="16" t="s">
        <v>15154</v>
      </c>
      <c r="B4931" s="17" t="s">
        <v>15155</v>
      </c>
      <c r="C4931" s="17" t="s">
        <v>11</v>
      </c>
      <c r="D4931" s="17" t="s">
        <v>12</v>
      </c>
      <c r="E4931" s="17" t="s">
        <v>13</v>
      </c>
      <c r="F4931" s="16" t="s">
        <v>15156</v>
      </c>
    </row>
    <row r="4932" spans="1:6" x14ac:dyDescent="0.25">
      <c r="A4932" s="16" t="s">
        <v>15157</v>
      </c>
      <c r="B4932" s="17" t="s">
        <v>15158</v>
      </c>
      <c r="C4932" s="17" t="s">
        <v>11</v>
      </c>
      <c r="D4932" s="17" t="s">
        <v>83</v>
      </c>
      <c r="E4932" s="17" t="s">
        <v>20</v>
      </c>
      <c r="F4932" s="16" t="s">
        <v>15159</v>
      </c>
    </row>
    <row r="4933" spans="1:6" x14ac:dyDescent="0.25">
      <c r="A4933" s="16" t="s">
        <v>15160</v>
      </c>
      <c r="B4933" s="17" t="s">
        <v>15161</v>
      </c>
      <c r="C4933" s="17" t="s">
        <v>11</v>
      </c>
      <c r="D4933" s="17" t="s">
        <v>12</v>
      </c>
      <c r="E4933" s="17" t="s">
        <v>13</v>
      </c>
      <c r="F4933" s="16" t="s">
        <v>15162</v>
      </c>
    </row>
    <row r="4934" spans="1:6" x14ac:dyDescent="0.25">
      <c r="A4934" s="16" t="s">
        <v>15163</v>
      </c>
      <c r="B4934" s="17" t="s">
        <v>15164</v>
      </c>
      <c r="C4934" s="17" t="s">
        <v>11</v>
      </c>
      <c r="D4934" s="17" t="s">
        <v>12</v>
      </c>
      <c r="E4934" s="17" t="s">
        <v>13</v>
      </c>
      <c r="F4934" s="16" t="s">
        <v>15165</v>
      </c>
    </row>
    <row r="4935" spans="1:6" x14ac:dyDescent="0.25">
      <c r="A4935" s="16" t="s">
        <v>15166</v>
      </c>
      <c r="B4935" s="17" t="s">
        <v>15167</v>
      </c>
      <c r="C4935" s="17" t="s">
        <v>11</v>
      </c>
      <c r="D4935" s="17" t="s">
        <v>148</v>
      </c>
      <c r="E4935" s="17" t="s">
        <v>20</v>
      </c>
      <c r="F4935" s="16" t="s">
        <v>15168</v>
      </c>
    </row>
    <row r="4936" spans="1:6" x14ac:dyDescent="0.25">
      <c r="A4936" s="16" t="s">
        <v>15169</v>
      </c>
      <c r="B4936" s="17" t="s">
        <v>15170</v>
      </c>
      <c r="C4936" s="17" t="s">
        <v>11</v>
      </c>
      <c r="D4936" s="17" t="s">
        <v>32</v>
      </c>
      <c r="E4936" s="17" t="s">
        <v>20</v>
      </c>
      <c r="F4936" s="16" t="s">
        <v>15171</v>
      </c>
    </row>
    <row r="4937" spans="1:6" x14ac:dyDescent="0.25">
      <c r="A4937" s="16" t="s">
        <v>15172</v>
      </c>
      <c r="B4937" s="17" t="s">
        <v>15173</v>
      </c>
      <c r="C4937" s="17" t="s">
        <v>11</v>
      </c>
      <c r="D4937" s="17" t="s">
        <v>291</v>
      </c>
      <c r="E4937" s="17" t="s">
        <v>20</v>
      </c>
      <c r="F4937" s="16" t="s">
        <v>15174</v>
      </c>
    </row>
    <row r="4938" spans="1:6" x14ac:dyDescent="0.25">
      <c r="A4938" s="16" t="s">
        <v>15175</v>
      </c>
      <c r="B4938" s="17" t="s">
        <v>15176</v>
      </c>
      <c r="C4938" s="17" t="s">
        <v>11</v>
      </c>
      <c r="D4938" s="17" t="s">
        <v>12</v>
      </c>
      <c r="E4938" s="17" t="s">
        <v>13</v>
      </c>
      <c r="F4938" s="16" t="s">
        <v>15177</v>
      </c>
    </row>
    <row r="4939" spans="1:6" x14ac:dyDescent="0.25">
      <c r="A4939" s="16" t="s">
        <v>15178</v>
      </c>
      <c r="B4939" s="17" t="s">
        <v>15179</v>
      </c>
      <c r="C4939" s="17" t="s">
        <v>11</v>
      </c>
      <c r="D4939" s="17" t="s">
        <v>12</v>
      </c>
      <c r="E4939" s="17" t="s">
        <v>13</v>
      </c>
      <c r="F4939" s="16" t="s">
        <v>15180</v>
      </c>
    </row>
    <row r="4940" spans="1:6" x14ac:dyDescent="0.25">
      <c r="A4940" s="16" t="s">
        <v>15181</v>
      </c>
      <c r="B4940" s="17" t="s">
        <v>15182</v>
      </c>
      <c r="C4940" s="17" t="s">
        <v>11</v>
      </c>
      <c r="D4940" s="17" t="s">
        <v>12</v>
      </c>
      <c r="E4940" s="17" t="s">
        <v>13</v>
      </c>
      <c r="F4940" s="16" t="s">
        <v>15183</v>
      </c>
    </row>
    <row r="4941" spans="1:6" x14ac:dyDescent="0.25">
      <c r="A4941" s="16" t="s">
        <v>15184</v>
      </c>
      <c r="B4941" s="17" t="s">
        <v>15185</v>
      </c>
      <c r="C4941" s="17" t="s">
        <v>11</v>
      </c>
      <c r="D4941" s="17" t="s">
        <v>12</v>
      </c>
      <c r="E4941" s="17" t="s">
        <v>13</v>
      </c>
      <c r="F4941" s="16" t="s">
        <v>15186</v>
      </c>
    </row>
    <row r="4942" spans="1:6" x14ac:dyDescent="0.25">
      <c r="A4942" s="16" t="s">
        <v>15187</v>
      </c>
      <c r="B4942" s="17" t="s">
        <v>15188</v>
      </c>
      <c r="C4942" s="17" t="s">
        <v>11</v>
      </c>
      <c r="D4942" s="17" t="s">
        <v>12</v>
      </c>
      <c r="E4942" s="17" t="s">
        <v>13</v>
      </c>
      <c r="F4942" s="16" t="s">
        <v>15189</v>
      </c>
    </row>
    <row r="4943" spans="1:6" x14ac:dyDescent="0.25">
      <c r="A4943" s="16" t="s">
        <v>15190</v>
      </c>
      <c r="B4943" s="17" t="s">
        <v>15191</v>
      </c>
      <c r="C4943" s="17" t="s">
        <v>11</v>
      </c>
      <c r="D4943" s="17" t="s">
        <v>12</v>
      </c>
      <c r="E4943" s="17" t="s">
        <v>13</v>
      </c>
      <c r="F4943" s="16" t="s">
        <v>15192</v>
      </c>
    </row>
    <row r="4944" spans="1:6" x14ac:dyDescent="0.25">
      <c r="A4944" s="16" t="s">
        <v>15193</v>
      </c>
      <c r="B4944" s="17" t="s">
        <v>15194</v>
      </c>
      <c r="C4944" s="17" t="s">
        <v>11</v>
      </c>
      <c r="D4944" s="17" t="s">
        <v>12</v>
      </c>
      <c r="E4944" s="17" t="s">
        <v>13</v>
      </c>
      <c r="F4944" s="16" t="s">
        <v>15195</v>
      </c>
    </row>
    <row r="4945" spans="1:6" x14ac:dyDescent="0.25">
      <c r="A4945" s="16" t="s">
        <v>15196</v>
      </c>
      <c r="B4945" s="17" t="s">
        <v>15197</v>
      </c>
      <c r="C4945" s="17" t="s">
        <v>11</v>
      </c>
      <c r="D4945" s="17" t="s">
        <v>12</v>
      </c>
      <c r="E4945" s="17" t="s">
        <v>13</v>
      </c>
      <c r="F4945" s="16" t="s">
        <v>15198</v>
      </c>
    </row>
    <row r="4946" spans="1:6" x14ac:dyDescent="0.25">
      <c r="A4946" s="16" t="s">
        <v>15199</v>
      </c>
      <c r="B4946" s="17" t="s">
        <v>15200</v>
      </c>
      <c r="C4946" s="17" t="s">
        <v>11</v>
      </c>
      <c r="D4946" s="17" t="s">
        <v>32</v>
      </c>
      <c r="E4946" s="17" t="s">
        <v>20</v>
      </c>
      <c r="F4946" s="16" t="s">
        <v>15201</v>
      </c>
    </row>
    <row r="4947" spans="1:6" x14ac:dyDescent="0.25">
      <c r="A4947" s="16" t="s">
        <v>15202</v>
      </c>
      <c r="B4947" s="17" t="s">
        <v>15203</v>
      </c>
      <c r="C4947" s="17" t="s">
        <v>11</v>
      </c>
      <c r="D4947" s="17" t="s">
        <v>89</v>
      </c>
      <c r="E4947" s="17" t="s">
        <v>20</v>
      </c>
      <c r="F4947" s="16" t="s">
        <v>15204</v>
      </c>
    </row>
    <row r="4948" spans="1:6" x14ac:dyDescent="0.25">
      <c r="A4948" s="16" t="s">
        <v>15205</v>
      </c>
      <c r="B4948" s="17" t="s">
        <v>15206</v>
      </c>
      <c r="C4948" s="17" t="s">
        <v>11</v>
      </c>
      <c r="D4948" s="17" t="s">
        <v>12</v>
      </c>
      <c r="E4948" s="17" t="s">
        <v>13</v>
      </c>
      <c r="F4948" s="16" t="s">
        <v>15207</v>
      </c>
    </row>
    <row r="4949" spans="1:6" x14ac:dyDescent="0.25">
      <c r="A4949" s="16" t="s">
        <v>15208</v>
      </c>
      <c r="B4949" s="17" t="s">
        <v>15209</v>
      </c>
      <c r="C4949" s="17" t="s">
        <v>11</v>
      </c>
      <c r="D4949" s="17" t="s">
        <v>12</v>
      </c>
      <c r="E4949" s="17" t="s">
        <v>13</v>
      </c>
      <c r="F4949" s="16" t="s">
        <v>15210</v>
      </c>
    </row>
    <row r="4950" spans="1:6" x14ac:dyDescent="0.25">
      <c r="A4950" s="16" t="s">
        <v>15211</v>
      </c>
      <c r="B4950" s="17" t="s">
        <v>15212</v>
      </c>
      <c r="C4950" s="17" t="s">
        <v>11</v>
      </c>
      <c r="D4950" s="17" t="s">
        <v>12</v>
      </c>
      <c r="E4950" s="17" t="s">
        <v>13</v>
      </c>
      <c r="F4950" s="16" t="s">
        <v>15213</v>
      </c>
    </row>
    <row r="4951" spans="1:6" x14ac:dyDescent="0.25">
      <c r="A4951" s="16" t="s">
        <v>15214</v>
      </c>
      <c r="B4951" s="17" t="s">
        <v>15215</v>
      </c>
      <c r="C4951" s="17" t="s">
        <v>11</v>
      </c>
      <c r="D4951" s="17" t="s">
        <v>12</v>
      </c>
      <c r="E4951" s="17" t="s">
        <v>13</v>
      </c>
      <c r="F4951" s="16" t="s">
        <v>15216</v>
      </c>
    </row>
    <row r="4952" spans="1:6" x14ac:dyDescent="0.25">
      <c r="A4952" s="16" t="s">
        <v>15217</v>
      </c>
      <c r="B4952" s="17" t="s">
        <v>15218</v>
      </c>
      <c r="C4952" s="17" t="s">
        <v>11</v>
      </c>
      <c r="D4952" s="17" t="s">
        <v>32</v>
      </c>
      <c r="E4952" s="17" t="s">
        <v>20</v>
      </c>
      <c r="F4952" s="16" t="s">
        <v>15219</v>
      </c>
    </row>
    <row r="4953" spans="1:6" x14ac:dyDescent="0.25">
      <c r="A4953" s="16" t="s">
        <v>15220</v>
      </c>
      <c r="B4953" s="17" t="s">
        <v>15221</v>
      </c>
      <c r="C4953" s="17" t="s">
        <v>11</v>
      </c>
      <c r="D4953" s="17" t="s">
        <v>12</v>
      </c>
      <c r="E4953" s="17" t="s">
        <v>13</v>
      </c>
      <c r="F4953" s="16" t="s">
        <v>15222</v>
      </c>
    </row>
    <row r="4954" spans="1:6" x14ac:dyDescent="0.25">
      <c r="A4954" s="16" t="s">
        <v>15223</v>
      </c>
      <c r="B4954" s="17" t="s">
        <v>15224</v>
      </c>
      <c r="C4954" s="17" t="s">
        <v>11</v>
      </c>
      <c r="D4954" s="17" t="s">
        <v>12</v>
      </c>
      <c r="E4954" s="17" t="s">
        <v>13</v>
      </c>
      <c r="F4954" s="16" t="s">
        <v>15225</v>
      </c>
    </row>
    <row r="4955" spans="1:6" x14ac:dyDescent="0.25">
      <c r="A4955" s="16" t="s">
        <v>15226</v>
      </c>
      <c r="B4955" s="17" t="s">
        <v>15227</v>
      </c>
      <c r="C4955" s="17" t="s">
        <v>11</v>
      </c>
      <c r="D4955" s="17" t="s">
        <v>12</v>
      </c>
      <c r="E4955" s="17" t="s">
        <v>13</v>
      </c>
      <c r="F4955" s="16" t="s">
        <v>15228</v>
      </c>
    </row>
    <row r="4956" spans="1:6" x14ac:dyDescent="0.25">
      <c r="A4956" s="16" t="s">
        <v>15229</v>
      </c>
      <c r="B4956" s="17" t="s">
        <v>15230</v>
      </c>
      <c r="C4956" s="17" t="s">
        <v>11</v>
      </c>
      <c r="D4956" s="17" t="s">
        <v>12</v>
      </c>
      <c r="E4956" s="17" t="s">
        <v>13</v>
      </c>
      <c r="F4956" s="16" t="s">
        <v>15231</v>
      </c>
    </row>
    <row r="4957" spans="1:6" x14ac:dyDescent="0.25">
      <c r="A4957" s="16" t="s">
        <v>15232</v>
      </c>
      <c r="B4957" s="17" t="s">
        <v>15233</v>
      </c>
      <c r="C4957" s="17" t="s">
        <v>11</v>
      </c>
      <c r="D4957" s="17" t="s">
        <v>12</v>
      </c>
      <c r="E4957" s="17" t="s">
        <v>13</v>
      </c>
      <c r="F4957" s="16" t="s">
        <v>15234</v>
      </c>
    </row>
    <row r="4958" spans="1:6" x14ac:dyDescent="0.25">
      <c r="A4958" s="16" t="s">
        <v>15235</v>
      </c>
      <c r="B4958" s="17" t="s">
        <v>15236</v>
      </c>
      <c r="C4958" s="17" t="s">
        <v>11</v>
      </c>
      <c r="D4958" s="17" t="s">
        <v>12</v>
      </c>
      <c r="E4958" s="17" t="s">
        <v>13</v>
      </c>
      <c r="F4958" s="16" t="s">
        <v>15237</v>
      </c>
    </row>
    <row r="4959" spans="1:6" x14ac:dyDescent="0.25">
      <c r="A4959" s="16" t="s">
        <v>15238</v>
      </c>
      <c r="B4959" s="17" t="s">
        <v>15239</v>
      </c>
      <c r="C4959" s="17" t="s">
        <v>11</v>
      </c>
      <c r="D4959" s="17" t="s">
        <v>12</v>
      </c>
      <c r="E4959" s="17" t="s">
        <v>13</v>
      </c>
      <c r="F4959" s="16" t="s">
        <v>15240</v>
      </c>
    </row>
    <row r="4960" spans="1:6" x14ac:dyDescent="0.25">
      <c r="A4960" s="16" t="s">
        <v>15241</v>
      </c>
      <c r="B4960" s="17" t="s">
        <v>15242</v>
      </c>
      <c r="C4960" s="17" t="s">
        <v>11</v>
      </c>
      <c r="D4960" s="17" t="s">
        <v>12</v>
      </c>
      <c r="E4960" s="17" t="s">
        <v>13</v>
      </c>
      <c r="F4960" s="16" t="s">
        <v>15243</v>
      </c>
    </row>
    <row r="4961" spans="1:6" x14ac:dyDescent="0.25">
      <c r="A4961" s="16" t="s">
        <v>15244</v>
      </c>
      <c r="B4961" s="17" t="s">
        <v>15245</v>
      </c>
      <c r="C4961" s="17" t="s">
        <v>11</v>
      </c>
      <c r="D4961" s="17" t="s">
        <v>12</v>
      </c>
      <c r="E4961" s="17" t="s">
        <v>13</v>
      </c>
      <c r="F4961" s="16" t="s">
        <v>15246</v>
      </c>
    </row>
    <row r="4962" spans="1:6" x14ac:dyDescent="0.25">
      <c r="A4962" s="16" t="s">
        <v>15247</v>
      </c>
      <c r="B4962" s="17" t="s">
        <v>15248</v>
      </c>
      <c r="C4962" s="17" t="s">
        <v>11</v>
      </c>
      <c r="D4962" s="17" t="s">
        <v>12</v>
      </c>
      <c r="E4962" s="17" t="s">
        <v>13</v>
      </c>
      <c r="F4962" s="16" t="s">
        <v>15249</v>
      </c>
    </row>
    <row r="4963" spans="1:6" x14ac:dyDescent="0.25">
      <c r="A4963" s="16" t="s">
        <v>15250</v>
      </c>
      <c r="B4963" s="17" t="s">
        <v>15251</v>
      </c>
      <c r="C4963" s="17" t="s">
        <v>11</v>
      </c>
      <c r="D4963" s="17" t="s">
        <v>12</v>
      </c>
      <c r="E4963" s="17" t="s">
        <v>13</v>
      </c>
      <c r="F4963" s="16" t="s">
        <v>15252</v>
      </c>
    </row>
    <row r="4964" spans="1:6" x14ac:dyDescent="0.25">
      <c r="A4964" s="16" t="s">
        <v>15253</v>
      </c>
      <c r="B4964" s="17" t="s">
        <v>15254</v>
      </c>
      <c r="C4964" s="17" t="s">
        <v>11</v>
      </c>
      <c r="D4964" s="17" t="s">
        <v>12</v>
      </c>
      <c r="E4964" s="17" t="s">
        <v>13</v>
      </c>
      <c r="F4964" s="16" t="s">
        <v>15255</v>
      </c>
    </row>
    <row r="4965" spans="1:6" x14ac:dyDescent="0.25">
      <c r="A4965" s="16" t="s">
        <v>15256</v>
      </c>
      <c r="B4965" s="17" t="s">
        <v>15257</v>
      </c>
      <c r="C4965" s="17" t="s">
        <v>11</v>
      </c>
      <c r="D4965" s="17" t="s">
        <v>89</v>
      </c>
      <c r="E4965" s="17" t="s">
        <v>20</v>
      </c>
      <c r="F4965" s="16" t="s">
        <v>15258</v>
      </c>
    </row>
    <row r="4966" spans="1:6" x14ac:dyDescent="0.25">
      <c r="A4966" s="16" t="s">
        <v>15259</v>
      </c>
      <c r="B4966" s="17" t="s">
        <v>15260</v>
      </c>
      <c r="C4966" s="17" t="s">
        <v>11</v>
      </c>
      <c r="D4966" s="17" t="s">
        <v>32</v>
      </c>
      <c r="E4966" s="17" t="s">
        <v>20</v>
      </c>
      <c r="F4966" s="16" t="s">
        <v>15261</v>
      </c>
    </row>
    <row r="4967" spans="1:6" x14ac:dyDescent="0.25">
      <c r="A4967" s="16" t="s">
        <v>15262</v>
      </c>
      <c r="B4967" s="17" t="s">
        <v>15263</v>
      </c>
      <c r="C4967" s="17" t="s">
        <v>11</v>
      </c>
      <c r="D4967" s="17" t="s">
        <v>12</v>
      </c>
      <c r="E4967" s="17" t="s">
        <v>13</v>
      </c>
      <c r="F4967" s="16" t="s">
        <v>15264</v>
      </c>
    </row>
    <row r="4968" spans="1:6" x14ac:dyDescent="0.25">
      <c r="A4968" s="16" t="s">
        <v>15265</v>
      </c>
      <c r="B4968" s="17" t="s">
        <v>15266</v>
      </c>
      <c r="C4968" s="17" t="s">
        <v>11</v>
      </c>
      <c r="D4968" s="17" t="s">
        <v>12</v>
      </c>
      <c r="E4968" s="17" t="s">
        <v>13</v>
      </c>
      <c r="F4968" s="16" t="s">
        <v>15267</v>
      </c>
    </row>
    <row r="4969" spans="1:6" x14ac:dyDescent="0.25">
      <c r="A4969" s="16" t="s">
        <v>15268</v>
      </c>
      <c r="B4969" s="17" t="s">
        <v>15269</v>
      </c>
      <c r="C4969" s="17" t="s">
        <v>11</v>
      </c>
      <c r="D4969" s="17" t="s">
        <v>32</v>
      </c>
      <c r="E4969" s="17" t="s">
        <v>20</v>
      </c>
      <c r="F4969" s="16" t="s">
        <v>15270</v>
      </c>
    </row>
    <row r="4970" spans="1:6" x14ac:dyDescent="0.25">
      <c r="A4970" s="16" t="s">
        <v>15271</v>
      </c>
      <c r="B4970" s="17" t="s">
        <v>15272</v>
      </c>
      <c r="C4970" s="17" t="s">
        <v>11</v>
      </c>
      <c r="D4970" s="17" t="s">
        <v>32</v>
      </c>
      <c r="E4970" s="17" t="s">
        <v>20</v>
      </c>
      <c r="F4970" s="16" t="s">
        <v>15273</v>
      </c>
    </row>
    <row r="4971" spans="1:6" x14ac:dyDescent="0.25">
      <c r="A4971" s="16" t="s">
        <v>15274</v>
      </c>
      <c r="B4971" s="17" t="s">
        <v>15275</v>
      </c>
      <c r="C4971" s="17" t="s">
        <v>11</v>
      </c>
      <c r="D4971" s="17" t="s">
        <v>12</v>
      </c>
      <c r="E4971" s="17" t="s">
        <v>13</v>
      </c>
      <c r="F4971" s="16" t="s">
        <v>15276</v>
      </c>
    </row>
    <row r="4972" spans="1:6" x14ac:dyDescent="0.25">
      <c r="A4972" s="16" t="s">
        <v>15277</v>
      </c>
      <c r="B4972" s="17" t="s">
        <v>15278</v>
      </c>
      <c r="C4972" s="17" t="s">
        <v>11</v>
      </c>
      <c r="D4972" s="17" t="s">
        <v>12</v>
      </c>
      <c r="E4972" s="17" t="s">
        <v>13</v>
      </c>
      <c r="F4972" s="16" t="s">
        <v>15279</v>
      </c>
    </row>
    <row r="4973" spans="1:6" x14ac:dyDescent="0.25">
      <c r="A4973" s="16" t="s">
        <v>15280</v>
      </c>
      <c r="B4973" s="17" t="s">
        <v>15281</v>
      </c>
      <c r="C4973" s="17" t="s">
        <v>11</v>
      </c>
      <c r="D4973" s="17" t="s">
        <v>32</v>
      </c>
      <c r="E4973" s="17" t="s">
        <v>20</v>
      </c>
      <c r="F4973" s="16" t="s">
        <v>15282</v>
      </c>
    </row>
    <row r="4974" spans="1:6" x14ac:dyDescent="0.25">
      <c r="A4974" s="16" t="s">
        <v>15283</v>
      </c>
      <c r="B4974" s="17" t="s">
        <v>15284</v>
      </c>
      <c r="C4974" s="17" t="s">
        <v>11</v>
      </c>
      <c r="D4974" s="17" t="s">
        <v>12</v>
      </c>
      <c r="E4974" s="17" t="s">
        <v>13</v>
      </c>
      <c r="F4974" s="16" t="s">
        <v>15285</v>
      </c>
    </row>
    <row r="4975" spans="1:6" x14ac:dyDescent="0.25">
      <c r="A4975" s="16" t="s">
        <v>15286</v>
      </c>
      <c r="B4975" s="17" t="s">
        <v>15287</v>
      </c>
      <c r="C4975" s="17" t="s">
        <v>11</v>
      </c>
      <c r="D4975" s="17" t="s">
        <v>83</v>
      </c>
      <c r="E4975" s="17" t="s">
        <v>20</v>
      </c>
      <c r="F4975" s="16" t="s">
        <v>15288</v>
      </c>
    </row>
    <row r="4976" spans="1:6" x14ac:dyDescent="0.25">
      <c r="A4976" s="16" t="s">
        <v>15289</v>
      </c>
      <c r="B4976" s="17" t="s">
        <v>15290</v>
      </c>
      <c r="C4976" s="17" t="s">
        <v>11</v>
      </c>
      <c r="D4976" s="17" t="s">
        <v>26</v>
      </c>
      <c r="E4976" s="17" t="s">
        <v>20</v>
      </c>
      <c r="F4976" s="16" t="s">
        <v>15291</v>
      </c>
    </row>
    <row r="4977" spans="1:6" x14ac:dyDescent="0.25">
      <c r="A4977" s="16" t="s">
        <v>15292</v>
      </c>
      <c r="B4977" s="17" t="s">
        <v>15293</v>
      </c>
      <c r="C4977" s="17" t="s">
        <v>214</v>
      </c>
      <c r="D4977" s="17" t="s">
        <v>32</v>
      </c>
      <c r="E4977" s="17" t="s">
        <v>20</v>
      </c>
      <c r="F4977" s="16" t="s">
        <v>15294</v>
      </c>
    </row>
    <row r="4978" spans="1:6" x14ac:dyDescent="0.25">
      <c r="A4978" s="16" t="s">
        <v>15295</v>
      </c>
      <c r="B4978" s="17" t="s">
        <v>15296</v>
      </c>
      <c r="C4978" s="17" t="s">
        <v>11</v>
      </c>
      <c r="D4978" s="17" t="s">
        <v>83</v>
      </c>
      <c r="E4978" s="17" t="s">
        <v>20</v>
      </c>
      <c r="F4978" s="16" t="s">
        <v>15297</v>
      </c>
    </row>
    <row r="4979" spans="1:6" x14ac:dyDescent="0.25">
      <c r="A4979" s="16" t="s">
        <v>15298</v>
      </c>
      <c r="B4979" s="17" t="s">
        <v>15299</v>
      </c>
      <c r="C4979" s="17" t="s">
        <v>11</v>
      </c>
      <c r="D4979" s="17" t="s">
        <v>83</v>
      </c>
      <c r="E4979" s="17" t="s">
        <v>20</v>
      </c>
      <c r="F4979" s="16" t="s">
        <v>15300</v>
      </c>
    </row>
    <row r="4980" spans="1:6" x14ac:dyDescent="0.25">
      <c r="A4980" s="16" t="s">
        <v>15301</v>
      </c>
      <c r="B4980" s="17" t="s">
        <v>15302</v>
      </c>
      <c r="C4980" s="17" t="s">
        <v>11</v>
      </c>
      <c r="D4980" s="17" t="s">
        <v>250</v>
      </c>
      <c r="E4980" s="17" t="s">
        <v>20</v>
      </c>
      <c r="F4980" s="16" t="s">
        <v>15303</v>
      </c>
    </row>
    <row r="4981" spans="1:6" x14ac:dyDescent="0.25">
      <c r="A4981" s="16" t="s">
        <v>15304</v>
      </c>
      <c r="B4981" s="17" t="s">
        <v>15305</v>
      </c>
      <c r="C4981" s="17" t="s">
        <v>11</v>
      </c>
      <c r="D4981" s="17" t="s">
        <v>250</v>
      </c>
      <c r="E4981" s="17" t="s">
        <v>20</v>
      </c>
      <c r="F4981" s="16" t="s">
        <v>15306</v>
      </c>
    </row>
    <row r="4982" spans="1:6" x14ac:dyDescent="0.25">
      <c r="A4982" s="16" t="s">
        <v>15307</v>
      </c>
      <c r="B4982" s="17" t="s">
        <v>15308</v>
      </c>
      <c r="C4982" s="17" t="s">
        <v>11</v>
      </c>
      <c r="D4982" s="17" t="s">
        <v>32</v>
      </c>
      <c r="E4982" s="17" t="s">
        <v>20</v>
      </c>
      <c r="F4982" s="16" t="s">
        <v>15309</v>
      </c>
    </row>
    <row r="4983" spans="1:6" x14ac:dyDescent="0.25">
      <c r="A4983" s="16" t="s">
        <v>15310</v>
      </c>
      <c r="B4983" s="17" t="s">
        <v>15311</v>
      </c>
      <c r="C4983" s="17" t="s">
        <v>11</v>
      </c>
      <c r="D4983" s="17" t="s">
        <v>233</v>
      </c>
      <c r="E4983" s="17" t="s">
        <v>20</v>
      </c>
      <c r="F4983" s="16" t="s">
        <v>15312</v>
      </c>
    </row>
    <row r="4984" spans="1:6" x14ac:dyDescent="0.25">
      <c r="A4984" s="16" t="s">
        <v>15313</v>
      </c>
      <c r="B4984" s="17" t="s">
        <v>15314</v>
      </c>
      <c r="C4984" s="17" t="s">
        <v>11</v>
      </c>
      <c r="D4984" s="17" t="s">
        <v>80</v>
      </c>
      <c r="E4984" s="17" t="s">
        <v>20</v>
      </c>
      <c r="F4984" s="16" t="s">
        <v>15315</v>
      </c>
    </row>
    <row r="4985" spans="1:6" x14ac:dyDescent="0.25">
      <c r="A4985" s="16" t="s">
        <v>15316</v>
      </c>
      <c r="B4985" s="17" t="s">
        <v>15317</v>
      </c>
      <c r="C4985" s="17" t="s">
        <v>11</v>
      </c>
      <c r="D4985" s="17" t="s">
        <v>74</v>
      </c>
      <c r="E4985" s="17" t="s">
        <v>20</v>
      </c>
      <c r="F4985" s="16" t="s">
        <v>15318</v>
      </c>
    </row>
    <row r="4986" spans="1:6" x14ac:dyDescent="0.25">
      <c r="A4986" s="16" t="s">
        <v>15319</v>
      </c>
      <c r="B4986" s="17" t="s">
        <v>15320</v>
      </c>
      <c r="C4986" s="17" t="s">
        <v>11</v>
      </c>
      <c r="D4986" s="17" t="s">
        <v>12</v>
      </c>
      <c r="E4986" s="17" t="s">
        <v>13</v>
      </c>
      <c r="F4986" s="16" t="s">
        <v>15321</v>
      </c>
    </row>
    <row r="4987" spans="1:6" x14ac:dyDescent="0.25">
      <c r="A4987" s="16" t="s">
        <v>15322</v>
      </c>
      <c r="B4987" s="17" t="s">
        <v>15323</v>
      </c>
      <c r="C4987" s="17" t="s">
        <v>11</v>
      </c>
      <c r="D4987" s="17" t="s">
        <v>12</v>
      </c>
      <c r="E4987" s="17" t="s">
        <v>13</v>
      </c>
      <c r="F4987" s="16" t="s">
        <v>15324</v>
      </c>
    </row>
    <row r="4988" spans="1:6" x14ac:dyDescent="0.25">
      <c r="A4988" s="16" t="s">
        <v>15325</v>
      </c>
      <c r="B4988" s="17" t="s">
        <v>15326</v>
      </c>
      <c r="C4988" s="17" t="s">
        <v>11</v>
      </c>
      <c r="D4988" s="17" t="s">
        <v>74</v>
      </c>
      <c r="E4988" s="17" t="s">
        <v>20</v>
      </c>
      <c r="F4988" s="16" t="s">
        <v>15327</v>
      </c>
    </row>
    <row r="4989" spans="1:6" x14ac:dyDescent="0.25">
      <c r="A4989" s="16" t="s">
        <v>15328</v>
      </c>
      <c r="B4989" s="17" t="s">
        <v>15329</v>
      </c>
      <c r="C4989" s="17" t="s">
        <v>11</v>
      </c>
      <c r="D4989" s="17" t="s">
        <v>32</v>
      </c>
      <c r="E4989" s="17" t="s">
        <v>20</v>
      </c>
      <c r="F4989" s="16" t="s">
        <v>15330</v>
      </c>
    </row>
    <row r="4990" spans="1:6" x14ac:dyDescent="0.25">
      <c r="A4990" s="16" t="s">
        <v>15331</v>
      </c>
      <c r="B4990" s="17" t="s">
        <v>15332</v>
      </c>
      <c r="C4990" s="17" t="s">
        <v>11</v>
      </c>
      <c r="D4990" s="17" t="s">
        <v>12</v>
      </c>
      <c r="E4990" s="17" t="s">
        <v>13</v>
      </c>
      <c r="F4990" s="16" t="s">
        <v>15333</v>
      </c>
    </row>
    <row r="4991" spans="1:6" x14ac:dyDescent="0.25">
      <c r="A4991" s="16" t="s">
        <v>15334</v>
      </c>
      <c r="B4991" s="17" t="s">
        <v>15335</v>
      </c>
      <c r="C4991" s="17" t="s">
        <v>11</v>
      </c>
      <c r="D4991" s="17" t="s">
        <v>89</v>
      </c>
      <c r="E4991" s="17" t="s">
        <v>20</v>
      </c>
      <c r="F4991" s="16" t="s">
        <v>15336</v>
      </c>
    </row>
    <row r="4992" spans="1:6" x14ac:dyDescent="0.25">
      <c r="A4992" s="16" t="s">
        <v>15337</v>
      </c>
      <c r="B4992" s="17" t="s">
        <v>15338</v>
      </c>
      <c r="C4992" s="17" t="s">
        <v>11</v>
      </c>
      <c r="D4992" s="17" t="s">
        <v>80</v>
      </c>
      <c r="E4992" s="17" t="s">
        <v>20</v>
      </c>
      <c r="F4992" s="16" t="s">
        <v>15339</v>
      </c>
    </row>
    <row r="4993" spans="1:6" x14ac:dyDescent="0.25">
      <c r="A4993" s="16" t="s">
        <v>15340</v>
      </c>
      <c r="B4993" s="17" t="s">
        <v>15341</v>
      </c>
      <c r="C4993" s="17" t="s">
        <v>11</v>
      </c>
      <c r="D4993" s="17" t="s">
        <v>12</v>
      </c>
      <c r="E4993" s="17" t="s">
        <v>13</v>
      </c>
      <c r="F4993" s="16" t="s">
        <v>15342</v>
      </c>
    </row>
    <row r="4994" spans="1:6" x14ac:dyDescent="0.25">
      <c r="A4994" s="16" t="s">
        <v>15343</v>
      </c>
      <c r="B4994" s="17" t="s">
        <v>15344</v>
      </c>
      <c r="C4994" s="17" t="s">
        <v>11</v>
      </c>
      <c r="D4994" s="17" t="s">
        <v>74</v>
      </c>
      <c r="E4994" s="17" t="s">
        <v>20</v>
      </c>
      <c r="F4994" s="16" t="s">
        <v>15345</v>
      </c>
    </row>
    <row r="4995" spans="1:6" x14ac:dyDescent="0.25">
      <c r="A4995" s="16" t="s">
        <v>15346</v>
      </c>
      <c r="B4995" s="17" t="s">
        <v>15347</v>
      </c>
      <c r="C4995" s="17" t="s">
        <v>11</v>
      </c>
      <c r="D4995" s="17" t="s">
        <v>182</v>
      </c>
      <c r="E4995" s="17" t="s">
        <v>20</v>
      </c>
      <c r="F4995" s="16" t="s">
        <v>15348</v>
      </c>
    </row>
    <row r="4996" spans="1:6" x14ac:dyDescent="0.25">
      <c r="A4996" s="16" t="s">
        <v>15349</v>
      </c>
      <c r="B4996" s="17" t="s">
        <v>15350</v>
      </c>
      <c r="C4996" s="17" t="s">
        <v>11</v>
      </c>
      <c r="D4996" s="17" t="s">
        <v>32</v>
      </c>
      <c r="E4996" s="17" t="s">
        <v>20</v>
      </c>
      <c r="F4996" s="16" t="s">
        <v>15351</v>
      </c>
    </row>
    <row r="4997" spans="1:6" x14ac:dyDescent="0.25">
      <c r="A4997" s="16" t="s">
        <v>15352</v>
      </c>
      <c r="B4997" s="17" t="s">
        <v>15353</v>
      </c>
      <c r="C4997" s="17" t="s">
        <v>11</v>
      </c>
      <c r="D4997" s="17" t="s">
        <v>83</v>
      </c>
      <c r="E4997" s="17" t="s">
        <v>20</v>
      </c>
      <c r="F4997" s="16" t="s">
        <v>15354</v>
      </c>
    </row>
    <row r="4998" spans="1:6" x14ac:dyDescent="0.25">
      <c r="A4998" s="16" t="s">
        <v>15355</v>
      </c>
      <c r="B4998" s="17" t="s">
        <v>15356</v>
      </c>
      <c r="C4998" s="17" t="s">
        <v>11</v>
      </c>
      <c r="D4998" s="17" t="s">
        <v>12</v>
      </c>
      <c r="E4998" s="17" t="s">
        <v>13</v>
      </c>
      <c r="F4998" s="16" t="s">
        <v>15357</v>
      </c>
    </row>
    <row r="4999" spans="1:6" x14ac:dyDescent="0.25">
      <c r="A4999" s="16" t="s">
        <v>15358</v>
      </c>
      <c r="B4999" s="17" t="s">
        <v>15359</v>
      </c>
      <c r="C4999" s="17" t="s">
        <v>11</v>
      </c>
      <c r="D4999" s="17" t="s">
        <v>83</v>
      </c>
      <c r="E4999" s="17" t="s">
        <v>20</v>
      </c>
      <c r="F4999" s="16" t="s">
        <v>15360</v>
      </c>
    </row>
    <row r="5000" spans="1:6" x14ac:dyDescent="0.25">
      <c r="A5000" s="16" t="s">
        <v>15361</v>
      </c>
      <c r="B5000" s="17" t="s">
        <v>15362</v>
      </c>
      <c r="C5000" s="17" t="s">
        <v>11</v>
      </c>
      <c r="D5000" s="17" t="s">
        <v>12</v>
      </c>
      <c r="E5000" s="17" t="s">
        <v>13</v>
      </c>
      <c r="F5000" s="16" t="s">
        <v>15363</v>
      </c>
    </row>
    <row r="5001" spans="1:6" x14ac:dyDescent="0.25">
      <c r="A5001" s="16" t="s">
        <v>15364</v>
      </c>
      <c r="B5001" s="17" t="s">
        <v>15365</v>
      </c>
      <c r="C5001" s="17" t="s">
        <v>11</v>
      </c>
      <c r="D5001" s="17" t="s">
        <v>32</v>
      </c>
      <c r="E5001" s="17" t="s">
        <v>20</v>
      </c>
      <c r="F5001" s="16" t="s">
        <v>15366</v>
      </c>
    </row>
    <row r="5002" spans="1:6" x14ac:dyDescent="0.25">
      <c r="A5002" s="16" t="s">
        <v>15367</v>
      </c>
      <c r="B5002" s="17" t="s">
        <v>15368</v>
      </c>
      <c r="C5002" s="17" t="s">
        <v>11</v>
      </c>
      <c r="D5002" s="17" t="s">
        <v>32</v>
      </c>
      <c r="E5002" s="17" t="s">
        <v>20</v>
      </c>
      <c r="F5002" s="16" t="s">
        <v>15369</v>
      </c>
    </row>
    <row r="5003" spans="1:6" x14ac:dyDescent="0.25">
      <c r="A5003" s="16" t="s">
        <v>15370</v>
      </c>
      <c r="B5003" s="17" t="s">
        <v>15371</v>
      </c>
      <c r="C5003" s="17" t="s">
        <v>11</v>
      </c>
      <c r="D5003" s="17" t="s">
        <v>83</v>
      </c>
      <c r="E5003" s="17" t="s">
        <v>20</v>
      </c>
      <c r="F5003" s="16" t="s">
        <v>15372</v>
      </c>
    </row>
    <row r="5004" spans="1:6" x14ac:dyDescent="0.25">
      <c r="A5004" s="16" t="s">
        <v>15373</v>
      </c>
      <c r="B5004" s="17" t="s">
        <v>15374</v>
      </c>
      <c r="C5004" s="17" t="s">
        <v>11</v>
      </c>
      <c r="D5004" s="17" t="s">
        <v>83</v>
      </c>
      <c r="E5004" s="17" t="s">
        <v>20</v>
      </c>
      <c r="F5004" s="16" t="s">
        <v>15375</v>
      </c>
    </row>
    <row r="5005" spans="1:6" x14ac:dyDescent="0.25">
      <c r="A5005" s="16" t="s">
        <v>15376</v>
      </c>
      <c r="B5005" s="17" t="s">
        <v>15377</v>
      </c>
      <c r="C5005" s="17" t="s">
        <v>11</v>
      </c>
      <c r="D5005" s="17" t="s">
        <v>83</v>
      </c>
      <c r="E5005" s="17" t="s">
        <v>20</v>
      </c>
      <c r="F5005" s="16" t="s">
        <v>15378</v>
      </c>
    </row>
    <row r="5006" spans="1:6" x14ac:dyDescent="0.25">
      <c r="A5006" s="16" t="s">
        <v>15379</v>
      </c>
      <c r="B5006" s="17" t="s">
        <v>15380</v>
      </c>
      <c r="C5006" s="17" t="s">
        <v>11</v>
      </c>
      <c r="D5006" s="17" t="s">
        <v>250</v>
      </c>
      <c r="E5006" s="17" t="s">
        <v>20</v>
      </c>
      <c r="F5006" s="16" t="s">
        <v>15381</v>
      </c>
    </row>
    <row r="5007" spans="1:6" x14ac:dyDescent="0.25">
      <c r="A5007" s="16" t="s">
        <v>15382</v>
      </c>
      <c r="B5007" s="17" t="s">
        <v>15383</v>
      </c>
      <c r="C5007" s="17" t="s">
        <v>11</v>
      </c>
      <c r="D5007" s="17" t="s">
        <v>570</v>
      </c>
      <c r="E5007" s="17" t="s">
        <v>20</v>
      </c>
      <c r="F5007" s="16" t="s">
        <v>15384</v>
      </c>
    </row>
    <row r="5008" spans="1:6" x14ac:dyDescent="0.25">
      <c r="A5008" s="16" t="s">
        <v>15385</v>
      </c>
      <c r="B5008" s="17" t="s">
        <v>15386</v>
      </c>
      <c r="C5008" s="17" t="s">
        <v>11</v>
      </c>
      <c r="D5008" s="17" t="s">
        <v>32</v>
      </c>
      <c r="E5008" s="17" t="s">
        <v>20</v>
      </c>
      <c r="F5008" s="16" t="s">
        <v>15387</v>
      </c>
    </row>
    <row r="5009" spans="1:6" x14ac:dyDescent="0.25">
      <c r="A5009" s="16" t="s">
        <v>15388</v>
      </c>
      <c r="B5009" s="17" t="s">
        <v>15389</v>
      </c>
      <c r="C5009" s="17" t="s">
        <v>11</v>
      </c>
      <c r="D5009" s="17" t="s">
        <v>74</v>
      </c>
      <c r="E5009" s="17" t="s">
        <v>20</v>
      </c>
      <c r="F5009" s="16" t="s">
        <v>15390</v>
      </c>
    </row>
    <row r="5010" spans="1:6" x14ac:dyDescent="0.25">
      <c r="A5010" s="16" t="s">
        <v>15391</v>
      </c>
      <c r="B5010" s="17" t="s">
        <v>15392</v>
      </c>
      <c r="C5010" s="17" t="s">
        <v>11</v>
      </c>
      <c r="D5010" s="17" t="s">
        <v>32</v>
      </c>
      <c r="E5010" s="17" t="s">
        <v>20</v>
      </c>
      <c r="F5010" s="16" t="s">
        <v>15393</v>
      </c>
    </row>
    <row r="5011" spans="1:6" x14ac:dyDescent="0.25">
      <c r="A5011" s="16" t="s">
        <v>15394</v>
      </c>
      <c r="B5011" s="17" t="s">
        <v>15395</v>
      </c>
      <c r="C5011" s="17" t="s">
        <v>11</v>
      </c>
      <c r="D5011" s="17" t="s">
        <v>32</v>
      </c>
      <c r="E5011" s="17" t="s">
        <v>20</v>
      </c>
      <c r="F5011" s="16" t="s">
        <v>15396</v>
      </c>
    </row>
    <row r="5012" spans="1:6" x14ac:dyDescent="0.25">
      <c r="A5012" s="16" t="s">
        <v>15397</v>
      </c>
      <c r="B5012" s="17" t="s">
        <v>15398</v>
      </c>
      <c r="C5012" s="17" t="s">
        <v>11</v>
      </c>
      <c r="D5012" s="17" t="s">
        <v>26</v>
      </c>
      <c r="E5012" s="17" t="s">
        <v>20</v>
      </c>
      <c r="F5012" s="16" t="s">
        <v>15399</v>
      </c>
    </row>
    <row r="5013" spans="1:6" x14ac:dyDescent="0.25">
      <c r="A5013" s="16" t="s">
        <v>15400</v>
      </c>
      <c r="B5013" s="17" t="s">
        <v>15401</v>
      </c>
      <c r="C5013" s="17" t="s">
        <v>11</v>
      </c>
      <c r="D5013" s="17" t="s">
        <v>80</v>
      </c>
      <c r="E5013" s="17" t="s">
        <v>20</v>
      </c>
      <c r="F5013" s="16" t="s">
        <v>15402</v>
      </c>
    </row>
    <row r="5014" spans="1:6" x14ac:dyDescent="0.25">
      <c r="A5014" s="16" t="s">
        <v>15403</v>
      </c>
      <c r="B5014" s="17" t="s">
        <v>15404</v>
      </c>
      <c r="C5014" s="17" t="s">
        <v>11</v>
      </c>
      <c r="D5014" s="17" t="s">
        <v>32</v>
      </c>
      <c r="E5014" s="17" t="s">
        <v>20</v>
      </c>
      <c r="F5014" s="16" t="s">
        <v>15405</v>
      </c>
    </row>
    <row r="5015" spans="1:6" x14ac:dyDescent="0.25">
      <c r="A5015" s="16" t="s">
        <v>15406</v>
      </c>
      <c r="B5015" s="17" t="s">
        <v>15407</v>
      </c>
      <c r="C5015" s="17" t="s">
        <v>11</v>
      </c>
      <c r="D5015" s="17" t="s">
        <v>148</v>
      </c>
      <c r="E5015" s="17" t="s">
        <v>20</v>
      </c>
      <c r="F5015" s="16" t="s">
        <v>15408</v>
      </c>
    </row>
    <row r="5016" spans="1:6" x14ac:dyDescent="0.25">
      <c r="A5016" s="16" t="s">
        <v>15409</v>
      </c>
      <c r="B5016" s="17" t="s">
        <v>15410</v>
      </c>
      <c r="C5016" s="17" t="s">
        <v>11</v>
      </c>
      <c r="D5016" s="17" t="s">
        <v>80</v>
      </c>
      <c r="E5016" s="17" t="s">
        <v>20</v>
      </c>
      <c r="F5016" s="16" t="s">
        <v>15411</v>
      </c>
    </row>
    <row r="5017" spans="1:6" x14ac:dyDescent="0.25">
      <c r="A5017" s="16" t="s">
        <v>15412</v>
      </c>
      <c r="B5017" s="17" t="s">
        <v>15413</v>
      </c>
      <c r="C5017" s="17" t="s">
        <v>11</v>
      </c>
      <c r="D5017" s="17" t="s">
        <v>89</v>
      </c>
      <c r="E5017" s="17" t="s">
        <v>20</v>
      </c>
      <c r="F5017" s="16" t="s">
        <v>15414</v>
      </c>
    </row>
    <row r="5018" spans="1:6" x14ac:dyDescent="0.25">
      <c r="A5018" s="16" t="s">
        <v>15415</v>
      </c>
      <c r="B5018" s="17" t="s">
        <v>15416</v>
      </c>
      <c r="C5018" s="17" t="s">
        <v>11</v>
      </c>
      <c r="D5018" s="17" t="s">
        <v>83</v>
      </c>
      <c r="E5018" s="17" t="s">
        <v>20</v>
      </c>
      <c r="F5018" s="16" t="s">
        <v>15417</v>
      </c>
    </row>
    <row r="5019" spans="1:6" x14ac:dyDescent="0.25">
      <c r="A5019" s="16" t="s">
        <v>15418</v>
      </c>
      <c r="B5019" s="17" t="s">
        <v>15419</v>
      </c>
      <c r="C5019" s="17" t="s">
        <v>11</v>
      </c>
      <c r="D5019" s="17" t="s">
        <v>89</v>
      </c>
      <c r="E5019" s="17" t="s">
        <v>20</v>
      </c>
      <c r="F5019" s="16" t="s">
        <v>15420</v>
      </c>
    </row>
    <row r="5020" spans="1:6" x14ac:dyDescent="0.25">
      <c r="A5020" s="16" t="s">
        <v>15421</v>
      </c>
      <c r="B5020" s="17" t="s">
        <v>15422</v>
      </c>
      <c r="C5020" s="17" t="s">
        <v>11</v>
      </c>
      <c r="D5020" s="17" t="s">
        <v>32</v>
      </c>
      <c r="E5020" s="17" t="s">
        <v>20</v>
      </c>
      <c r="F5020" s="16" t="s">
        <v>15423</v>
      </c>
    </row>
    <row r="5021" spans="1:6" x14ac:dyDescent="0.25">
      <c r="A5021" s="16" t="s">
        <v>15424</v>
      </c>
      <c r="B5021" s="17" t="s">
        <v>15425</v>
      </c>
      <c r="C5021" s="17" t="s">
        <v>11</v>
      </c>
      <c r="D5021" s="17" t="s">
        <v>12</v>
      </c>
      <c r="E5021" s="17" t="s">
        <v>13</v>
      </c>
      <c r="F5021" s="16" t="s">
        <v>15426</v>
      </c>
    </row>
    <row r="5022" spans="1:6" x14ac:dyDescent="0.25">
      <c r="A5022" s="16" t="s">
        <v>15427</v>
      </c>
      <c r="B5022" s="17" t="s">
        <v>15428</v>
      </c>
      <c r="C5022" s="17" t="s">
        <v>11</v>
      </c>
      <c r="D5022" s="17" t="s">
        <v>576</v>
      </c>
      <c r="E5022" s="17" t="s">
        <v>20</v>
      </c>
      <c r="F5022" s="16" t="s">
        <v>15429</v>
      </c>
    </row>
    <row r="5023" spans="1:6" x14ac:dyDescent="0.25">
      <c r="A5023" s="16" t="s">
        <v>15430</v>
      </c>
      <c r="B5023" s="17" t="s">
        <v>15431</v>
      </c>
      <c r="C5023" s="17" t="s">
        <v>11</v>
      </c>
      <c r="D5023" s="17" t="s">
        <v>32</v>
      </c>
      <c r="E5023" s="17" t="s">
        <v>20</v>
      </c>
      <c r="F5023" s="16" t="s">
        <v>15432</v>
      </c>
    </row>
    <row r="5024" spans="1:6" x14ac:dyDescent="0.25">
      <c r="A5024" s="16" t="s">
        <v>15433</v>
      </c>
      <c r="B5024" s="17" t="s">
        <v>15434</v>
      </c>
      <c r="C5024" s="17" t="s">
        <v>11</v>
      </c>
      <c r="D5024" s="17" t="s">
        <v>32</v>
      </c>
      <c r="E5024" s="17" t="s">
        <v>20</v>
      </c>
      <c r="F5024" s="16" t="s">
        <v>15435</v>
      </c>
    </row>
    <row r="5025" spans="1:6" x14ac:dyDescent="0.25">
      <c r="A5025" s="16" t="s">
        <v>15436</v>
      </c>
      <c r="B5025" s="17" t="s">
        <v>15437</v>
      </c>
      <c r="C5025" s="17" t="s">
        <v>11</v>
      </c>
      <c r="D5025" s="17" t="s">
        <v>32</v>
      </c>
      <c r="E5025" s="17" t="s">
        <v>20</v>
      </c>
      <c r="F5025" s="16" t="s">
        <v>15438</v>
      </c>
    </row>
    <row r="5026" spans="1:6" x14ac:dyDescent="0.25">
      <c r="A5026" s="16" t="s">
        <v>15439</v>
      </c>
      <c r="B5026" s="17" t="s">
        <v>15440</v>
      </c>
      <c r="C5026" s="17" t="s">
        <v>11</v>
      </c>
      <c r="D5026" s="17" t="s">
        <v>89</v>
      </c>
      <c r="E5026" s="17" t="s">
        <v>20</v>
      </c>
      <c r="F5026" s="16" t="s">
        <v>15441</v>
      </c>
    </row>
    <row r="5027" spans="1:6" x14ac:dyDescent="0.25">
      <c r="A5027" s="16" t="s">
        <v>15442</v>
      </c>
      <c r="B5027" s="17" t="s">
        <v>15443</v>
      </c>
      <c r="C5027" s="17" t="s">
        <v>11</v>
      </c>
      <c r="D5027" s="17" t="s">
        <v>32</v>
      </c>
      <c r="E5027" s="17" t="s">
        <v>20</v>
      </c>
      <c r="F5027" s="16" t="s">
        <v>15444</v>
      </c>
    </row>
    <row r="5028" spans="1:6" x14ac:dyDescent="0.25">
      <c r="A5028" s="16" t="s">
        <v>15445</v>
      </c>
      <c r="B5028" s="17" t="s">
        <v>15446</v>
      </c>
      <c r="C5028" s="17" t="s">
        <v>11</v>
      </c>
      <c r="D5028" s="17" t="s">
        <v>32</v>
      </c>
      <c r="E5028" s="17" t="s">
        <v>20</v>
      </c>
      <c r="F5028" s="16" t="s">
        <v>15447</v>
      </c>
    </row>
    <row r="5029" spans="1:6" x14ac:dyDescent="0.25">
      <c r="A5029" s="16" t="s">
        <v>15448</v>
      </c>
      <c r="B5029" s="17" t="s">
        <v>15449</v>
      </c>
      <c r="C5029" s="17" t="s">
        <v>11</v>
      </c>
      <c r="D5029" s="17" t="s">
        <v>12</v>
      </c>
      <c r="E5029" s="17" t="s">
        <v>13</v>
      </c>
      <c r="F5029" s="16" t="s">
        <v>15450</v>
      </c>
    </row>
    <row r="5030" spans="1:6" x14ac:dyDescent="0.25">
      <c r="A5030" s="16" t="s">
        <v>15451</v>
      </c>
      <c r="B5030" s="17" t="s">
        <v>15452</v>
      </c>
      <c r="C5030" s="17" t="s">
        <v>11</v>
      </c>
      <c r="D5030" s="17" t="s">
        <v>83</v>
      </c>
      <c r="E5030" s="17" t="s">
        <v>20</v>
      </c>
      <c r="F5030" s="16" t="s">
        <v>15453</v>
      </c>
    </row>
    <row r="5031" spans="1:6" x14ac:dyDescent="0.25">
      <c r="A5031" s="16" t="s">
        <v>15454</v>
      </c>
      <c r="B5031" s="17" t="s">
        <v>15455</v>
      </c>
      <c r="C5031" s="17" t="s">
        <v>11</v>
      </c>
      <c r="D5031" s="17" t="s">
        <v>32</v>
      </c>
      <c r="E5031" s="17" t="s">
        <v>20</v>
      </c>
      <c r="F5031" s="16" t="s">
        <v>15456</v>
      </c>
    </row>
    <row r="5032" spans="1:6" x14ac:dyDescent="0.25">
      <c r="A5032" s="16" t="s">
        <v>15457</v>
      </c>
      <c r="B5032" s="17" t="s">
        <v>15458</v>
      </c>
      <c r="C5032" s="17" t="s">
        <v>11</v>
      </c>
      <c r="D5032" s="17" t="s">
        <v>19</v>
      </c>
      <c r="E5032" s="17" t="s">
        <v>20</v>
      </c>
      <c r="F5032" s="16" t="s">
        <v>15459</v>
      </c>
    </row>
    <row r="5033" spans="1:6" x14ac:dyDescent="0.25">
      <c r="A5033" s="16" t="s">
        <v>15460</v>
      </c>
      <c r="B5033" s="17" t="s">
        <v>15461</v>
      </c>
      <c r="C5033" s="17" t="s">
        <v>11</v>
      </c>
      <c r="D5033" s="17" t="s">
        <v>32</v>
      </c>
      <c r="E5033" s="17" t="s">
        <v>20</v>
      </c>
      <c r="F5033" s="16" t="s">
        <v>15462</v>
      </c>
    </row>
    <row r="5034" spans="1:6" x14ac:dyDescent="0.25">
      <c r="A5034" s="16" t="s">
        <v>15463</v>
      </c>
      <c r="B5034" s="17" t="s">
        <v>15464</v>
      </c>
      <c r="C5034" s="17" t="s">
        <v>11</v>
      </c>
      <c r="D5034" s="17" t="s">
        <v>182</v>
      </c>
      <c r="E5034" s="17" t="s">
        <v>20</v>
      </c>
      <c r="F5034" s="16" t="s">
        <v>15465</v>
      </c>
    </row>
    <row r="5035" spans="1:6" x14ac:dyDescent="0.25">
      <c r="A5035" s="16" t="s">
        <v>15466</v>
      </c>
      <c r="B5035" s="17" t="s">
        <v>15467</v>
      </c>
      <c r="C5035" s="17" t="s">
        <v>11</v>
      </c>
      <c r="D5035" s="17" t="s">
        <v>32</v>
      </c>
      <c r="E5035" s="17" t="s">
        <v>20</v>
      </c>
      <c r="F5035" s="16" t="s">
        <v>15468</v>
      </c>
    </row>
    <row r="5036" spans="1:6" x14ac:dyDescent="0.25">
      <c r="A5036" s="16" t="s">
        <v>15469</v>
      </c>
      <c r="B5036" s="17" t="s">
        <v>15470</v>
      </c>
      <c r="C5036" s="17" t="s">
        <v>11</v>
      </c>
      <c r="D5036" s="17" t="s">
        <v>83</v>
      </c>
      <c r="E5036" s="17" t="s">
        <v>20</v>
      </c>
      <c r="F5036" s="16" t="s">
        <v>15471</v>
      </c>
    </row>
    <row r="5037" spans="1:6" x14ac:dyDescent="0.25">
      <c r="A5037" s="16" t="s">
        <v>15472</v>
      </c>
      <c r="B5037" s="17" t="s">
        <v>15473</v>
      </c>
      <c r="C5037" s="17" t="s">
        <v>11</v>
      </c>
      <c r="D5037" s="17" t="s">
        <v>186</v>
      </c>
      <c r="E5037" s="17" t="s">
        <v>20</v>
      </c>
      <c r="F5037" s="16" t="s">
        <v>15474</v>
      </c>
    </row>
    <row r="5038" spans="1:6" x14ac:dyDescent="0.25">
      <c r="A5038" s="16" t="s">
        <v>15475</v>
      </c>
      <c r="B5038" s="17" t="s">
        <v>15476</v>
      </c>
      <c r="C5038" s="17" t="s">
        <v>11</v>
      </c>
      <c r="D5038" s="17" t="s">
        <v>83</v>
      </c>
      <c r="E5038" s="17" t="s">
        <v>20</v>
      </c>
      <c r="F5038" s="16" t="s">
        <v>15477</v>
      </c>
    </row>
    <row r="5039" spans="1:6" x14ac:dyDescent="0.25">
      <c r="A5039" s="16" t="s">
        <v>15478</v>
      </c>
      <c r="B5039" s="17" t="s">
        <v>15479</v>
      </c>
      <c r="C5039" s="17" t="s">
        <v>11</v>
      </c>
      <c r="D5039" s="17" t="s">
        <v>89</v>
      </c>
      <c r="E5039" s="17" t="s">
        <v>20</v>
      </c>
      <c r="F5039" s="16" t="s">
        <v>15480</v>
      </c>
    </row>
    <row r="5040" spans="1:6" x14ac:dyDescent="0.25">
      <c r="A5040" s="16" t="s">
        <v>15481</v>
      </c>
      <c r="B5040" s="17" t="s">
        <v>15482</v>
      </c>
      <c r="C5040" s="17" t="s">
        <v>11</v>
      </c>
      <c r="D5040" s="17" t="s">
        <v>32</v>
      </c>
      <c r="E5040" s="17" t="s">
        <v>20</v>
      </c>
      <c r="F5040" s="16" t="s">
        <v>15483</v>
      </c>
    </row>
    <row r="5041" spans="1:6" x14ac:dyDescent="0.25">
      <c r="A5041" s="16" t="s">
        <v>15484</v>
      </c>
      <c r="B5041" s="17" t="s">
        <v>15485</v>
      </c>
      <c r="C5041" s="17" t="s">
        <v>11</v>
      </c>
      <c r="D5041" s="17" t="s">
        <v>182</v>
      </c>
      <c r="E5041" s="17" t="s">
        <v>20</v>
      </c>
      <c r="F5041" s="16" t="s">
        <v>15486</v>
      </c>
    </row>
    <row r="5042" spans="1:6" x14ac:dyDescent="0.25">
      <c r="A5042" s="16" t="s">
        <v>15487</v>
      </c>
      <c r="B5042" s="17" t="s">
        <v>15488</v>
      </c>
      <c r="C5042" s="17" t="s">
        <v>11</v>
      </c>
      <c r="D5042" s="17" t="s">
        <v>80</v>
      </c>
      <c r="E5042" s="17" t="s">
        <v>20</v>
      </c>
      <c r="F5042" s="16" t="s">
        <v>15489</v>
      </c>
    </row>
    <row r="5043" spans="1:6" x14ac:dyDescent="0.25">
      <c r="A5043" s="16" t="s">
        <v>15490</v>
      </c>
      <c r="B5043" s="17" t="s">
        <v>15491</v>
      </c>
      <c r="C5043" s="17" t="s">
        <v>11</v>
      </c>
      <c r="D5043" s="17" t="s">
        <v>32</v>
      </c>
      <c r="E5043" s="17" t="s">
        <v>20</v>
      </c>
      <c r="F5043" s="16" t="s">
        <v>15492</v>
      </c>
    </row>
    <row r="5044" spans="1:6" x14ac:dyDescent="0.25">
      <c r="A5044" s="16" t="s">
        <v>15493</v>
      </c>
      <c r="B5044" s="17" t="s">
        <v>15494</v>
      </c>
      <c r="C5044" s="17" t="s">
        <v>11</v>
      </c>
      <c r="D5044" s="17" t="s">
        <v>12</v>
      </c>
      <c r="E5044" s="17" t="s">
        <v>13</v>
      </c>
      <c r="F5044" s="16" t="s">
        <v>15495</v>
      </c>
    </row>
    <row r="5045" spans="1:6" x14ac:dyDescent="0.25">
      <c r="A5045" s="16" t="s">
        <v>15496</v>
      </c>
      <c r="B5045" s="17" t="s">
        <v>15497</v>
      </c>
      <c r="C5045" s="17" t="s">
        <v>11</v>
      </c>
      <c r="D5045" s="17" t="s">
        <v>32</v>
      </c>
      <c r="E5045" s="17" t="s">
        <v>20</v>
      </c>
      <c r="F5045" s="16" t="s">
        <v>15498</v>
      </c>
    </row>
    <row r="5046" spans="1:6" x14ac:dyDescent="0.25">
      <c r="A5046" s="16" t="s">
        <v>15499</v>
      </c>
      <c r="B5046" s="17" t="s">
        <v>15500</v>
      </c>
      <c r="C5046" s="17" t="s">
        <v>11</v>
      </c>
      <c r="D5046" s="17" t="s">
        <v>182</v>
      </c>
      <c r="E5046" s="17" t="s">
        <v>20</v>
      </c>
      <c r="F5046" s="16" t="s">
        <v>15501</v>
      </c>
    </row>
    <row r="5047" spans="1:6" x14ac:dyDescent="0.25">
      <c r="A5047" s="16" t="s">
        <v>15502</v>
      </c>
      <c r="B5047" s="17" t="s">
        <v>15503</v>
      </c>
      <c r="C5047" s="17" t="s">
        <v>11</v>
      </c>
      <c r="D5047" s="17" t="s">
        <v>12</v>
      </c>
      <c r="E5047" s="17" t="s">
        <v>13</v>
      </c>
      <c r="F5047" s="16" t="s">
        <v>15504</v>
      </c>
    </row>
    <row r="5048" spans="1:6" x14ac:dyDescent="0.25">
      <c r="A5048" s="16" t="s">
        <v>15505</v>
      </c>
      <c r="B5048" s="17" t="s">
        <v>15506</v>
      </c>
      <c r="C5048" s="17" t="s">
        <v>11</v>
      </c>
      <c r="D5048" s="17" t="s">
        <v>148</v>
      </c>
      <c r="E5048" s="17" t="s">
        <v>20</v>
      </c>
      <c r="F5048" s="16" t="s">
        <v>15507</v>
      </c>
    </row>
    <row r="5049" spans="1:6" x14ac:dyDescent="0.25">
      <c r="A5049" s="16" t="s">
        <v>15508</v>
      </c>
      <c r="B5049" s="17" t="s">
        <v>15509</v>
      </c>
      <c r="C5049" s="17" t="s">
        <v>11</v>
      </c>
      <c r="D5049" s="17" t="s">
        <v>12</v>
      </c>
      <c r="E5049" s="17" t="s">
        <v>13</v>
      </c>
      <c r="F5049" s="16" t="s">
        <v>15510</v>
      </c>
    </row>
    <row r="5050" spans="1:6" x14ac:dyDescent="0.25">
      <c r="A5050" s="16" t="s">
        <v>15511</v>
      </c>
      <c r="B5050" s="17" t="s">
        <v>15512</v>
      </c>
      <c r="C5050" s="17" t="s">
        <v>11</v>
      </c>
      <c r="D5050" s="17" t="s">
        <v>59</v>
      </c>
      <c r="E5050" s="17" t="s">
        <v>13</v>
      </c>
      <c r="F5050" s="16" t="s">
        <v>15513</v>
      </c>
    </row>
    <row r="5051" spans="1:6" x14ac:dyDescent="0.25">
      <c r="A5051" s="16" t="s">
        <v>15514</v>
      </c>
      <c r="B5051" s="17" t="s">
        <v>15515</v>
      </c>
      <c r="C5051" s="17" t="s">
        <v>11</v>
      </c>
      <c r="D5051" s="17" t="s">
        <v>12</v>
      </c>
      <c r="E5051" s="17" t="s">
        <v>13</v>
      </c>
      <c r="F5051" s="16" t="s">
        <v>15516</v>
      </c>
    </row>
    <row r="5052" spans="1:6" x14ac:dyDescent="0.25">
      <c r="A5052" s="16" t="s">
        <v>15517</v>
      </c>
      <c r="B5052" s="17" t="s">
        <v>15518</v>
      </c>
      <c r="C5052" s="17" t="s">
        <v>11</v>
      </c>
      <c r="D5052" s="17" t="s">
        <v>32</v>
      </c>
      <c r="E5052" s="17" t="s">
        <v>20</v>
      </c>
      <c r="F5052" s="16" t="s">
        <v>15519</v>
      </c>
    </row>
    <row r="5053" spans="1:6" x14ac:dyDescent="0.25">
      <c r="A5053" s="16" t="s">
        <v>15520</v>
      </c>
      <c r="B5053" s="17" t="s">
        <v>15521</v>
      </c>
      <c r="C5053" s="17" t="s">
        <v>11</v>
      </c>
      <c r="D5053" s="17" t="s">
        <v>12</v>
      </c>
      <c r="E5053" s="17" t="s">
        <v>13</v>
      </c>
      <c r="F5053" s="16" t="s">
        <v>15522</v>
      </c>
    </row>
    <row r="5054" spans="1:6" x14ac:dyDescent="0.25">
      <c r="A5054" s="16" t="s">
        <v>15523</v>
      </c>
      <c r="B5054" s="17" t="s">
        <v>15524</v>
      </c>
      <c r="C5054" s="17" t="s">
        <v>11</v>
      </c>
      <c r="D5054" s="17" t="s">
        <v>74</v>
      </c>
      <c r="E5054" s="17" t="s">
        <v>20</v>
      </c>
      <c r="F5054" s="16" t="s">
        <v>15525</v>
      </c>
    </row>
    <row r="5055" spans="1:6" x14ac:dyDescent="0.25">
      <c r="A5055" s="16" t="s">
        <v>15526</v>
      </c>
      <c r="B5055" s="17" t="s">
        <v>15527</v>
      </c>
      <c r="C5055" s="17" t="s">
        <v>11</v>
      </c>
      <c r="D5055" s="17" t="s">
        <v>12</v>
      </c>
      <c r="E5055" s="17" t="s">
        <v>13</v>
      </c>
      <c r="F5055" s="16" t="s">
        <v>15528</v>
      </c>
    </row>
    <row r="5056" spans="1:6" x14ac:dyDescent="0.25">
      <c r="A5056" s="16" t="s">
        <v>15529</v>
      </c>
      <c r="B5056" s="17" t="s">
        <v>15530</v>
      </c>
      <c r="C5056" s="17" t="s">
        <v>11</v>
      </c>
      <c r="D5056" s="17" t="s">
        <v>32</v>
      </c>
      <c r="E5056" s="17" t="s">
        <v>20</v>
      </c>
      <c r="F5056" s="16" t="s">
        <v>15531</v>
      </c>
    </row>
    <row r="5057" spans="1:6" x14ac:dyDescent="0.25">
      <c r="A5057" s="16" t="s">
        <v>15532</v>
      </c>
      <c r="B5057" s="17" t="s">
        <v>15533</v>
      </c>
      <c r="C5057" s="17" t="s">
        <v>11</v>
      </c>
      <c r="D5057" s="17" t="s">
        <v>74</v>
      </c>
      <c r="E5057" s="17" t="s">
        <v>20</v>
      </c>
      <c r="F5057" s="16" t="s">
        <v>15534</v>
      </c>
    </row>
    <row r="5058" spans="1:6" x14ac:dyDescent="0.25">
      <c r="A5058" s="16" t="s">
        <v>15535</v>
      </c>
      <c r="B5058" s="17" t="s">
        <v>15536</v>
      </c>
      <c r="C5058" s="17" t="s">
        <v>11</v>
      </c>
      <c r="D5058" s="17" t="s">
        <v>12</v>
      </c>
      <c r="E5058" s="17" t="s">
        <v>13</v>
      </c>
      <c r="F5058" s="16" t="s">
        <v>15537</v>
      </c>
    </row>
    <row r="5059" spans="1:6" x14ac:dyDescent="0.25">
      <c r="A5059" s="16" t="s">
        <v>15538</v>
      </c>
      <c r="B5059" s="17" t="s">
        <v>15539</v>
      </c>
      <c r="C5059" s="17" t="s">
        <v>11</v>
      </c>
      <c r="D5059" s="17" t="s">
        <v>12</v>
      </c>
      <c r="E5059" s="17" t="s">
        <v>13</v>
      </c>
      <c r="F5059" s="16" t="s">
        <v>15540</v>
      </c>
    </row>
    <row r="5060" spans="1:6" x14ac:dyDescent="0.25">
      <c r="A5060" s="16" t="s">
        <v>15541</v>
      </c>
      <c r="B5060" s="17" t="s">
        <v>15542</v>
      </c>
      <c r="C5060" s="17" t="s">
        <v>11</v>
      </c>
      <c r="D5060" s="17" t="s">
        <v>32</v>
      </c>
      <c r="E5060" s="17" t="s">
        <v>20</v>
      </c>
      <c r="F5060" s="16" t="s">
        <v>15543</v>
      </c>
    </row>
    <row r="5061" spans="1:6" x14ac:dyDescent="0.25">
      <c r="A5061" s="16" t="s">
        <v>15544</v>
      </c>
      <c r="B5061" s="17" t="s">
        <v>15545</v>
      </c>
      <c r="C5061" s="17" t="s">
        <v>11</v>
      </c>
      <c r="D5061" s="17" t="s">
        <v>291</v>
      </c>
      <c r="E5061" s="17" t="s">
        <v>20</v>
      </c>
      <c r="F5061" s="16" t="s">
        <v>15546</v>
      </c>
    </row>
    <row r="5062" spans="1:6" x14ac:dyDescent="0.25">
      <c r="A5062" s="16" t="s">
        <v>15547</v>
      </c>
      <c r="B5062" s="17" t="s">
        <v>15548</v>
      </c>
      <c r="C5062" s="17" t="s">
        <v>11</v>
      </c>
      <c r="D5062" s="17" t="s">
        <v>186</v>
      </c>
      <c r="E5062" s="17" t="s">
        <v>20</v>
      </c>
      <c r="F5062" s="16" t="s">
        <v>15549</v>
      </c>
    </row>
    <row r="5063" spans="1:6" x14ac:dyDescent="0.25">
      <c r="A5063" s="16" t="s">
        <v>15550</v>
      </c>
      <c r="B5063" s="17" t="s">
        <v>15551</v>
      </c>
      <c r="C5063" s="17" t="s">
        <v>11</v>
      </c>
      <c r="D5063" s="17" t="s">
        <v>12</v>
      </c>
      <c r="E5063" s="17" t="s">
        <v>13</v>
      </c>
      <c r="F5063" s="16" t="s">
        <v>15552</v>
      </c>
    </row>
    <row r="5064" spans="1:6" x14ac:dyDescent="0.25">
      <c r="A5064" s="16" t="s">
        <v>15553</v>
      </c>
      <c r="B5064" s="17" t="s">
        <v>15554</v>
      </c>
      <c r="C5064" s="17" t="s">
        <v>11</v>
      </c>
      <c r="D5064" s="17" t="s">
        <v>32</v>
      </c>
      <c r="E5064" s="17" t="s">
        <v>20</v>
      </c>
      <c r="F5064" s="16" t="s">
        <v>15555</v>
      </c>
    </row>
    <row r="5065" spans="1:6" x14ac:dyDescent="0.25">
      <c r="A5065" s="16" t="s">
        <v>15556</v>
      </c>
      <c r="B5065" s="17" t="s">
        <v>15557</v>
      </c>
      <c r="C5065" s="17" t="s">
        <v>11</v>
      </c>
      <c r="D5065" s="17" t="s">
        <v>59</v>
      </c>
      <c r="E5065" s="17" t="s">
        <v>13</v>
      </c>
      <c r="F5065" s="16" t="s">
        <v>15558</v>
      </c>
    </row>
    <row r="5066" spans="1:6" x14ac:dyDescent="0.25">
      <c r="A5066" s="16" t="s">
        <v>15559</v>
      </c>
      <c r="B5066" s="17" t="s">
        <v>15560</v>
      </c>
      <c r="C5066" s="17" t="s">
        <v>11</v>
      </c>
      <c r="D5066" s="17" t="s">
        <v>12</v>
      </c>
      <c r="E5066" s="17" t="s">
        <v>13</v>
      </c>
      <c r="F5066" s="16" t="s">
        <v>15561</v>
      </c>
    </row>
    <row r="5067" spans="1:6" x14ac:dyDescent="0.25">
      <c r="A5067" s="16" t="s">
        <v>15562</v>
      </c>
      <c r="B5067" s="17" t="s">
        <v>15563</v>
      </c>
      <c r="C5067" s="17" t="s">
        <v>11</v>
      </c>
      <c r="D5067" s="17" t="s">
        <v>12</v>
      </c>
      <c r="E5067" s="17" t="s">
        <v>13</v>
      </c>
      <c r="F5067" s="16" t="s">
        <v>15564</v>
      </c>
    </row>
    <row r="5068" spans="1:6" x14ac:dyDescent="0.25">
      <c r="A5068" s="16" t="s">
        <v>15565</v>
      </c>
      <c r="B5068" s="17" t="s">
        <v>15566</v>
      </c>
      <c r="C5068" s="17" t="s">
        <v>214</v>
      </c>
      <c r="D5068" s="17" t="s">
        <v>26</v>
      </c>
      <c r="E5068" s="17" t="s">
        <v>20</v>
      </c>
      <c r="F5068" s="16" t="s">
        <v>15567</v>
      </c>
    </row>
    <row r="5069" spans="1:6" x14ac:dyDescent="0.25">
      <c r="A5069" s="16" t="s">
        <v>15568</v>
      </c>
      <c r="B5069" s="17" t="s">
        <v>15569</v>
      </c>
      <c r="C5069" s="17" t="s">
        <v>11</v>
      </c>
      <c r="D5069" s="17" t="s">
        <v>32</v>
      </c>
      <c r="E5069" s="17" t="s">
        <v>20</v>
      </c>
      <c r="F5069" s="16" t="s">
        <v>15570</v>
      </c>
    </row>
    <row r="5070" spans="1:6" x14ac:dyDescent="0.25">
      <c r="A5070" s="16" t="s">
        <v>15571</v>
      </c>
      <c r="B5070" s="17" t="s">
        <v>15572</v>
      </c>
      <c r="C5070" s="17" t="s">
        <v>11</v>
      </c>
      <c r="D5070" s="17" t="s">
        <v>182</v>
      </c>
      <c r="E5070" s="17" t="s">
        <v>20</v>
      </c>
      <c r="F5070" s="16" t="s">
        <v>15573</v>
      </c>
    </row>
    <row r="5071" spans="1:6" x14ac:dyDescent="0.25">
      <c r="A5071" s="16" t="s">
        <v>15574</v>
      </c>
      <c r="B5071" s="17" t="s">
        <v>15575</v>
      </c>
      <c r="C5071" s="17" t="s">
        <v>11</v>
      </c>
      <c r="D5071" s="17" t="s">
        <v>26</v>
      </c>
      <c r="E5071" s="17" t="s">
        <v>20</v>
      </c>
      <c r="F5071" s="16" t="s">
        <v>15576</v>
      </c>
    </row>
    <row r="5072" spans="1:6" x14ac:dyDescent="0.25">
      <c r="A5072" s="16" t="s">
        <v>15577</v>
      </c>
      <c r="B5072" s="17" t="s">
        <v>15578</v>
      </c>
      <c r="C5072" s="17" t="s">
        <v>11</v>
      </c>
      <c r="D5072" s="17" t="s">
        <v>59</v>
      </c>
      <c r="E5072" s="17" t="s">
        <v>13</v>
      </c>
      <c r="F5072" s="16" t="s">
        <v>15579</v>
      </c>
    </row>
    <row r="5073" spans="1:6" x14ac:dyDescent="0.25">
      <c r="A5073" s="16" t="s">
        <v>15580</v>
      </c>
      <c r="B5073" s="17" t="s">
        <v>15581</v>
      </c>
      <c r="C5073" s="17" t="s">
        <v>11</v>
      </c>
      <c r="D5073" s="17" t="s">
        <v>12</v>
      </c>
      <c r="E5073" s="17" t="s">
        <v>13</v>
      </c>
      <c r="F5073" s="16" t="s">
        <v>15582</v>
      </c>
    </row>
    <row r="5074" spans="1:6" x14ac:dyDescent="0.25">
      <c r="A5074" s="16" t="s">
        <v>15583</v>
      </c>
      <c r="B5074" s="17" t="s">
        <v>15584</v>
      </c>
      <c r="C5074" s="17" t="s">
        <v>11</v>
      </c>
      <c r="D5074" s="17" t="s">
        <v>12</v>
      </c>
      <c r="E5074" s="17" t="s">
        <v>13</v>
      </c>
      <c r="F5074" s="16" t="s">
        <v>15585</v>
      </c>
    </row>
    <row r="5075" spans="1:6" x14ac:dyDescent="0.25">
      <c r="A5075" s="16" t="s">
        <v>15586</v>
      </c>
      <c r="B5075" s="17" t="s">
        <v>15587</v>
      </c>
      <c r="C5075" s="17" t="s">
        <v>11</v>
      </c>
      <c r="D5075" s="17" t="s">
        <v>83</v>
      </c>
      <c r="E5075" s="17" t="s">
        <v>20</v>
      </c>
      <c r="F5075" s="16" t="s">
        <v>15588</v>
      </c>
    </row>
    <row r="5076" spans="1:6" x14ac:dyDescent="0.25">
      <c r="A5076" s="16" t="s">
        <v>15589</v>
      </c>
      <c r="B5076" s="17" t="s">
        <v>15590</v>
      </c>
      <c r="C5076" s="17" t="s">
        <v>11</v>
      </c>
      <c r="D5076" s="17" t="s">
        <v>12</v>
      </c>
      <c r="E5076" s="17" t="s">
        <v>13</v>
      </c>
      <c r="F5076" s="16" t="s">
        <v>15591</v>
      </c>
    </row>
    <row r="5077" spans="1:6" x14ac:dyDescent="0.25">
      <c r="A5077" s="16" t="s">
        <v>15592</v>
      </c>
      <c r="B5077" s="17" t="s">
        <v>15593</v>
      </c>
      <c r="C5077" s="17" t="s">
        <v>11</v>
      </c>
      <c r="D5077" s="17" t="s">
        <v>12</v>
      </c>
      <c r="E5077" s="17" t="s">
        <v>13</v>
      </c>
      <c r="F5077" s="16" t="s">
        <v>15594</v>
      </c>
    </row>
    <row r="5078" spans="1:6" x14ac:dyDescent="0.25">
      <c r="A5078" s="16" t="s">
        <v>15595</v>
      </c>
      <c r="B5078" s="17" t="s">
        <v>15596</v>
      </c>
      <c r="C5078" s="17" t="s">
        <v>11</v>
      </c>
      <c r="D5078" s="17" t="s">
        <v>186</v>
      </c>
      <c r="E5078" s="17" t="s">
        <v>20</v>
      </c>
      <c r="F5078" s="16" t="s">
        <v>15597</v>
      </c>
    </row>
    <row r="5079" spans="1:6" x14ac:dyDescent="0.25">
      <c r="A5079" s="16" t="s">
        <v>15598</v>
      </c>
      <c r="B5079" s="17" t="s">
        <v>15599</v>
      </c>
      <c r="C5079" s="17" t="s">
        <v>11</v>
      </c>
      <c r="D5079" s="17" t="s">
        <v>32</v>
      </c>
      <c r="E5079" s="17" t="s">
        <v>20</v>
      </c>
      <c r="F5079" s="16" t="s">
        <v>15600</v>
      </c>
    </row>
    <row r="5080" spans="1:6" x14ac:dyDescent="0.25">
      <c r="A5080" s="16" t="s">
        <v>15601</v>
      </c>
      <c r="B5080" s="17" t="s">
        <v>15602</v>
      </c>
      <c r="C5080" s="17" t="s">
        <v>11</v>
      </c>
      <c r="D5080" s="17" t="s">
        <v>32</v>
      </c>
      <c r="E5080" s="17" t="s">
        <v>20</v>
      </c>
      <c r="F5080" s="16" t="s">
        <v>15603</v>
      </c>
    </row>
    <row r="5081" spans="1:6" x14ac:dyDescent="0.25">
      <c r="A5081" s="16" t="s">
        <v>15604</v>
      </c>
      <c r="B5081" s="17" t="s">
        <v>15605</v>
      </c>
      <c r="C5081" s="17" t="s">
        <v>11</v>
      </c>
      <c r="D5081" s="17" t="s">
        <v>570</v>
      </c>
      <c r="E5081" s="17" t="s">
        <v>20</v>
      </c>
      <c r="F5081" s="16" t="s">
        <v>15606</v>
      </c>
    </row>
    <row r="5082" spans="1:6" x14ac:dyDescent="0.25">
      <c r="A5082" s="16" t="s">
        <v>15607</v>
      </c>
      <c r="B5082" s="17" t="s">
        <v>15608</v>
      </c>
      <c r="C5082" s="17" t="s">
        <v>11</v>
      </c>
      <c r="D5082" s="17" t="s">
        <v>74</v>
      </c>
      <c r="E5082" s="17" t="s">
        <v>20</v>
      </c>
      <c r="F5082" s="16" t="s">
        <v>15609</v>
      </c>
    </row>
    <row r="5083" spans="1:6" x14ac:dyDescent="0.25">
      <c r="A5083" s="16" t="s">
        <v>15610</v>
      </c>
      <c r="B5083" s="17" t="s">
        <v>15611</v>
      </c>
      <c r="C5083" s="17" t="s">
        <v>11</v>
      </c>
      <c r="D5083" s="17" t="s">
        <v>12</v>
      </c>
      <c r="E5083" s="17" t="s">
        <v>13</v>
      </c>
      <c r="F5083" s="16" t="s">
        <v>15612</v>
      </c>
    </row>
    <row r="5084" spans="1:6" x14ac:dyDescent="0.25">
      <c r="A5084" s="16" t="s">
        <v>15613</v>
      </c>
      <c r="B5084" s="17" t="s">
        <v>15614</v>
      </c>
      <c r="C5084" s="17" t="s">
        <v>11</v>
      </c>
      <c r="D5084" s="17" t="s">
        <v>32</v>
      </c>
      <c r="E5084" s="17" t="s">
        <v>20</v>
      </c>
      <c r="F5084" s="16" t="s">
        <v>15615</v>
      </c>
    </row>
    <row r="5085" spans="1:6" x14ac:dyDescent="0.25">
      <c r="A5085" s="16" t="s">
        <v>15616</v>
      </c>
      <c r="B5085" s="17" t="s">
        <v>15617</v>
      </c>
      <c r="C5085" s="17" t="s">
        <v>11</v>
      </c>
      <c r="D5085" s="17" t="s">
        <v>32</v>
      </c>
      <c r="E5085" s="17" t="s">
        <v>20</v>
      </c>
      <c r="F5085" s="16" t="s">
        <v>15618</v>
      </c>
    </row>
    <row r="5086" spans="1:6" x14ac:dyDescent="0.25">
      <c r="A5086" s="16" t="s">
        <v>15619</v>
      </c>
      <c r="B5086" s="17" t="s">
        <v>15620</v>
      </c>
      <c r="C5086" s="17" t="s">
        <v>11</v>
      </c>
      <c r="D5086" s="17" t="s">
        <v>74</v>
      </c>
      <c r="E5086" s="17" t="s">
        <v>20</v>
      </c>
      <c r="F5086" s="16" t="s">
        <v>15621</v>
      </c>
    </row>
    <row r="5087" spans="1:6" x14ac:dyDescent="0.25">
      <c r="A5087" s="16" t="s">
        <v>15622</v>
      </c>
      <c r="B5087" s="17" t="s">
        <v>15623</v>
      </c>
      <c r="C5087" s="17" t="s">
        <v>11</v>
      </c>
      <c r="D5087" s="17" t="s">
        <v>12</v>
      </c>
      <c r="E5087" s="17" t="s">
        <v>13</v>
      </c>
      <c r="F5087" s="16" t="s">
        <v>15624</v>
      </c>
    </row>
    <row r="5088" spans="1:6" x14ac:dyDescent="0.25">
      <c r="A5088" s="16" t="s">
        <v>15625</v>
      </c>
      <c r="B5088" s="17" t="s">
        <v>15626</v>
      </c>
      <c r="C5088" s="17" t="s">
        <v>11</v>
      </c>
      <c r="D5088" s="17" t="s">
        <v>32</v>
      </c>
      <c r="E5088" s="17" t="s">
        <v>20</v>
      </c>
      <c r="F5088" s="16" t="s">
        <v>15627</v>
      </c>
    </row>
    <row r="5089" spans="1:6" x14ac:dyDescent="0.25">
      <c r="A5089" s="16" t="s">
        <v>15628</v>
      </c>
      <c r="B5089" s="17" t="s">
        <v>15629</v>
      </c>
      <c r="C5089" s="17" t="s">
        <v>11</v>
      </c>
      <c r="D5089" s="17" t="s">
        <v>148</v>
      </c>
      <c r="E5089" s="17" t="s">
        <v>20</v>
      </c>
      <c r="F5089" s="16" t="s">
        <v>15630</v>
      </c>
    </row>
    <row r="5090" spans="1:6" x14ac:dyDescent="0.25">
      <c r="A5090" s="16" t="s">
        <v>15631</v>
      </c>
      <c r="B5090" s="17" t="s">
        <v>15632</v>
      </c>
      <c r="C5090" s="17" t="s">
        <v>11</v>
      </c>
      <c r="D5090" s="17" t="s">
        <v>12</v>
      </c>
      <c r="E5090" s="17" t="s">
        <v>13</v>
      </c>
      <c r="F5090" s="16" t="s">
        <v>15633</v>
      </c>
    </row>
    <row r="5091" spans="1:6" x14ac:dyDescent="0.25">
      <c r="A5091" s="16" t="s">
        <v>15634</v>
      </c>
      <c r="B5091" s="17" t="s">
        <v>15635</v>
      </c>
      <c r="C5091" s="17" t="s">
        <v>11</v>
      </c>
      <c r="D5091" s="17" t="s">
        <v>83</v>
      </c>
      <c r="E5091" s="17" t="s">
        <v>20</v>
      </c>
      <c r="F5091" s="16" t="s">
        <v>15636</v>
      </c>
    </row>
    <row r="5092" spans="1:6" x14ac:dyDescent="0.25">
      <c r="A5092" s="16" t="s">
        <v>15637</v>
      </c>
      <c r="B5092" s="17" t="s">
        <v>15638</v>
      </c>
      <c r="C5092" s="17" t="s">
        <v>11</v>
      </c>
      <c r="D5092" s="17" t="s">
        <v>74</v>
      </c>
      <c r="E5092" s="17" t="s">
        <v>20</v>
      </c>
      <c r="F5092" s="16" t="s">
        <v>15639</v>
      </c>
    </row>
    <row r="5093" spans="1:6" x14ac:dyDescent="0.25">
      <c r="A5093" s="16" t="s">
        <v>15640</v>
      </c>
      <c r="B5093" s="17" t="s">
        <v>15641</v>
      </c>
      <c r="C5093" s="17" t="s">
        <v>11</v>
      </c>
      <c r="D5093" s="17" t="s">
        <v>12</v>
      </c>
      <c r="E5093" s="17" t="s">
        <v>13</v>
      </c>
      <c r="F5093" s="16" t="s">
        <v>15642</v>
      </c>
    </row>
    <row r="5094" spans="1:6" x14ac:dyDescent="0.25">
      <c r="A5094" s="16" t="s">
        <v>15643</v>
      </c>
      <c r="B5094" s="17" t="s">
        <v>15644</v>
      </c>
      <c r="C5094" s="17" t="s">
        <v>11</v>
      </c>
      <c r="D5094" s="17" t="s">
        <v>186</v>
      </c>
      <c r="E5094" s="17" t="s">
        <v>20</v>
      </c>
      <c r="F5094" s="16" t="s">
        <v>15645</v>
      </c>
    </row>
    <row r="5095" spans="1:6" x14ac:dyDescent="0.25">
      <c r="A5095" s="16" t="s">
        <v>15646</v>
      </c>
      <c r="B5095" s="17" t="s">
        <v>15647</v>
      </c>
      <c r="C5095" s="17" t="s">
        <v>11</v>
      </c>
      <c r="D5095" s="17" t="s">
        <v>32</v>
      </c>
      <c r="E5095" s="17" t="s">
        <v>20</v>
      </c>
      <c r="F5095" s="16" t="s">
        <v>15648</v>
      </c>
    </row>
    <row r="5096" spans="1:6" x14ac:dyDescent="0.25">
      <c r="A5096" s="16" t="s">
        <v>15649</v>
      </c>
      <c r="B5096" s="17" t="s">
        <v>15650</v>
      </c>
      <c r="C5096" s="17" t="s">
        <v>11</v>
      </c>
      <c r="D5096" s="17" t="s">
        <v>26</v>
      </c>
      <c r="E5096" s="17" t="s">
        <v>20</v>
      </c>
      <c r="F5096" s="16" t="s">
        <v>15651</v>
      </c>
    </row>
    <row r="5097" spans="1:6" x14ac:dyDescent="0.25">
      <c r="A5097" s="16" t="s">
        <v>15652</v>
      </c>
      <c r="B5097" s="17" t="s">
        <v>15653</v>
      </c>
      <c r="C5097" s="17" t="s">
        <v>11</v>
      </c>
      <c r="D5097" s="17" t="s">
        <v>74</v>
      </c>
      <c r="E5097" s="17" t="s">
        <v>20</v>
      </c>
      <c r="F5097" s="16" t="s">
        <v>15654</v>
      </c>
    </row>
    <row r="5098" spans="1:6" x14ac:dyDescent="0.25">
      <c r="A5098" s="16" t="s">
        <v>15655</v>
      </c>
      <c r="B5098" s="17" t="s">
        <v>15656</v>
      </c>
      <c r="C5098" s="17" t="s">
        <v>11</v>
      </c>
      <c r="D5098" s="17" t="s">
        <v>83</v>
      </c>
      <c r="E5098" s="17" t="s">
        <v>20</v>
      </c>
      <c r="F5098" s="16" t="s">
        <v>15657</v>
      </c>
    </row>
    <row r="5099" spans="1:6" x14ac:dyDescent="0.25">
      <c r="A5099" s="16" t="s">
        <v>15658</v>
      </c>
      <c r="B5099" s="17" t="s">
        <v>15659</v>
      </c>
      <c r="C5099" s="17" t="s">
        <v>11</v>
      </c>
      <c r="D5099" s="17" t="s">
        <v>12</v>
      </c>
      <c r="E5099" s="17" t="s">
        <v>13</v>
      </c>
      <c r="F5099" s="16" t="s">
        <v>15660</v>
      </c>
    </row>
    <row r="5100" spans="1:6" x14ac:dyDescent="0.25">
      <c r="A5100" s="16" t="s">
        <v>15661</v>
      </c>
      <c r="B5100" s="17" t="s">
        <v>15662</v>
      </c>
      <c r="C5100" s="17" t="s">
        <v>11</v>
      </c>
      <c r="D5100" s="17" t="s">
        <v>12</v>
      </c>
      <c r="E5100" s="17" t="s">
        <v>13</v>
      </c>
      <c r="F5100" s="16" t="s">
        <v>15663</v>
      </c>
    </row>
    <row r="5101" spans="1:6" x14ac:dyDescent="0.25">
      <c r="A5101" s="16" t="s">
        <v>15664</v>
      </c>
      <c r="B5101" s="17" t="s">
        <v>15665</v>
      </c>
      <c r="C5101" s="17" t="s">
        <v>11</v>
      </c>
      <c r="D5101" s="17" t="s">
        <v>32</v>
      </c>
      <c r="E5101" s="17" t="s">
        <v>20</v>
      </c>
      <c r="F5101" s="16" t="s">
        <v>15666</v>
      </c>
    </row>
    <row r="5102" spans="1:6" x14ac:dyDescent="0.25">
      <c r="A5102" s="16" t="s">
        <v>15667</v>
      </c>
      <c r="B5102" s="17" t="s">
        <v>15668</v>
      </c>
      <c r="C5102" s="17" t="s">
        <v>11</v>
      </c>
      <c r="D5102" s="17" t="s">
        <v>12</v>
      </c>
      <c r="E5102" s="17" t="s">
        <v>13</v>
      </c>
      <c r="F5102" s="16" t="s">
        <v>15669</v>
      </c>
    </row>
    <row r="5103" spans="1:6" x14ac:dyDescent="0.25">
      <c r="A5103" s="16" t="s">
        <v>15670</v>
      </c>
      <c r="B5103" s="17" t="s">
        <v>15671</v>
      </c>
      <c r="C5103" s="17" t="s">
        <v>11</v>
      </c>
      <c r="D5103" s="17" t="s">
        <v>148</v>
      </c>
      <c r="E5103" s="17" t="s">
        <v>20</v>
      </c>
      <c r="F5103" s="16" t="s">
        <v>15672</v>
      </c>
    </row>
    <row r="5104" spans="1:6" x14ac:dyDescent="0.25">
      <c r="A5104" s="16" t="s">
        <v>15673</v>
      </c>
      <c r="B5104" s="17" t="s">
        <v>15674</v>
      </c>
      <c r="C5104" s="17" t="s">
        <v>11</v>
      </c>
      <c r="D5104" s="17" t="s">
        <v>250</v>
      </c>
      <c r="E5104" s="17" t="s">
        <v>20</v>
      </c>
      <c r="F5104" s="16" t="s">
        <v>15675</v>
      </c>
    </row>
    <row r="5105" spans="1:6" x14ac:dyDescent="0.25">
      <c r="A5105" s="16" t="s">
        <v>15676</v>
      </c>
      <c r="B5105" s="17" t="s">
        <v>15677</v>
      </c>
      <c r="C5105" s="17" t="s">
        <v>11</v>
      </c>
      <c r="D5105" s="17" t="s">
        <v>12</v>
      </c>
      <c r="E5105" s="17" t="s">
        <v>13</v>
      </c>
      <c r="F5105" s="16" t="s">
        <v>15678</v>
      </c>
    </row>
    <row r="5106" spans="1:6" x14ac:dyDescent="0.25">
      <c r="A5106" s="16" t="s">
        <v>15679</v>
      </c>
      <c r="B5106" s="17" t="s">
        <v>15680</v>
      </c>
      <c r="C5106" s="17" t="s">
        <v>11</v>
      </c>
      <c r="D5106" s="17" t="s">
        <v>12</v>
      </c>
      <c r="E5106" s="17" t="s">
        <v>13</v>
      </c>
      <c r="F5106" s="16" t="s">
        <v>15681</v>
      </c>
    </row>
    <row r="5107" spans="1:6" x14ac:dyDescent="0.25">
      <c r="A5107" s="16" t="s">
        <v>15682</v>
      </c>
      <c r="B5107" s="17" t="s">
        <v>15683</v>
      </c>
      <c r="C5107" s="17" t="s">
        <v>11</v>
      </c>
      <c r="D5107" s="17" t="s">
        <v>12</v>
      </c>
      <c r="E5107" s="17" t="s">
        <v>13</v>
      </c>
      <c r="F5107" s="16" t="s">
        <v>15684</v>
      </c>
    </row>
    <row r="5108" spans="1:6" x14ac:dyDescent="0.25">
      <c r="A5108" s="16" t="s">
        <v>15685</v>
      </c>
      <c r="B5108" s="17" t="s">
        <v>15686</v>
      </c>
      <c r="C5108" s="17" t="s">
        <v>11</v>
      </c>
      <c r="D5108" s="17" t="s">
        <v>12</v>
      </c>
      <c r="E5108" s="17" t="s">
        <v>13</v>
      </c>
      <c r="F5108" s="16" t="s">
        <v>15687</v>
      </c>
    </row>
    <row r="5109" spans="1:6" x14ac:dyDescent="0.25">
      <c r="A5109" s="16" t="s">
        <v>15688</v>
      </c>
      <c r="B5109" s="17" t="s">
        <v>15689</v>
      </c>
      <c r="C5109" s="17" t="s">
        <v>11</v>
      </c>
      <c r="D5109" s="17" t="s">
        <v>32</v>
      </c>
      <c r="E5109" s="17" t="s">
        <v>20</v>
      </c>
      <c r="F5109" s="16" t="s">
        <v>15690</v>
      </c>
    </row>
    <row r="5110" spans="1:6" x14ac:dyDescent="0.25">
      <c r="A5110" s="16" t="s">
        <v>15691</v>
      </c>
      <c r="B5110" s="17" t="s">
        <v>15692</v>
      </c>
      <c r="C5110" s="17" t="s">
        <v>11</v>
      </c>
      <c r="D5110" s="17" t="s">
        <v>32</v>
      </c>
      <c r="E5110" s="17" t="s">
        <v>20</v>
      </c>
      <c r="F5110" s="16" t="s">
        <v>15693</v>
      </c>
    </row>
    <row r="5111" spans="1:6" x14ac:dyDescent="0.25">
      <c r="A5111" s="16" t="s">
        <v>15694</v>
      </c>
      <c r="B5111" s="17" t="s">
        <v>15695</v>
      </c>
      <c r="C5111" s="17" t="s">
        <v>11</v>
      </c>
      <c r="D5111" s="17" t="s">
        <v>80</v>
      </c>
      <c r="E5111" s="17" t="s">
        <v>20</v>
      </c>
      <c r="F5111" s="16" t="s">
        <v>15696</v>
      </c>
    </row>
    <row r="5112" spans="1:6" x14ac:dyDescent="0.25">
      <c r="A5112" s="16" t="s">
        <v>15697</v>
      </c>
      <c r="B5112" s="17" t="s">
        <v>15698</v>
      </c>
      <c r="C5112" s="17" t="s">
        <v>11</v>
      </c>
      <c r="D5112" s="17" t="s">
        <v>12</v>
      </c>
      <c r="E5112" s="17" t="s">
        <v>13</v>
      </c>
      <c r="F5112" s="16" t="s">
        <v>15699</v>
      </c>
    </row>
    <row r="5113" spans="1:6" x14ac:dyDescent="0.25">
      <c r="A5113" s="16" t="s">
        <v>15700</v>
      </c>
      <c r="B5113" s="17" t="s">
        <v>15701</v>
      </c>
      <c r="C5113" s="17" t="s">
        <v>11</v>
      </c>
      <c r="D5113" s="17" t="s">
        <v>670</v>
      </c>
      <c r="E5113" s="17" t="s">
        <v>20</v>
      </c>
      <c r="F5113" s="16" t="s">
        <v>15702</v>
      </c>
    </row>
    <row r="5114" spans="1:6" x14ac:dyDescent="0.25">
      <c r="A5114" s="16" t="s">
        <v>15703</v>
      </c>
      <c r="B5114" s="17" t="s">
        <v>15704</v>
      </c>
      <c r="C5114" s="17" t="s">
        <v>11</v>
      </c>
      <c r="D5114" s="17" t="s">
        <v>182</v>
      </c>
      <c r="E5114" s="17" t="s">
        <v>20</v>
      </c>
      <c r="F5114" s="16" t="s">
        <v>15705</v>
      </c>
    </row>
    <row r="5115" spans="1:6" x14ac:dyDescent="0.25">
      <c r="A5115" s="16" t="s">
        <v>15706</v>
      </c>
      <c r="B5115" s="17" t="s">
        <v>15707</v>
      </c>
      <c r="C5115" s="17" t="s">
        <v>11</v>
      </c>
      <c r="D5115" s="17" t="s">
        <v>32</v>
      </c>
      <c r="E5115" s="17" t="s">
        <v>20</v>
      </c>
      <c r="F5115" s="16" t="s">
        <v>15708</v>
      </c>
    </row>
    <row r="5116" spans="1:6" x14ac:dyDescent="0.25">
      <c r="A5116" s="16" t="s">
        <v>15709</v>
      </c>
      <c r="B5116" s="17" t="s">
        <v>15710</v>
      </c>
      <c r="C5116" s="17" t="s">
        <v>11</v>
      </c>
      <c r="D5116" s="17" t="s">
        <v>12</v>
      </c>
      <c r="E5116" s="17" t="s">
        <v>13</v>
      </c>
      <c r="F5116" s="16" t="s">
        <v>15711</v>
      </c>
    </row>
    <row r="5117" spans="1:6" x14ac:dyDescent="0.25">
      <c r="A5117" s="16" t="s">
        <v>15712</v>
      </c>
      <c r="B5117" s="17" t="s">
        <v>15713</v>
      </c>
      <c r="C5117" s="17" t="s">
        <v>11</v>
      </c>
      <c r="D5117" s="17" t="s">
        <v>233</v>
      </c>
      <c r="E5117" s="17" t="s">
        <v>20</v>
      </c>
      <c r="F5117" s="16" t="s">
        <v>15714</v>
      </c>
    </row>
    <row r="5118" spans="1:6" x14ac:dyDescent="0.25">
      <c r="A5118" s="16" t="s">
        <v>15715</v>
      </c>
      <c r="B5118" s="17" t="s">
        <v>15716</v>
      </c>
      <c r="C5118" s="17" t="s">
        <v>11</v>
      </c>
      <c r="D5118" s="17" t="s">
        <v>74</v>
      </c>
      <c r="E5118" s="17" t="s">
        <v>20</v>
      </c>
      <c r="F5118" s="16" t="s">
        <v>15717</v>
      </c>
    </row>
    <row r="5119" spans="1:6" x14ac:dyDescent="0.25">
      <c r="A5119" s="16" t="s">
        <v>15718</v>
      </c>
      <c r="B5119" s="17" t="s">
        <v>15719</v>
      </c>
      <c r="C5119" s="17" t="s">
        <v>11</v>
      </c>
      <c r="D5119" s="17" t="s">
        <v>32</v>
      </c>
      <c r="E5119" s="17" t="s">
        <v>20</v>
      </c>
      <c r="F5119" s="16" t="s">
        <v>15720</v>
      </c>
    </row>
    <row r="5120" spans="1:6" x14ac:dyDescent="0.25">
      <c r="A5120" s="16" t="s">
        <v>15721</v>
      </c>
      <c r="B5120" s="17" t="s">
        <v>15722</v>
      </c>
      <c r="C5120" s="17" t="s">
        <v>11</v>
      </c>
      <c r="D5120" s="17" t="s">
        <v>12</v>
      </c>
      <c r="E5120" s="17" t="s">
        <v>13</v>
      </c>
      <c r="F5120" s="16" t="s">
        <v>15723</v>
      </c>
    </row>
    <row r="5121" spans="1:6" x14ac:dyDescent="0.25">
      <c r="A5121" s="16" t="s">
        <v>15724</v>
      </c>
      <c r="B5121" s="17" t="s">
        <v>15725</v>
      </c>
      <c r="C5121" s="17" t="s">
        <v>11</v>
      </c>
      <c r="D5121" s="17" t="s">
        <v>32</v>
      </c>
      <c r="E5121" s="17" t="s">
        <v>20</v>
      </c>
      <c r="F5121" s="16" t="s">
        <v>15726</v>
      </c>
    </row>
    <row r="5122" spans="1:6" x14ac:dyDescent="0.25">
      <c r="A5122" s="16" t="s">
        <v>15727</v>
      </c>
      <c r="B5122" s="17" t="s">
        <v>15728</v>
      </c>
      <c r="C5122" s="17" t="s">
        <v>11</v>
      </c>
      <c r="D5122" s="17" t="s">
        <v>32</v>
      </c>
      <c r="E5122" s="17" t="s">
        <v>20</v>
      </c>
      <c r="F5122" s="16" t="s">
        <v>15729</v>
      </c>
    </row>
    <row r="5123" spans="1:6" x14ac:dyDescent="0.25">
      <c r="A5123" s="16" t="s">
        <v>15730</v>
      </c>
      <c r="B5123" s="17" t="s">
        <v>15731</v>
      </c>
      <c r="C5123" s="17" t="s">
        <v>11</v>
      </c>
      <c r="D5123" s="17" t="s">
        <v>12</v>
      </c>
      <c r="E5123" s="17" t="s">
        <v>13</v>
      </c>
      <c r="F5123" s="16" t="s">
        <v>15732</v>
      </c>
    </row>
    <row r="5124" spans="1:6" x14ac:dyDescent="0.25">
      <c r="A5124" s="16" t="s">
        <v>15733</v>
      </c>
      <c r="B5124" s="17" t="s">
        <v>15734</v>
      </c>
      <c r="C5124" s="17" t="s">
        <v>11</v>
      </c>
      <c r="D5124" s="17" t="s">
        <v>250</v>
      </c>
      <c r="E5124" s="17" t="s">
        <v>20</v>
      </c>
      <c r="F5124" s="16" t="s">
        <v>15735</v>
      </c>
    </row>
    <row r="5125" spans="1:6" x14ac:dyDescent="0.25">
      <c r="A5125" s="16" t="s">
        <v>15736</v>
      </c>
      <c r="B5125" s="17" t="s">
        <v>15737</v>
      </c>
      <c r="C5125" s="17" t="s">
        <v>11</v>
      </c>
      <c r="D5125" s="17" t="s">
        <v>3346</v>
      </c>
      <c r="E5125" s="17" t="s">
        <v>20</v>
      </c>
      <c r="F5125" s="16" t="s">
        <v>15738</v>
      </c>
    </row>
    <row r="5126" spans="1:6" x14ac:dyDescent="0.25">
      <c r="A5126" s="16" t="s">
        <v>15739</v>
      </c>
      <c r="B5126" s="17" t="s">
        <v>15740</v>
      </c>
      <c r="C5126" s="17" t="s">
        <v>11</v>
      </c>
      <c r="D5126" s="17" t="s">
        <v>250</v>
      </c>
      <c r="E5126" s="17" t="s">
        <v>20</v>
      </c>
      <c r="F5126" s="16" t="s">
        <v>15741</v>
      </c>
    </row>
    <row r="5127" spans="1:6" x14ac:dyDescent="0.25">
      <c r="A5127" s="16" t="s">
        <v>15742</v>
      </c>
      <c r="B5127" s="17" t="s">
        <v>15743</v>
      </c>
      <c r="C5127" s="17" t="s">
        <v>11</v>
      </c>
      <c r="D5127" s="17" t="s">
        <v>291</v>
      </c>
      <c r="E5127" s="17" t="s">
        <v>20</v>
      </c>
      <c r="F5127" s="16" t="s">
        <v>15744</v>
      </c>
    </row>
    <row r="5128" spans="1:6" x14ac:dyDescent="0.25">
      <c r="A5128" s="16" t="s">
        <v>15745</v>
      </c>
      <c r="B5128" s="17" t="s">
        <v>15746</v>
      </c>
      <c r="C5128" s="17" t="s">
        <v>11</v>
      </c>
      <c r="D5128" s="17" t="s">
        <v>80</v>
      </c>
      <c r="E5128" s="17" t="s">
        <v>20</v>
      </c>
      <c r="F5128" s="16" t="s">
        <v>15747</v>
      </c>
    </row>
    <row r="5129" spans="1:6" x14ac:dyDescent="0.25">
      <c r="A5129" s="16" t="s">
        <v>15748</v>
      </c>
      <c r="B5129" s="17" t="s">
        <v>15749</v>
      </c>
      <c r="C5129" s="17" t="s">
        <v>11</v>
      </c>
      <c r="D5129" s="17" t="s">
        <v>182</v>
      </c>
      <c r="E5129" s="17" t="s">
        <v>20</v>
      </c>
      <c r="F5129" s="16" t="s">
        <v>15750</v>
      </c>
    </row>
    <row r="5130" spans="1:6" x14ac:dyDescent="0.25">
      <c r="A5130" s="16" t="s">
        <v>15751</v>
      </c>
      <c r="B5130" s="17" t="s">
        <v>15752</v>
      </c>
      <c r="C5130" s="17" t="s">
        <v>11</v>
      </c>
      <c r="D5130" s="17" t="s">
        <v>74</v>
      </c>
      <c r="E5130" s="17" t="s">
        <v>20</v>
      </c>
      <c r="F5130" s="16" t="s">
        <v>15753</v>
      </c>
    </row>
    <row r="5131" spans="1:6" x14ac:dyDescent="0.25">
      <c r="A5131" s="16" t="s">
        <v>15754</v>
      </c>
      <c r="B5131" s="17" t="s">
        <v>15755</v>
      </c>
      <c r="C5131" s="17" t="s">
        <v>11</v>
      </c>
      <c r="D5131" s="17" t="s">
        <v>32</v>
      </c>
      <c r="E5131" s="17" t="s">
        <v>20</v>
      </c>
      <c r="F5131" s="16" t="s">
        <v>15756</v>
      </c>
    </row>
    <row r="5132" spans="1:6" x14ac:dyDescent="0.25">
      <c r="A5132" s="16" t="s">
        <v>15757</v>
      </c>
      <c r="B5132" s="17" t="s">
        <v>15758</v>
      </c>
      <c r="C5132" s="17" t="s">
        <v>11</v>
      </c>
      <c r="D5132" s="17" t="s">
        <v>83</v>
      </c>
      <c r="E5132" s="17" t="s">
        <v>20</v>
      </c>
      <c r="F5132" s="16" t="s">
        <v>15759</v>
      </c>
    </row>
    <row r="5133" spans="1:6" x14ac:dyDescent="0.25">
      <c r="A5133" s="16" t="s">
        <v>15760</v>
      </c>
      <c r="B5133" s="17" t="s">
        <v>15761</v>
      </c>
      <c r="C5133" s="17" t="s">
        <v>11</v>
      </c>
      <c r="D5133" s="17" t="s">
        <v>74</v>
      </c>
      <c r="E5133" s="17" t="s">
        <v>20</v>
      </c>
      <c r="F5133" s="16" t="s">
        <v>15762</v>
      </c>
    </row>
    <row r="5134" spans="1:6" x14ac:dyDescent="0.25">
      <c r="A5134" s="16" t="s">
        <v>15763</v>
      </c>
      <c r="B5134" s="17" t="s">
        <v>15764</v>
      </c>
      <c r="C5134" s="17" t="s">
        <v>11</v>
      </c>
      <c r="D5134" s="17" t="s">
        <v>233</v>
      </c>
      <c r="E5134" s="17" t="s">
        <v>20</v>
      </c>
      <c r="F5134" s="16" t="s">
        <v>15765</v>
      </c>
    </row>
    <row r="5135" spans="1:6" x14ac:dyDescent="0.25">
      <c r="A5135" s="16" t="s">
        <v>15766</v>
      </c>
      <c r="B5135" s="17" t="s">
        <v>15767</v>
      </c>
      <c r="C5135" s="17" t="s">
        <v>11</v>
      </c>
      <c r="D5135" s="17" t="s">
        <v>12</v>
      </c>
      <c r="E5135" s="17" t="s">
        <v>13</v>
      </c>
      <c r="F5135" s="16" t="s">
        <v>15768</v>
      </c>
    </row>
    <row r="5136" spans="1:6" x14ac:dyDescent="0.25">
      <c r="A5136" s="16" t="s">
        <v>15769</v>
      </c>
      <c r="B5136" s="17" t="s">
        <v>15770</v>
      </c>
      <c r="C5136" s="17" t="s">
        <v>11</v>
      </c>
      <c r="D5136" s="17" t="s">
        <v>12</v>
      </c>
      <c r="E5136" s="17" t="s">
        <v>13</v>
      </c>
      <c r="F5136" s="16" t="s">
        <v>15771</v>
      </c>
    </row>
    <row r="5137" spans="1:6" x14ac:dyDescent="0.25">
      <c r="A5137" s="16" t="s">
        <v>15772</v>
      </c>
      <c r="B5137" s="17" t="s">
        <v>15773</v>
      </c>
      <c r="C5137" s="17" t="s">
        <v>11</v>
      </c>
      <c r="D5137" s="17" t="s">
        <v>32</v>
      </c>
      <c r="E5137" s="17" t="s">
        <v>20</v>
      </c>
      <c r="F5137" s="16" t="s">
        <v>15774</v>
      </c>
    </row>
    <row r="5138" spans="1:6" x14ac:dyDescent="0.25">
      <c r="A5138" s="16" t="s">
        <v>15775</v>
      </c>
      <c r="B5138" s="17" t="s">
        <v>15776</v>
      </c>
      <c r="C5138" s="17" t="s">
        <v>11</v>
      </c>
      <c r="D5138" s="17" t="s">
        <v>80</v>
      </c>
      <c r="E5138" s="17" t="s">
        <v>20</v>
      </c>
      <c r="F5138" s="16" t="s">
        <v>15777</v>
      </c>
    </row>
    <row r="5139" spans="1:6" x14ac:dyDescent="0.25">
      <c r="A5139" s="16" t="s">
        <v>15778</v>
      </c>
      <c r="B5139" s="17" t="s">
        <v>15779</v>
      </c>
      <c r="C5139" s="17" t="s">
        <v>11</v>
      </c>
      <c r="D5139" s="17" t="s">
        <v>186</v>
      </c>
      <c r="E5139" s="17" t="s">
        <v>20</v>
      </c>
      <c r="F5139" s="16" t="s">
        <v>15780</v>
      </c>
    </row>
    <row r="5140" spans="1:6" x14ac:dyDescent="0.25">
      <c r="A5140" s="16" t="s">
        <v>15781</v>
      </c>
      <c r="B5140" s="17" t="s">
        <v>15782</v>
      </c>
      <c r="C5140" s="17" t="s">
        <v>11</v>
      </c>
      <c r="D5140" s="17" t="s">
        <v>12</v>
      </c>
      <c r="E5140" s="17" t="s">
        <v>13</v>
      </c>
      <c r="F5140" s="16" t="s">
        <v>15783</v>
      </c>
    </row>
    <row r="5141" spans="1:6" x14ac:dyDescent="0.25">
      <c r="A5141" s="16" t="s">
        <v>15784</v>
      </c>
      <c r="B5141" s="17" t="s">
        <v>15785</v>
      </c>
      <c r="C5141" s="17" t="s">
        <v>11</v>
      </c>
      <c r="D5141" s="17" t="s">
        <v>59</v>
      </c>
      <c r="E5141" s="17" t="s">
        <v>13</v>
      </c>
      <c r="F5141" s="16" t="s">
        <v>15786</v>
      </c>
    </row>
    <row r="5142" spans="1:6" x14ac:dyDescent="0.25">
      <c r="A5142" s="16" t="s">
        <v>15787</v>
      </c>
      <c r="B5142" s="17" t="s">
        <v>15788</v>
      </c>
      <c r="C5142" s="17" t="s">
        <v>11</v>
      </c>
      <c r="D5142" s="17" t="s">
        <v>32</v>
      </c>
      <c r="E5142" s="17" t="s">
        <v>20</v>
      </c>
      <c r="F5142" s="16" t="s">
        <v>15789</v>
      </c>
    </row>
    <row r="5143" spans="1:6" x14ac:dyDescent="0.25">
      <c r="A5143" s="16" t="s">
        <v>15790</v>
      </c>
      <c r="B5143" s="17" t="s">
        <v>15791</v>
      </c>
      <c r="C5143" s="17" t="s">
        <v>11</v>
      </c>
      <c r="D5143" s="17" t="s">
        <v>12</v>
      </c>
      <c r="E5143" s="17" t="s">
        <v>13</v>
      </c>
      <c r="F5143" s="16" t="s">
        <v>15792</v>
      </c>
    </row>
    <row r="5144" spans="1:6" x14ac:dyDescent="0.25">
      <c r="A5144" s="16" t="s">
        <v>15793</v>
      </c>
      <c r="B5144" s="17" t="s">
        <v>15794</v>
      </c>
      <c r="C5144" s="17" t="s">
        <v>11</v>
      </c>
      <c r="D5144" s="17" t="s">
        <v>32</v>
      </c>
      <c r="E5144" s="17" t="s">
        <v>20</v>
      </c>
      <c r="F5144" s="16" t="s">
        <v>15795</v>
      </c>
    </row>
    <row r="5145" spans="1:6" x14ac:dyDescent="0.25">
      <c r="A5145" s="16" t="s">
        <v>15796</v>
      </c>
      <c r="B5145" s="17" t="s">
        <v>15797</v>
      </c>
      <c r="C5145" s="17" t="s">
        <v>11</v>
      </c>
      <c r="D5145" s="17" t="s">
        <v>32</v>
      </c>
      <c r="E5145" s="17" t="s">
        <v>20</v>
      </c>
      <c r="F5145" s="16" t="s">
        <v>15798</v>
      </c>
    </row>
    <row r="5146" spans="1:6" x14ac:dyDescent="0.25">
      <c r="A5146" s="16" t="s">
        <v>15799</v>
      </c>
      <c r="B5146" s="17" t="s">
        <v>15800</v>
      </c>
      <c r="C5146" s="17" t="s">
        <v>11</v>
      </c>
      <c r="D5146" s="17" t="s">
        <v>26</v>
      </c>
      <c r="E5146" s="17" t="s">
        <v>20</v>
      </c>
      <c r="F5146" s="16" t="s">
        <v>15801</v>
      </c>
    </row>
    <row r="5147" spans="1:6" x14ac:dyDescent="0.25">
      <c r="A5147" s="16" t="s">
        <v>15802</v>
      </c>
      <c r="B5147" s="17" t="s">
        <v>15803</v>
      </c>
      <c r="C5147" s="17" t="s">
        <v>11</v>
      </c>
      <c r="D5147" s="17" t="s">
        <v>32</v>
      </c>
      <c r="E5147" s="17" t="s">
        <v>20</v>
      </c>
      <c r="F5147" s="16" t="s">
        <v>15804</v>
      </c>
    </row>
    <row r="5148" spans="1:6" x14ac:dyDescent="0.25">
      <c r="A5148" s="16" t="s">
        <v>15805</v>
      </c>
      <c r="B5148" s="17" t="s">
        <v>15806</v>
      </c>
      <c r="C5148" s="17" t="s">
        <v>11</v>
      </c>
      <c r="D5148" s="17" t="s">
        <v>250</v>
      </c>
      <c r="E5148" s="17" t="s">
        <v>20</v>
      </c>
      <c r="F5148" s="16" t="s">
        <v>15807</v>
      </c>
    </row>
    <row r="5149" spans="1:6" x14ac:dyDescent="0.25">
      <c r="A5149" s="16" t="s">
        <v>15808</v>
      </c>
      <c r="B5149" s="17" t="s">
        <v>15809</v>
      </c>
      <c r="C5149" s="17" t="s">
        <v>11</v>
      </c>
      <c r="D5149" s="17" t="s">
        <v>32</v>
      </c>
      <c r="E5149" s="17" t="s">
        <v>20</v>
      </c>
      <c r="F5149" s="16" t="s">
        <v>15810</v>
      </c>
    </row>
    <row r="5150" spans="1:6" x14ac:dyDescent="0.25">
      <c r="A5150" s="16" t="s">
        <v>15811</v>
      </c>
      <c r="B5150" s="17" t="s">
        <v>15812</v>
      </c>
      <c r="C5150" s="17" t="s">
        <v>11</v>
      </c>
      <c r="D5150" s="17" t="s">
        <v>89</v>
      </c>
      <c r="E5150" s="17" t="s">
        <v>20</v>
      </c>
      <c r="F5150" s="16" t="s">
        <v>15813</v>
      </c>
    </row>
    <row r="5151" spans="1:6" x14ac:dyDescent="0.25">
      <c r="A5151" s="16" t="s">
        <v>15814</v>
      </c>
      <c r="B5151" s="17" t="s">
        <v>15815</v>
      </c>
      <c r="C5151" s="17" t="s">
        <v>11</v>
      </c>
      <c r="D5151" s="17" t="s">
        <v>74</v>
      </c>
      <c r="E5151" s="17" t="s">
        <v>20</v>
      </c>
      <c r="F5151" s="16" t="s">
        <v>15816</v>
      </c>
    </row>
    <row r="5152" spans="1:6" x14ac:dyDescent="0.25">
      <c r="A5152" s="16" t="s">
        <v>15817</v>
      </c>
      <c r="B5152" s="17" t="s">
        <v>15818</v>
      </c>
      <c r="C5152" s="17" t="s">
        <v>11</v>
      </c>
      <c r="D5152" s="17" t="s">
        <v>32</v>
      </c>
      <c r="E5152" s="17" t="s">
        <v>20</v>
      </c>
      <c r="F5152" s="16" t="s">
        <v>15819</v>
      </c>
    </row>
    <row r="5153" spans="1:6" x14ac:dyDescent="0.25">
      <c r="A5153" s="16" t="s">
        <v>15820</v>
      </c>
      <c r="B5153" s="17" t="s">
        <v>15821</v>
      </c>
      <c r="C5153" s="17" t="s">
        <v>11</v>
      </c>
      <c r="D5153" s="17" t="s">
        <v>12</v>
      </c>
      <c r="E5153" s="17" t="s">
        <v>13</v>
      </c>
      <c r="F5153" s="16" t="s">
        <v>15822</v>
      </c>
    </row>
    <row r="5154" spans="1:6" x14ac:dyDescent="0.25">
      <c r="A5154" s="16" t="s">
        <v>15823</v>
      </c>
      <c r="B5154" s="17" t="s">
        <v>15824</v>
      </c>
      <c r="C5154" s="17" t="s">
        <v>11</v>
      </c>
      <c r="D5154" s="17" t="s">
        <v>12</v>
      </c>
      <c r="E5154" s="17" t="s">
        <v>13</v>
      </c>
      <c r="F5154" s="16" t="s">
        <v>15825</v>
      </c>
    </row>
    <row r="5155" spans="1:6" x14ac:dyDescent="0.25">
      <c r="A5155" s="16" t="s">
        <v>15826</v>
      </c>
      <c r="B5155" s="17" t="s">
        <v>15827</v>
      </c>
      <c r="C5155" s="17" t="s">
        <v>11</v>
      </c>
      <c r="D5155" s="17" t="s">
        <v>83</v>
      </c>
      <c r="E5155" s="17" t="s">
        <v>20</v>
      </c>
      <c r="F5155" s="16" t="s">
        <v>15828</v>
      </c>
    </row>
    <row r="5156" spans="1:6" x14ac:dyDescent="0.25">
      <c r="A5156" s="16" t="s">
        <v>15829</v>
      </c>
      <c r="B5156" s="17" t="s">
        <v>15830</v>
      </c>
      <c r="C5156" s="17" t="s">
        <v>359</v>
      </c>
      <c r="D5156" s="17" t="s">
        <v>83</v>
      </c>
      <c r="E5156" s="17" t="s">
        <v>20</v>
      </c>
      <c r="F5156" s="16" t="s">
        <v>15831</v>
      </c>
    </row>
    <row r="5157" spans="1:6" x14ac:dyDescent="0.25">
      <c r="A5157" s="16" t="s">
        <v>15832</v>
      </c>
      <c r="B5157" s="17" t="s">
        <v>15833</v>
      </c>
      <c r="C5157" s="17" t="s">
        <v>11</v>
      </c>
      <c r="D5157" s="17" t="s">
        <v>12</v>
      </c>
      <c r="E5157" s="17" t="s">
        <v>13</v>
      </c>
      <c r="F5157" s="16" t="s">
        <v>15834</v>
      </c>
    </row>
    <row r="5158" spans="1:6" x14ac:dyDescent="0.25">
      <c r="A5158" s="16" t="s">
        <v>15835</v>
      </c>
      <c r="B5158" s="17" t="s">
        <v>15836</v>
      </c>
      <c r="C5158" s="17" t="s">
        <v>11</v>
      </c>
      <c r="D5158" s="17" t="s">
        <v>12</v>
      </c>
      <c r="E5158" s="17" t="s">
        <v>13</v>
      </c>
      <c r="F5158" s="16" t="s">
        <v>15837</v>
      </c>
    </row>
    <row r="5159" spans="1:6" x14ac:dyDescent="0.25">
      <c r="A5159" s="16" t="s">
        <v>15838</v>
      </c>
      <c r="B5159" s="17" t="s">
        <v>15839</v>
      </c>
      <c r="C5159" s="17" t="s">
        <v>11</v>
      </c>
      <c r="D5159" s="17" t="s">
        <v>12</v>
      </c>
      <c r="E5159" s="17" t="s">
        <v>13</v>
      </c>
      <c r="F5159" s="16" t="s">
        <v>15840</v>
      </c>
    </row>
    <row r="5160" spans="1:6" x14ac:dyDescent="0.25">
      <c r="A5160" s="16" t="s">
        <v>15841</v>
      </c>
      <c r="B5160" s="17" t="s">
        <v>15842</v>
      </c>
      <c r="C5160" s="17" t="s">
        <v>11</v>
      </c>
      <c r="D5160" s="17" t="s">
        <v>12</v>
      </c>
      <c r="E5160" s="17" t="s">
        <v>13</v>
      </c>
      <c r="F5160" s="16" t="s">
        <v>15843</v>
      </c>
    </row>
    <row r="5161" spans="1:6" x14ac:dyDescent="0.25">
      <c r="A5161" s="16" t="s">
        <v>15844</v>
      </c>
      <c r="B5161" s="17" t="s">
        <v>15845</v>
      </c>
      <c r="C5161" s="17" t="s">
        <v>11</v>
      </c>
      <c r="D5161" s="17" t="s">
        <v>12</v>
      </c>
      <c r="E5161" s="17" t="s">
        <v>13</v>
      </c>
      <c r="F5161" s="16" t="s">
        <v>15846</v>
      </c>
    </row>
    <row r="5162" spans="1:6" x14ac:dyDescent="0.25">
      <c r="A5162" s="16" t="s">
        <v>15847</v>
      </c>
      <c r="B5162" s="17" t="s">
        <v>15848</v>
      </c>
      <c r="C5162" s="17" t="s">
        <v>11</v>
      </c>
      <c r="D5162" s="17" t="s">
        <v>12</v>
      </c>
      <c r="E5162" s="17" t="s">
        <v>13</v>
      </c>
      <c r="F5162" s="16" t="s">
        <v>15849</v>
      </c>
    </row>
    <row r="5163" spans="1:6" x14ac:dyDescent="0.25">
      <c r="A5163" s="16" t="s">
        <v>15850</v>
      </c>
      <c r="B5163" s="17" t="s">
        <v>15851</v>
      </c>
      <c r="C5163" s="17" t="s">
        <v>11</v>
      </c>
      <c r="D5163" s="17" t="s">
        <v>12</v>
      </c>
      <c r="E5163" s="17" t="s">
        <v>13</v>
      </c>
      <c r="F5163" s="16" t="s">
        <v>15852</v>
      </c>
    </row>
    <row r="5164" spans="1:6" x14ac:dyDescent="0.25">
      <c r="A5164" s="16" t="s">
        <v>15853</v>
      </c>
      <c r="B5164" s="17" t="s">
        <v>15854</v>
      </c>
      <c r="C5164" s="17" t="s">
        <v>11</v>
      </c>
      <c r="D5164" s="17" t="s">
        <v>12</v>
      </c>
      <c r="E5164" s="17" t="s">
        <v>13</v>
      </c>
      <c r="F5164" s="16" t="s">
        <v>15855</v>
      </c>
    </row>
    <row r="5165" spans="1:6" x14ac:dyDescent="0.25">
      <c r="A5165" s="16" t="s">
        <v>15856</v>
      </c>
      <c r="B5165" s="17" t="s">
        <v>15857</v>
      </c>
      <c r="C5165" s="17" t="s">
        <v>11</v>
      </c>
      <c r="D5165" s="17" t="s">
        <v>83</v>
      </c>
      <c r="E5165" s="17" t="s">
        <v>20</v>
      </c>
      <c r="F5165" s="16" t="s">
        <v>15858</v>
      </c>
    </row>
    <row r="5166" spans="1:6" x14ac:dyDescent="0.25">
      <c r="A5166" s="16" t="s">
        <v>15859</v>
      </c>
      <c r="B5166" s="17" t="s">
        <v>15860</v>
      </c>
      <c r="C5166" s="17" t="s">
        <v>11</v>
      </c>
      <c r="D5166" s="17" t="s">
        <v>83</v>
      </c>
      <c r="E5166" s="17" t="s">
        <v>20</v>
      </c>
      <c r="F5166" s="16" t="s">
        <v>15861</v>
      </c>
    </row>
    <row r="5167" spans="1:6" x14ac:dyDescent="0.25">
      <c r="A5167" s="16" t="s">
        <v>15862</v>
      </c>
      <c r="B5167" s="17" t="s">
        <v>15863</v>
      </c>
      <c r="C5167" s="17" t="s">
        <v>11</v>
      </c>
      <c r="D5167" s="17" t="s">
        <v>12</v>
      </c>
      <c r="E5167" s="17" t="s">
        <v>13</v>
      </c>
      <c r="F5167" s="16" t="s">
        <v>15864</v>
      </c>
    </row>
    <row r="5168" spans="1:6" x14ac:dyDescent="0.25">
      <c r="A5168" s="16" t="s">
        <v>15865</v>
      </c>
      <c r="B5168" s="17" t="s">
        <v>15866</v>
      </c>
      <c r="C5168" s="17" t="s">
        <v>11</v>
      </c>
      <c r="D5168" s="17" t="s">
        <v>233</v>
      </c>
      <c r="E5168" s="17" t="s">
        <v>20</v>
      </c>
      <c r="F5168" s="16" t="s">
        <v>15867</v>
      </c>
    </row>
    <row r="5169" spans="1:6" x14ac:dyDescent="0.25">
      <c r="A5169" s="16" t="s">
        <v>15868</v>
      </c>
      <c r="B5169" s="17" t="s">
        <v>15869</v>
      </c>
      <c r="C5169" s="17" t="s">
        <v>11</v>
      </c>
      <c r="D5169" s="17" t="s">
        <v>12</v>
      </c>
      <c r="E5169" s="17" t="s">
        <v>13</v>
      </c>
      <c r="F5169" s="16" t="s">
        <v>15870</v>
      </c>
    </row>
    <row r="5170" spans="1:6" x14ac:dyDescent="0.25">
      <c r="A5170" s="16" t="s">
        <v>15871</v>
      </c>
      <c r="B5170" s="17" t="s">
        <v>15872</v>
      </c>
      <c r="C5170" s="17" t="s">
        <v>11</v>
      </c>
      <c r="D5170" s="17" t="s">
        <v>12</v>
      </c>
      <c r="E5170" s="17" t="s">
        <v>13</v>
      </c>
      <c r="F5170" s="16" t="s">
        <v>15873</v>
      </c>
    </row>
    <row r="5171" spans="1:6" x14ac:dyDescent="0.25">
      <c r="A5171" s="16" t="s">
        <v>15874</v>
      </c>
      <c r="B5171" s="17" t="s">
        <v>15875</v>
      </c>
      <c r="C5171" s="17" t="s">
        <v>11</v>
      </c>
      <c r="D5171" s="17" t="s">
        <v>80</v>
      </c>
      <c r="E5171" s="17" t="s">
        <v>20</v>
      </c>
      <c r="F5171" s="16" t="s">
        <v>15876</v>
      </c>
    </row>
    <row r="5172" spans="1:6" x14ac:dyDescent="0.25">
      <c r="A5172" s="16" t="s">
        <v>15877</v>
      </c>
      <c r="B5172" s="17" t="s">
        <v>15878</v>
      </c>
      <c r="C5172" s="17" t="s">
        <v>11</v>
      </c>
      <c r="D5172" s="17" t="s">
        <v>12</v>
      </c>
      <c r="E5172" s="17" t="s">
        <v>13</v>
      </c>
      <c r="F5172" s="16" t="s">
        <v>15879</v>
      </c>
    </row>
    <row r="5173" spans="1:6" x14ac:dyDescent="0.25">
      <c r="A5173" s="16" t="s">
        <v>15880</v>
      </c>
      <c r="B5173" s="17" t="s">
        <v>15881</v>
      </c>
      <c r="C5173" s="17" t="s">
        <v>11</v>
      </c>
      <c r="D5173" s="17" t="s">
        <v>83</v>
      </c>
      <c r="E5173" s="17" t="s">
        <v>20</v>
      </c>
      <c r="F5173" s="16" t="s">
        <v>15882</v>
      </c>
    </row>
    <row r="5174" spans="1:6" x14ac:dyDescent="0.25">
      <c r="A5174" s="16" t="s">
        <v>15883</v>
      </c>
      <c r="B5174" s="17" t="s">
        <v>15884</v>
      </c>
      <c r="C5174" s="17" t="s">
        <v>11</v>
      </c>
      <c r="D5174" s="17" t="s">
        <v>12</v>
      </c>
      <c r="E5174" s="17" t="s">
        <v>13</v>
      </c>
      <c r="F5174" s="16" t="s">
        <v>15885</v>
      </c>
    </row>
    <row r="5175" spans="1:6" x14ac:dyDescent="0.25">
      <c r="A5175" s="16" t="s">
        <v>15886</v>
      </c>
      <c r="B5175" s="17" t="s">
        <v>15887</v>
      </c>
      <c r="C5175" s="17" t="s">
        <v>11</v>
      </c>
      <c r="D5175" s="17" t="s">
        <v>250</v>
      </c>
      <c r="E5175" s="17" t="s">
        <v>20</v>
      </c>
      <c r="F5175" s="16" t="s">
        <v>15888</v>
      </c>
    </row>
    <row r="5176" spans="1:6" x14ac:dyDescent="0.25">
      <c r="A5176" s="16" t="s">
        <v>15889</v>
      </c>
      <c r="B5176" s="17" t="s">
        <v>15890</v>
      </c>
      <c r="C5176" s="17" t="s">
        <v>11</v>
      </c>
      <c r="D5176" s="17" t="s">
        <v>26</v>
      </c>
      <c r="E5176" s="17" t="s">
        <v>20</v>
      </c>
      <c r="F5176" s="16" t="s">
        <v>15891</v>
      </c>
    </row>
    <row r="5177" spans="1:6" x14ac:dyDescent="0.25">
      <c r="A5177" s="16" t="s">
        <v>15892</v>
      </c>
      <c r="B5177" s="17" t="s">
        <v>15893</v>
      </c>
      <c r="C5177" s="17" t="s">
        <v>11</v>
      </c>
      <c r="D5177" s="17" t="s">
        <v>26</v>
      </c>
      <c r="E5177" s="17" t="s">
        <v>20</v>
      </c>
      <c r="F5177" s="16" t="s">
        <v>15894</v>
      </c>
    </row>
    <row r="5178" spans="1:6" x14ac:dyDescent="0.25">
      <c r="A5178" s="16" t="s">
        <v>15895</v>
      </c>
      <c r="B5178" s="17" t="s">
        <v>15896</v>
      </c>
      <c r="C5178" s="17" t="s">
        <v>11</v>
      </c>
      <c r="D5178" s="17" t="s">
        <v>570</v>
      </c>
      <c r="E5178" s="17" t="s">
        <v>20</v>
      </c>
      <c r="F5178" s="16" t="s">
        <v>15897</v>
      </c>
    </row>
    <row r="5179" spans="1:6" x14ac:dyDescent="0.25">
      <c r="A5179" s="16" t="s">
        <v>15898</v>
      </c>
      <c r="B5179" s="17" t="s">
        <v>15899</v>
      </c>
      <c r="C5179" s="17" t="s">
        <v>11</v>
      </c>
      <c r="D5179" s="17" t="s">
        <v>12</v>
      </c>
      <c r="E5179" s="17" t="s">
        <v>13</v>
      </c>
      <c r="F5179" s="16" t="s">
        <v>15900</v>
      </c>
    </row>
    <row r="5180" spans="1:6" x14ac:dyDescent="0.25">
      <c r="A5180" s="16" t="s">
        <v>15901</v>
      </c>
      <c r="B5180" s="17" t="s">
        <v>15902</v>
      </c>
      <c r="C5180" s="17" t="s">
        <v>11</v>
      </c>
      <c r="D5180" s="17" t="s">
        <v>1318</v>
      </c>
      <c r="E5180" s="17" t="s">
        <v>20</v>
      </c>
      <c r="F5180" s="16" t="s">
        <v>15903</v>
      </c>
    </row>
    <row r="5181" spans="1:6" x14ac:dyDescent="0.25">
      <c r="A5181" s="16" t="s">
        <v>15904</v>
      </c>
      <c r="B5181" s="17" t="s">
        <v>15905</v>
      </c>
      <c r="C5181" s="17" t="s">
        <v>11</v>
      </c>
      <c r="D5181" s="17" t="s">
        <v>12</v>
      </c>
      <c r="E5181" s="17" t="s">
        <v>13</v>
      </c>
      <c r="F5181" s="16" t="s">
        <v>15906</v>
      </c>
    </row>
    <row r="5182" spans="1:6" x14ac:dyDescent="0.25">
      <c r="A5182" s="16" t="s">
        <v>15907</v>
      </c>
      <c r="B5182" s="17" t="s">
        <v>15908</v>
      </c>
      <c r="C5182" s="17" t="s">
        <v>11</v>
      </c>
      <c r="D5182" s="17" t="s">
        <v>12</v>
      </c>
      <c r="E5182" s="17" t="s">
        <v>13</v>
      </c>
      <c r="F5182" s="16" t="s">
        <v>15909</v>
      </c>
    </row>
    <row r="5183" spans="1:6" x14ac:dyDescent="0.25">
      <c r="A5183" s="16" t="s">
        <v>15910</v>
      </c>
      <c r="B5183" s="17" t="s">
        <v>15911</v>
      </c>
      <c r="C5183" s="17" t="s">
        <v>11</v>
      </c>
      <c r="D5183" s="17" t="s">
        <v>32</v>
      </c>
      <c r="E5183" s="17" t="s">
        <v>20</v>
      </c>
      <c r="F5183" s="16" t="s">
        <v>15912</v>
      </c>
    </row>
    <row r="5184" spans="1:6" x14ac:dyDescent="0.25">
      <c r="A5184" s="16" t="s">
        <v>15913</v>
      </c>
      <c r="B5184" s="17" t="s">
        <v>15914</v>
      </c>
      <c r="C5184" s="17" t="s">
        <v>11</v>
      </c>
      <c r="D5184" s="17" t="s">
        <v>68</v>
      </c>
      <c r="E5184" s="17" t="s">
        <v>20</v>
      </c>
      <c r="F5184" s="16" t="s">
        <v>15915</v>
      </c>
    </row>
    <row r="5185" spans="1:6" x14ac:dyDescent="0.25">
      <c r="A5185" s="16" t="s">
        <v>15916</v>
      </c>
      <c r="B5185" s="17" t="s">
        <v>15917</v>
      </c>
      <c r="C5185" s="17" t="s">
        <v>11</v>
      </c>
      <c r="D5185" s="17" t="s">
        <v>12</v>
      </c>
      <c r="E5185" s="17" t="s">
        <v>13</v>
      </c>
      <c r="F5185" s="16" t="s">
        <v>15918</v>
      </c>
    </row>
    <row r="5186" spans="1:6" x14ac:dyDescent="0.25">
      <c r="A5186" s="16" t="s">
        <v>15919</v>
      </c>
      <c r="B5186" s="17" t="s">
        <v>15920</v>
      </c>
      <c r="C5186" s="17" t="s">
        <v>11</v>
      </c>
      <c r="D5186" s="17" t="s">
        <v>12</v>
      </c>
      <c r="E5186" s="17" t="s">
        <v>13</v>
      </c>
      <c r="F5186" s="16" t="s">
        <v>15921</v>
      </c>
    </row>
    <row r="5187" spans="1:6" x14ac:dyDescent="0.25">
      <c r="A5187" s="16" t="s">
        <v>15922</v>
      </c>
      <c r="B5187" s="17" t="s">
        <v>15923</v>
      </c>
      <c r="C5187" s="17" t="s">
        <v>11</v>
      </c>
      <c r="D5187" s="17" t="s">
        <v>12</v>
      </c>
      <c r="E5187" s="17" t="s">
        <v>13</v>
      </c>
      <c r="F5187" s="16" t="s">
        <v>15924</v>
      </c>
    </row>
    <row r="5188" spans="1:6" x14ac:dyDescent="0.25">
      <c r="A5188" s="16" t="s">
        <v>15925</v>
      </c>
      <c r="B5188" s="17" t="s">
        <v>15926</v>
      </c>
      <c r="C5188" s="17" t="s">
        <v>11</v>
      </c>
      <c r="D5188" s="17" t="s">
        <v>12</v>
      </c>
      <c r="E5188" s="17" t="s">
        <v>13</v>
      </c>
      <c r="F5188" s="16" t="s">
        <v>15927</v>
      </c>
    </row>
    <row r="5189" spans="1:6" x14ac:dyDescent="0.25">
      <c r="A5189" s="16" t="s">
        <v>15928</v>
      </c>
      <c r="B5189" s="17" t="s">
        <v>15929</v>
      </c>
      <c r="C5189" s="17" t="s">
        <v>11</v>
      </c>
      <c r="D5189" s="17" t="s">
        <v>12</v>
      </c>
      <c r="E5189" s="17" t="s">
        <v>13</v>
      </c>
      <c r="F5189" s="16" t="s">
        <v>15930</v>
      </c>
    </row>
    <row r="5190" spans="1:6" x14ac:dyDescent="0.25">
      <c r="A5190" s="16" t="s">
        <v>15931</v>
      </c>
      <c r="B5190" s="17" t="s">
        <v>15932</v>
      </c>
      <c r="C5190" s="17" t="s">
        <v>11</v>
      </c>
      <c r="D5190" s="17" t="s">
        <v>74</v>
      </c>
      <c r="E5190" s="17" t="s">
        <v>20</v>
      </c>
      <c r="F5190" s="16" t="s">
        <v>15933</v>
      </c>
    </row>
    <row r="5191" spans="1:6" x14ac:dyDescent="0.25">
      <c r="A5191" s="16" t="s">
        <v>15934</v>
      </c>
      <c r="B5191" s="17" t="s">
        <v>15935</v>
      </c>
      <c r="C5191" s="17" t="s">
        <v>11</v>
      </c>
      <c r="D5191" s="17" t="s">
        <v>26</v>
      </c>
      <c r="E5191" s="17" t="s">
        <v>20</v>
      </c>
      <c r="F5191" s="16" t="s">
        <v>15936</v>
      </c>
    </row>
    <row r="5192" spans="1:6" x14ac:dyDescent="0.25">
      <c r="A5192" s="16" t="s">
        <v>15937</v>
      </c>
      <c r="B5192" s="17" t="s">
        <v>15938</v>
      </c>
      <c r="C5192" s="17" t="s">
        <v>11</v>
      </c>
      <c r="D5192" s="17" t="s">
        <v>83</v>
      </c>
      <c r="E5192" s="17" t="s">
        <v>20</v>
      </c>
      <c r="F5192" s="16" t="s">
        <v>15939</v>
      </c>
    </row>
    <row r="5193" spans="1:6" x14ac:dyDescent="0.25">
      <c r="A5193" s="16" t="s">
        <v>15940</v>
      </c>
      <c r="B5193" s="17" t="s">
        <v>15941</v>
      </c>
      <c r="C5193" s="17" t="s">
        <v>11</v>
      </c>
      <c r="D5193" s="17" t="s">
        <v>148</v>
      </c>
      <c r="E5193" s="17" t="s">
        <v>20</v>
      </c>
      <c r="F5193" s="16" t="s">
        <v>15942</v>
      </c>
    </row>
    <row r="5194" spans="1:6" x14ac:dyDescent="0.25">
      <c r="A5194" s="16" t="s">
        <v>15943</v>
      </c>
      <c r="B5194" s="17" t="s">
        <v>15944</v>
      </c>
      <c r="C5194" s="17" t="s">
        <v>11</v>
      </c>
      <c r="D5194" s="17" t="s">
        <v>1402</v>
      </c>
      <c r="E5194" s="17" t="s">
        <v>13</v>
      </c>
      <c r="F5194" s="16" t="s">
        <v>15945</v>
      </c>
    </row>
    <row r="5195" spans="1:6" x14ac:dyDescent="0.25">
      <c r="A5195" s="16" t="s">
        <v>15946</v>
      </c>
      <c r="B5195" s="17" t="s">
        <v>15947</v>
      </c>
      <c r="C5195" s="17" t="s">
        <v>11</v>
      </c>
      <c r="D5195" s="17" t="s">
        <v>186</v>
      </c>
      <c r="E5195" s="17" t="s">
        <v>20</v>
      </c>
      <c r="F5195" s="16" t="s">
        <v>15948</v>
      </c>
    </row>
    <row r="5196" spans="1:6" x14ac:dyDescent="0.25">
      <c r="A5196" s="16" t="s">
        <v>15949</v>
      </c>
      <c r="B5196" s="17" t="s">
        <v>15950</v>
      </c>
      <c r="C5196" s="17" t="s">
        <v>11</v>
      </c>
      <c r="D5196" s="17" t="s">
        <v>12</v>
      </c>
      <c r="E5196" s="17" t="s">
        <v>13</v>
      </c>
      <c r="F5196" s="16" t="s">
        <v>15951</v>
      </c>
    </row>
    <row r="5197" spans="1:6" x14ac:dyDescent="0.25">
      <c r="A5197" s="16" t="s">
        <v>15952</v>
      </c>
      <c r="B5197" s="17" t="s">
        <v>15953</v>
      </c>
      <c r="C5197" s="17" t="s">
        <v>11</v>
      </c>
      <c r="D5197" s="17" t="s">
        <v>32</v>
      </c>
      <c r="E5197" s="17" t="s">
        <v>20</v>
      </c>
      <c r="F5197" s="16" t="s">
        <v>15954</v>
      </c>
    </row>
    <row r="5198" spans="1:6" x14ac:dyDescent="0.25">
      <c r="A5198" s="16" t="s">
        <v>15955</v>
      </c>
      <c r="B5198" s="17" t="s">
        <v>15956</v>
      </c>
      <c r="C5198" s="17" t="s">
        <v>11</v>
      </c>
      <c r="D5198" s="17" t="s">
        <v>32</v>
      </c>
      <c r="E5198" s="17" t="s">
        <v>20</v>
      </c>
      <c r="F5198" s="16" t="s">
        <v>15957</v>
      </c>
    </row>
    <row r="5199" spans="1:6" x14ac:dyDescent="0.25">
      <c r="A5199" s="16" t="s">
        <v>15958</v>
      </c>
      <c r="B5199" s="17" t="s">
        <v>15959</v>
      </c>
      <c r="C5199" s="17" t="s">
        <v>11</v>
      </c>
      <c r="D5199" s="17" t="s">
        <v>12</v>
      </c>
      <c r="E5199" s="17" t="s">
        <v>13</v>
      </c>
      <c r="F5199" s="16" t="s">
        <v>15960</v>
      </c>
    </row>
    <row r="5200" spans="1:6" x14ac:dyDescent="0.25">
      <c r="A5200" s="16" t="s">
        <v>15961</v>
      </c>
      <c r="B5200" s="17" t="s">
        <v>15962</v>
      </c>
      <c r="C5200" s="17" t="s">
        <v>11</v>
      </c>
      <c r="D5200" s="17" t="s">
        <v>32</v>
      </c>
      <c r="E5200" s="17" t="s">
        <v>20</v>
      </c>
      <c r="F5200" s="16" t="s">
        <v>15963</v>
      </c>
    </row>
    <row r="5201" spans="1:6" x14ac:dyDescent="0.25">
      <c r="A5201" s="16" t="s">
        <v>15964</v>
      </c>
      <c r="B5201" s="17" t="s">
        <v>15965</v>
      </c>
      <c r="C5201" s="17" t="s">
        <v>11</v>
      </c>
      <c r="D5201" s="17" t="s">
        <v>74</v>
      </c>
      <c r="E5201" s="17" t="s">
        <v>20</v>
      </c>
      <c r="F5201" s="16" t="s">
        <v>15966</v>
      </c>
    </row>
    <row r="5202" spans="1:6" x14ac:dyDescent="0.25">
      <c r="A5202" s="16" t="s">
        <v>15967</v>
      </c>
      <c r="B5202" s="17" t="s">
        <v>15968</v>
      </c>
      <c r="C5202" s="17" t="s">
        <v>11</v>
      </c>
      <c r="D5202" s="17" t="s">
        <v>12</v>
      </c>
      <c r="E5202" s="17" t="s">
        <v>13</v>
      </c>
      <c r="F5202" s="16" t="s">
        <v>15969</v>
      </c>
    </row>
    <row r="5203" spans="1:6" x14ac:dyDescent="0.25">
      <c r="A5203" s="16" t="s">
        <v>15970</v>
      </c>
      <c r="B5203" s="17" t="s">
        <v>15971</v>
      </c>
      <c r="C5203" s="17" t="s">
        <v>11</v>
      </c>
      <c r="D5203" s="17" t="s">
        <v>12</v>
      </c>
      <c r="E5203" s="17" t="s">
        <v>13</v>
      </c>
      <c r="F5203" s="16" t="s">
        <v>15972</v>
      </c>
    </row>
    <row r="5204" spans="1:6" x14ac:dyDescent="0.25">
      <c r="A5204" s="16" t="s">
        <v>15973</v>
      </c>
      <c r="B5204" s="17" t="s">
        <v>15974</v>
      </c>
      <c r="C5204" s="17" t="s">
        <v>11</v>
      </c>
      <c r="D5204" s="17" t="s">
        <v>12</v>
      </c>
      <c r="E5204" s="17" t="s">
        <v>13</v>
      </c>
      <c r="F5204" s="16" t="s">
        <v>15975</v>
      </c>
    </row>
    <row r="5205" spans="1:6" x14ac:dyDescent="0.25">
      <c r="A5205" s="16" t="s">
        <v>15976</v>
      </c>
      <c r="B5205" s="17" t="s">
        <v>15977</v>
      </c>
      <c r="C5205" s="17" t="s">
        <v>11</v>
      </c>
      <c r="D5205" s="17" t="s">
        <v>12</v>
      </c>
      <c r="E5205" s="17" t="s">
        <v>13</v>
      </c>
      <c r="F5205" s="16" t="s">
        <v>15978</v>
      </c>
    </row>
    <row r="5206" spans="1:6" x14ac:dyDescent="0.25">
      <c r="A5206" s="16" t="s">
        <v>15979</v>
      </c>
      <c r="B5206" s="17" t="s">
        <v>15980</v>
      </c>
      <c r="C5206" s="17" t="s">
        <v>11</v>
      </c>
      <c r="D5206" s="17" t="s">
        <v>32</v>
      </c>
      <c r="E5206" s="17" t="s">
        <v>20</v>
      </c>
      <c r="F5206" s="16" t="s">
        <v>15981</v>
      </c>
    </row>
    <row r="5207" spans="1:6" x14ac:dyDescent="0.25">
      <c r="A5207" s="16" t="s">
        <v>15982</v>
      </c>
      <c r="B5207" s="17" t="s">
        <v>15983</v>
      </c>
      <c r="C5207" s="17" t="s">
        <v>11</v>
      </c>
      <c r="D5207" s="17" t="s">
        <v>12</v>
      </c>
      <c r="E5207" s="17" t="s">
        <v>13</v>
      </c>
      <c r="F5207" s="16" t="s">
        <v>15984</v>
      </c>
    </row>
    <row r="5208" spans="1:6" x14ac:dyDescent="0.25">
      <c r="A5208" s="16" t="s">
        <v>15985</v>
      </c>
      <c r="B5208" s="17" t="s">
        <v>15986</v>
      </c>
      <c r="C5208" s="17" t="s">
        <v>11</v>
      </c>
      <c r="D5208" s="17" t="s">
        <v>59</v>
      </c>
      <c r="E5208" s="17" t="s">
        <v>13</v>
      </c>
      <c r="F5208" s="16" t="s">
        <v>15987</v>
      </c>
    </row>
    <row r="5209" spans="1:6" x14ac:dyDescent="0.25">
      <c r="A5209" s="16" t="s">
        <v>15988</v>
      </c>
      <c r="B5209" s="17" t="s">
        <v>15989</v>
      </c>
      <c r="C5209" s="17" t="s">
        <v>11</v>
      </c>
      <c r="D5209" s="17" t="s">
        <v>74</v>
      </c>
      <c r="E5209" s="17" t="s">
        <v>20</v>
      </c>
      <c r="F5209" s="16" t="s">
        <v>15990</v>
      </c>
    </row>
    <row r="5210" spans="1:6" x14ac:dyDescent="0.25">
      <c r="A5210" s="16" t="s">
        <v>15991</v>
      </c>
      <c r="B5210" s="17" t="s">
        <v>15992</v>
      </c>
      <c r="C5210" s="17" t="s">
        <v>11</v>
      </c>
      <c r="D5210" s="17" t="s">
        <v>32</v>
      </c>
      <c r="E5210" s="17" t="s">
        <v>20</v>
      </c>
      <c r="F5210" s="16" t="s">
        <v>15993</v>
      </c>
    </row>
    <row r="5211" spans="1:6" x14ac:dyDescent="0.25">
      <c r="A5211" s="16" t="s">
        <v>15994</v>
      </c>
      <c r="B5211" s="17" t="s">
        <v>15995</v>
      </c>
      <c r="C5211" s="17" t="s">
        <v>11</v>
      </c>
      <c r="D5211" s="17" t="s">
        <v>12</v>
      </c>
      <c r="E5211" s="17" t="s">
        <v>13</v>
      </c>
      <c r="F5211" s="16" t="s">
        <v>15996</v>
      </c>
    </row>
    <row r="5212" spans="1:6" x14ac:dyDescent="0.25">
      <c r="A5212" s="16" t="s">
        <v>15997</v>
      </c>
      <c r="B5212" s="17" t="s">
        <v>15998</v>
      </c>
      <c r="C5212" s="17" t="s">
        <v>11</v>
      </c>
      <c r="D5212" s="17" t="s">
        <v>12</v>
      </c>
      <c r="E5212" s="17" t="s">
        <v>13</v>
      </c>
      <c r="F5212" s="16" t="s">
        <v>15999</v>
      </c>
    </row>
    <row r="5213" spans="1:6" x14ac:dyDescent="0.25">
      <c r="A5213" s="16" t="s">
        <v>16000</v>
      </c>
      <c r="B5213" s="17" t="s">
        <v>16001</v>
      </c>
      <c r="C5213" s="17" t="s">
        <v>11</v>
      </c>
      <c r="D5213" s="17" t="s">
        <v>12</v>
      </c>
      <c r="E5213" s="17" t="s">
        <v>13</v>
      </c>
      <c r="F5213" s="16" t="s">
        <v>16002</v>
      </c>
    </row>
    <row r="5214" spans="1:6" x14ac:dyDescent="0.25">
      <c r="A5214" s="16" t="s">
        <v>16003</v>
      </c>
      <c r="B5214" s="17" t="s">
        <v>16004</v>
      </c>
      <c r="C5214" s="17" t="s">
        <v>11</v>
      </c>
      <c r="D5214" s="17" t="s">
        <v>12</v>
      </c>
      <c r="E5214" s="17" t="s">
        <v>13</v>
      </c>
      <c r="F5214" s="16" t="s">
        <v>16005</v>
      </c>
    </row>
    <row r="5215" spans="1:6" x14ac:dyDescent="0.25">
      <c r="A5215" s="16" t="s">
        <v>16006</v>
      </c>
      <c r="B5215" s="17" t="s">
        <v>16007</v>
      </c>
      <c r="C5215" s="17" t="s">
        <v>11</v>
      </c>
      <c r="D5215" s="17" t="s">
        <v>32</v>
      </c>
      <c r="E5215" s="17" t="s">
        <v>20</v>
      </c>
      <c r="F5215" s="16" t="s">
        <v>16008</v>
      </c>
    </row>
    <row r="5216" spans="1:6" x14ac:dyDescent="0.25">
      <c r="A5216" s="16" t="s">
        <v>16009</v>
      </c>
      <c r="B5216" s="17" t="s">
        <v>16010</v>
      </c>
      <c r="C5216" s="17" t="s">
        <v>11</v>
      </c>
      <c r="D5216" s="17" t="s">
        <v>12</v>
      </c>
      <c r="E5216" s="17" t="s">
        <v>13</v>
      </c>
      <c r="F5216" s="16" t="s">
        <v>16011</v>
      </c>
    </row>
    <row r="5217" spans="1:6" x14ac:dyDescent="0.25">
      <c r="A5217" s="16" t="s">
        <v>16012</v>
      </c>
      <c r="B5217" s="17" t="s">
        <v>16013</v>
      </c>
      <c r="C5217" s="17" t="s">
        <v>11</v>
      </c>
      <c r="D5217" s="17" t="s">
        <v>12</v>
      </c>
      <c r="E5217" s="17" t="s">
        <v>13</v>
      </c>
      <c r="F5217" s="16" t="s">
        <v>16014</v>
      </c>
    </row>
    <row r="5218" spans="1:6" x14ac:dyDescent="0.25">
      <c r="A5218" s="16" t="s">
        <v>16015</v>
      </c>
      <c r="B5218" s="17" t="s">
        <v>16016</v>
      </c>
      <c r="C5218" s="17" t="s">
        <v>11</v>
      </c>
      <c r="D5218" s="17" t="s">
        <v>12</v>
      </c>
      <c r="E5218" s="17" t="s">
        <v>13</v>
      </c>
      <c r="F5218" s="16" t="s">
        <v>16017</v>
      </c>
    </row>
    <row r="5219" spans="1:6" x14ac:dyDescent="0.25">
      <c r="A5219" s="16" t="s">
        <v>16018</v>
      </c>
      <c r="B5219" s="17" t="s">
        <v>16019</v>
      </c>
      <c r="C5219" s="17" t="s">
        <v>11</v>
      </c>
      <c r="D5219" s="17" t="s">
        <v>12</v>
      </c>
      <c r="E5219" s="17" t="s">
        <v>13</v>
      </c>
      <c r="F5219" s="16" t="s">
        <v>16020</v>
      </c>
    </row>
    <row r="5220" spans="1:6" x14ac:dyDescent="0.25">
      <c r="A5220" s="16" t="s">
        <v>16021</v>
      </c>
      <c r="B5220" s="17" t="s">
        <v>16022</v>
      </c>
      <c r="C5220" s="17" t="s">
        <v>11</v>
      </c>
      <c r="D5220" s="17" t="s">
        <v>12</v>
      </c>
      <c r="E5220" s="17" t="s">
        <v>13</v>
      </c>
      <c r="F5220" s="16" t="s">
        <v>16023</v>
      </c>
    </row>
    <row r="5221" spans="1:6" x14ac:dyDescent="0.25">
      <c r="A5221" s="16" t="s">
        <v>16024</v>
      </c>
      <c r="B5221" s="17" t="s">
        <v>16025</v>
      </c>
      <c r="C5221" s="17" t="s">
        <v>11</v>
      </c>
      <c r="D5221" s="17" t="s">
        <v>544</v>
      </c>
      <c r="E5221" s="17" t="s">
        <v>20</v>
      </c>
      <c r="F5221" s="16" t="s">
        <v>16026</v>
      </c>
    </row>
    <row r="5222" spans="1:6" x14ac:dyDescent="0.25">
      <c r="A5222" s="16" t="s">
        <v>16027</v>
      </c>
      <c r="B5222" s="17" t="s">
        <v>16028</v>
      </c>
      <c r="C5222" s="17" t="s">
        <v>11</v>
      </c>
      <c r="D5222" s="17" t="s">
        <v>12</v>
      </c>
      <c r="E5222" s="17" t="s">
        <v>13</v>
      </c>
      <c r="F5222" s="16" t="s">
        <v>16029</v>
      </c>
    </row>
    <row r="5223" spans="1:6" x14ac:dyDescent="0.25">
      <c r="A5223" s="16" t="s">
        <v>16030</v>
      </c>
      <c r="B5223" s="17" t="s">
        <v>16031</v>
      </c>
      <c r="C5223" s="17" t="s">
        <v>11</v>
      </c>
      <c r="D5223" s="17" t="s">
        <v>1318</v>
      </c>
      <c r="E5223" s="17" t="s">
        <v>20</v>
      </c>
      <c r="F5223" s="16" t="s">
        <v>16032</v>
      </c>
    </row>
    <row r="5224" spans="1:6" x14ac:dyDescent="0.25">
      <c r="A5224" s="16" t="s">
        <v>16033</v>
      </c>
      <c r="B5224" s="17" t="s">
        <v>16034</v>
      </c>
      <c r="C5224" s="17" t="s">
        <v>11</v>
      </c>
      <c r="D5224" s="17" t="s">
        <v>12</v>
      </c>
      <c r="E5224" s="17" t="s">
        <v>13</v>
      </c>
      <c r="F5224" s="16" t="s">
        <v>16035</v>
      </c>
    </row>
    <row r="5225" spans="1:6" x14ac:dyDescent="0.25">
      <c r="A5225" s="16" t="s">
        <v>16036</v>
      </c>
      <c r="B5225" s="17" t="s">
        <v>16037</v>
      </c>
      <c r="C5225" s="17" t="s">
        <v>11</v>
      </c>
      <c r="D5225" s="17" t="s">
        <v>32</v>
      </c>
      <c r="E5225" s="17" t="s">
        <v>20</v>
      </c>
      <c r="F5225" s="16" t="s">
        <v>16038</v>
      </c>
    </row>
    <row r="5226" spans="1:6" x14ac:dyDescent="0.25">
      <c r="A5226" s="16" t="s">
        <v>16039</v>
      </c>
      <c r="B5226" s="17" t="s">
        <v>16040</v>
      </c>
      <c r="C5226" s="17" t="s">
        <v>11</v>
      </c>
      <c r="D5226" s="17" t="s">
        <v>250</v>
      </c>
      <c r="E5226" s="17" t="s">
        <v>20</v>
      </c>
      <c r="F5226" s="16" t="s">
        <v>16041</v>
      </c>
    </row>
    <row r="5227" spans="1:6" x14ac:dyDescent="0.25">
      <c r="A5227" s="16" t="s">
        <v>16042</v>
      </c>
      <c r="B5227" s="17" t="s">
        <v>16043</v>
      </c>
      <c r="C5227" s="17" t="s">
        <v>11</v>
      </c>
      <c r="D5227" s="17" t="s">
        <v>12</v>
      </c>
      <c r="E5227" s="17" t="s">
        <v>13</v>
      </c>
      <c r="F5227" s="16" t="s">
        <v>16044</v>
      </c>
    </row>
    <row r="5228" spans="1:6" x14ac:dyDescent="0.25">
      <c r="A5228" s="16" t="s">
        <v>16045</v>
      </c>
      <c r="B5228" s="17" t="s">
        <v>16046</v>
      </c>
      <c r="C5228" s="17" t="s">
        <v>11</v>
      </c>
      <c r="D5228" s="17" t="s">
        <v>12</v>
      </c>
      <c r="E5228" s="17" t="s">
        <v>13</v>
      </c>
      <c r="F5228" s="16" t="s">
        <v>16047</v>
      </c>
    </row>
    <row r="5229" spans="1:6" x14ac:dyDescent="0.25">
      <c r="A5229" s="16" t="s">
        <v>16048</v>
      </c>
      <c r="B5229" s="17" t="s">
        <v>16049</v>
      </c>
      <c r="C5229" s="17" t="s">
        <v>11</v>
      </c>
      <c r="D5229" s="17" t="s">
        <v>291</v>
      </c>
      <c r="E5229" s="17" t="s">
        <v>20</v>
      </c>
      <c r="F5229" s="16" t="s">
        <v>16050</v>
      </c>
    </row>
    <row r="5230" spans="1:6" x14ac:dyDescent="0.25">
      <c r="A5230" s="16" t="s">
        <v>16051</v>
      </c>
      <c r="B5230" s="17" t="s">
        <v>16052</v>
      </c>
      <c r="C5230" s="17" t="s">
        <v>11</v>
      </c>
      <c r="D5230" s="17" t="s">
        <v>12</v>
      </c>
      <c r="E5230" s="17" t="s">
        <v>13</v>
      </c>
      <c r="F5230" s="16" t="s">
        <v>16053</v>
      </c>
    </row>
    <row r="5231" spans="1:6" x14ac:dyDescent="0.25">
      <c r="A5231" s="16" t="s">
        <v>16054</v>
      </c>
      <c r="B5231" s="17" t="s">
        <v>16055</v>
      </c>
      <c r="C5231" s="17" t="s">
        <v>11</v>
      </c>
      <c r="D5231" s="17" t="s">
        <v>182</v>
      </c>
      <c r="E5231" s="17" t="s">
        <v>20</v>
      </c>
      <c r="F5231" s="16" t="s">
        <v>16056</v>
      </c>
    </row>
    <row r="5232" spans="1:6" x14ac:dyDescent="0.25">
      <c r="A5232" s="16" t="s">
        <v>16057</v>
      </c>
      <c r="B5232" s="17" t="s">
        <v>16058</v>
      </c>
      <c r="C5232" s="17" t="s">
        <v>11</v>
      </c>
      <c r="D5232" s="17" t="s">
        <v>12</v>
      </c>
      <c r="E5232" s="17" t="s">
        <v>13</v>
      </c>
      <c r="F5232" s="16" t="s">
        <v>16059</v>
      </c>
    </row>
    <row r="5233" spans="1:6" x14ac:dyDescent="0.25">
      <c r="A5233" s="16" t="s">
        <v>16060</v>
      </c>
      <c r="B5233" s="17" t="s">
        <v>16061</v>
      </c>
      <c r="C5233" s="17" t="s">
        <v>11</v>
      </c>
      <c r="D5233" s="17" t="s">
        <v>83</v>
      </c>
      <c r="E5233" s="17" t="s">
        <v>20</v>
      </c>
      <c r="F5233" s="16" t="s">
        <v>16062</v>
      </c>
    </row>
    <row r="5234" spans="1:6" x14ac:dyDescent="0.25">
      <c r="A5234" s="16" t="s">
        <v>16063</v>
      </c>
      <c r="B5234" s="17" t="s">
        <v>16064</v>
      </c>
      <c r="C5234" s="17" t="s">
        <v>11</v>
      </c>
      <c r="D5234" s="17" t="s">
        <v>32</v>
      </c>
      <c r="E5234" s="17" t="s">
        <v>20</v>
      </c>
      <c r="F5234" s="16" t="s">
        <v>16065</v>
      </c>
    </row>
    <row r="5235" spans="1:6" x14ac:dyDescent="0.25">
      <c r="A5235" s="16" t="s">
        <v>16066</v>
      </c>
      <c r="B5235" s="17" t="s">
        <v>16067</v>
      </c>
      <c r="C5235" s="17" t="s">
        <v>11</v>
      </c>
      <c r="D5235" s="17" t="s">
        <v>74</v>
      </c>
      <c r="E5235" s="17" t="s">
        <v>20</v>
      </c>
      <c r="F5235" s="16" t="s">
        <v>16068</v>
      </c>
    </row>
    <row r="5236" spans="1:6" x14ac:dyDescent="0.25">
      <c r="A5236" s="16" t="s">
        <v>16069</v>
      </c>
      <c r="B5236" s="17" t="s">
        <v>16070</v>
      </c>
      <c r="C5236" s="17" t="s">
        <v>11</v>
      </c>
      <c r="D5236" s="17" t="s">
        <v>182</v>
      </c>
      <c r="E5236" s="17" t="s">
        <v>20</v>
      </c>
      <c r="F5236" s="16" t="s">
        <v>16071</v>
      </c>
    </row>
    <row r="5237" spans="1:6" x14ac:dyDescent="0.25">
      <c r="A5237" s="16" t="s">
        <v>16072</v>
      </c>
      <c r="B5237" s="17" t="s">
        <v>16073</v>
      </c>
      <c r="C5237" s="17" t="s">
        <v>11</v>
      </c>
      <c r="D5237" s="17" t="s">
        <v>32</v>
      </c>
      <c r="E5237" s="17" t="s">
        <v>20</v>
      </c>
      <c r="F5237" s="16" t="s">
        <v>16074</v>
      </c>
    </row>
    <row r="5238" spans="1:6" x14ac:dyDescent="0.25">
      <c r="A5238" s="16" t="s">
        <v>16075</v>
      </c>
      <c r="B5238" s="17" t="s">
        <v>16076</v>
      </c>
      <c r="C5238" s="17" t="s">
        <v>11</v>
      </c>
      <c r="D5238" s="17" t="s">
        <v>83</v>
      </c>
      <c r="E5238" s="17" t="s">
        <v>20</v>
      </c>
      <c r="F5238" s="16" t="s">
        <v>16077</v>
      </c>
    </row>
    <row r="5239" spans="1:6" x14ac:dyDescent="0.25">
      <c r="A5239" s="16" t="s">
        <v>16078</v>
      </c>
      <c r="B5239" s="17" t="s">
        <v>16079</v>
      </c>
      <c r="C5239" s="17" t="s">
        <v>11</v>
      </c>
      <c r="D5239" s="17" t="s">
        <v>83</v>
      </c>
      <c r="E5239" s="17" t="s">
        <v>20</v>
      </c>
      <c r="F5239" s="16" t="s">
        <v>16080</v>
      </c>
    </row>
    <row r="5240" spans="1:6" x14ac:dyDescent="0.25">
      <c r="A5240" s="16" t="s">
        <v>16081</v>
      </c>
      <c r="B5240" s="17" t="s">
        <v>16082</v>
      </c>
      <c r="C5240" s="17" t="s">
        <v>11</v>
      </c>
      <c r="D5240" s="17" t="s">
        <v>32</v>
      </c>
      <c r="E5240" s="17" t="s">
        <v>20</v>
      </c>
      <c r="F5240" s="16" t="s">
        <v>16083</v>
      </c>
    </row>
    <row r="5241" spans="1:6" x14ac:dyDescent="0.25">
      <c r="A5241" s="16" t="s">
        <v>16084</v>
      </c>
      <c r="B5241" s="17" t="s">
        <v>16085</v>
      </c>
      <c r="C5241" s="17" t="s">
        <v>11</v>
      </c>
      <c r="D5241" s="17" t="s">
        <v>12</v>
      </c>
      <c r="E5241" s="17" t="s">
        <v>13</v>
      </c>
      <c r="F5241" s="16" t="s">
        <v>16086</v>
      </c>
    </row>
    <row r="5242" spans="1:6" x14ac:dyDescent="0.25">
      <c r="A5242" s="16" t="s">
        <v>16087</v>
      </c>
      <c r="B5242" s="17" t="s">
        <v>16088</v>
      </c>
      <c r="C5242" s="17" t="s">
        <v>11</v>
      </c>
      <c r="D5242" s="17" t="s">
        <v>186</v>
      </c>
      <c r="E5242" s="17" t="s">
        <v>20</v>
      </c>
      <c r="F5242" s="16" t="s">
        <v>16089</v>
      </c>
    </row>
    <row r="5243" spans="1:6" x14ac:dyDescent="0.25">
      <c r="A5243" s="16" t="s">
        <v>16090</v>
      </c>
      <c r="B5243" s="17" t="s">
        <v>16091</v>
      </c>
      <c r="C5243" s="17" t="s">
        <v>11</v>
      </c>
      <c r="D5243" s="17" t="s">
        <v>12</v>
      </c>
      <c r="E5243" s="17" t="s">
        <v>13</v>
      </c>
      <c r="F5243" s="16" t="s">
        <v>16092</v>
      </c>
    </row>
    <row r="5244" spans="1:6" x14ac:dyDescent="0.25">
      <c r="A5244" s="16" t="s">
        <v>16093</v>
      </c>
      <c r="B5244" s="17" t="s">
        <v>16094</v>
      </c>
      <c r="C5244" s="17" t="s">
        <v>11</v>
      </c>
      <c r="D5244" s="17" t="s">
        <v>80</v>
      </c>
      <c r="E5244" s="17" t="s">
        <v>20</v>
      </c>
      <c r="F5244" s="16" t="s">
        <v>16095</v>
      </c>
    </row>
    <row r="5245" spans="1:6" x14ac:dyDescent="0.25">
      <c r="A5245" s="16" t="s">
        <v>16096</v>
      </c>
      <c r="B5245" s="17" t="s">
        <v>16097</v>
      </c>
      <c r="C5245" s="17" t="s">
        <v>11</v>
      </c>
      <c r="D5245" s="17" t="s">
        <v>83</v>
      </c>
      <c r="E5245" s="17" t="s">
        <v>20</v>
      </c>
      <c r="F5245" s="16" t="s">
        <v>16098</v>
      </c>
    </row>
    <row r="5246" spans="1:6" x14ac:dyDescent="0.25">
      <c r="A5246" s="16" t="s">
        <v>16099</v>
      </c>
      <c r="B5246" s="17" t="s">
        <v>16100</v>
      </c>
      <c r="C5246" s="17" t="s">
        <v>11</v>
      </c>
      <c r="D5246" s="17" t="s">
        <v>12</v>
      </c>
      <c r="E5246" s="17" t="s">
        <v>13</v>
      </c>
      <c r="F5246" s="16" t="s">
        <v>16101</v>
      </c>
    </row>
    <row r="5247" spans="1:6" x14ac:dyDescent="0.25">
      <c r="A5247" s="16" t="s">
        <v>16102</v>
      </c>
      <c r="B5247" s="17" t="s">
        <v>16103</v>
      </c>
      <c r="C5247" s="17" t="s">
        <v>11</v>
      </c>
      <c r="D5247" s="17" t="s">
        <v>12</v>
      </c>
      <c r="E5247" s="17" t="s">
        <v>13</v>
      </c>
      <c r="F5247" s="16" t="s">
        <v>16104</v>
      </c>
    </row>
    <row r="5248" spans="1:6" x14ac:dyDescent="0.25">
      <c r="A5248" s="16" t="s">
        <v>16105</v>
      </c>
      <c r="B5248" s="17" t="s">
        <v>16106</v>
      </c>
      <c r="C5248" s="17" t="s">
        <v>11</v>
      </c>
      <c r="D5248" s="17" t="s">
        <v>12</v>
      </c>
      <c r="E5248" s="17" t="s">
        <v>13</v>
      </c>
      <c r="F5248" s="16" t="s">
        <v>16107</v>
      </c>
    </row>
    <row r="5249" spans="1:6" x14ac:dyDescent="0.25">
      <c r="A5249" s="16" t="s">
        <v>16108</v>
      </c>
      <c r="B5249" s="17" t="s">
        <v>16109</v>
      </c>
      <c r="C5249" s="17" t="s">
        <v>11</v>
      </c>
      <c r="D5249" s="17" t="s">
        <v>250</v>
      </c>
      <c r="E5249" s="17" t="s">
        <v>20</v>
      </c>
      <c r="F5249" s="16" t="s">
        <v>16110</v>
      </c>
    </row>
    <row r="5250" spans="1:6" x14ac:dyDescent="0.25">
      <c r="A5250" s="16" t="s">
        <v>16111</v>
      </c>
      <c r="B5250" s="17" t="s">
        <v>16112</v>
      </c>
      <c r="C5250" s="17" t="s">
        <v>11</v>
      </c>
      <c r="D5250" s="17" t="s">
        <v>148</v>
      </c>
      <c r="E5250" s="17" t="s">
        <v>20</v>
      </c>
      <c r="F5250" s="16" t="s">
        <v>16113</v>
      </c>
    </row>
    <row r="5251" spans="1:6" x14ac:dyDescent="0.25">
      <c r="A5251" s="16" t="s">
        <v>16114</v>
      </c>
      <c r="B5251" s="17" t="s">
        <v>16115</v>
      </c>
      <c r="C5251" s="17" t="s">
        <v>11</v>
      </c>
      <c r="D5251" s="17" t="s">
        <v>576</v>
      </c>
      <c r="E5251" s="17" t="s">
        <v>20</v>
      </c>
      <c r="F5251" s="16" t="s">
        <v>16116</v>
      </c>
    </row>
    <row r="5252" spans="1:6" x14ac:dyDescent="0.25">
      <c r="A5252" s="16" t="s">
        <v>16117</v>
      </c>
      <c r="B5252" s="17" t="s">
        <v>16118</v>
      </c>
      <c r="C5252" s="17" t="s">
        <v>11</v>
      </c>
      <c r="D5252" s="17" t="s">
        <v>32</v>
      </c>
      <c r="E5252" s="17" t="s">
        <v>20</v>
      </c>
      <c r="F5252" s="16" t="s">
        <v>16119</v>
      </c>
    </row>
    <row r="5253" spans="1:6" x14ac:dyDescent="0.25">
      <c r="A5253" s="16" t="s">
        <v>16120</v>
      </c>
      <c r="B5253" s="17" t="s">
        <v>16121</v>
      </c>
      <c r="C5253" s="17" t="s">
        <v>11</v>
      </c>
      <c r="D5253" s="17" t="s">
        <v>83</v>
      </c>
      <c r="E5253" s="17" t="s">
        <v>20</v>
      </c>
      <c r="F5253" s="16" t="s">
        <v>16122</v>
      </c>
    </row>
    <row r="5254" spans="1:6" x14ac:dyDescent="0.25">
      <c r="A5254" s="16" t="s">
        <v>16123</v>
      </c>
      <c r="B5254" s="17" t="s">
        <v>16124</v>
      </c>
      <c r="C5254" s="17" t="s">
        <v>11</v>
      </c>
      <c r="D5254" s="17" t="s">
        <v>83</v>
      </c>
      <c r="E5254" s="17" t="s">
        <v>20</v>
      </c>
      <c r="F5254" s="16" t="s">
        <v>16125</v>
      </c>
    </row>
    <row r="5255" spans="1:6" x14ac:dyDescent="0.25">
      <c r="A5255" s="16" t="s">
        <v>16126</v>
      </c>
      <c r="B5255" s="17" t="s">
        <v>16127</v>
      </c>
      <c r="C5255" s="17" t="s">
        <v>11</v>
      </c>
      <c r="D5255" s="17" t="s">
        <v>32</v>
      </c>
      <c r="E5255" s="17" t="s">
        <v>20</v>
      </c>
      <c r="F5255" s="16" t="s">
        <v>16128</v>
      </c>
    </row>
    <row r="5256" spans="1:6" x14ac:dyDescent="0.25">
      <c r="A5256" s="16" t="s">
        <v>16129</v>
      </c>
      <c r="B5256" s="17" t="s">
        <v>16130</v>
      </c>
      <c r="C5256" s="17" t="s">
        <v>11</v>
      </c>
      <c r="D5256" s="17" t="s">
        <v>32</v>
      </c>
      <c r="E5256" s="17" t="s">
        <v>20</v>
      </c>
      <c r="F5256" s="16" t="s">
        <v>16131</v>
      </c>
    </row>
    <row r="5257" spans="1:6" x14ac:dyDescent="0.25">
      <c r="A5257" s="16" t="s">
        <v>16132</v>
      </c>
      <c r="B5257" s="17" t="s">
        <v>16133</v>
      </c>
      <c r="C5257" s="17" t="s">
        <v>11</v>
      </c>
      <c r="D5257" s="17" t="s">
        <v>83</v>
      </c>
      <c r="E5257" s="17" t="s">
        <v>20</v>
      </c>
      <c r="F5257" s="16" t="s">
        <v>16134</v>
      </c>
    </row>
    <row r="5258" spans="1:6" x14ac:dyDescent="0.25">
      <c r="A5258" s="16" t="s">
        <v>16135</v>
      </c>
      <c r="B5258" s="17" t="s">
        <v>16136</v>
      </c>
      <c r="C5258" s="17" t="s">
        <v>11</v>
      </c>
      <c r="D5258" s="17" t="s">
        <v>32</v>
      </c>
      <c r="E5258" s="17" t="s">
        <v>20</v>
      </c>
      <c r="F5258" s="16" t="s">
        <v>16137</v>
      </c>
    </row>
    <row r="5259" spans="1:6" x14ac:dyDescent="0.25">
      <c r="A5259" s="16" t="s">
        <v>16138</v>
      </c>
      <c r="B5259" s="17" t="s">
        <v>16139</v>
      </c>
      <c r="C5259" s="17" t="s">
        <v>11</v>
      </c>
      <c r="D5259" s="17" t="s">
        <v>32</v>
      </c>
      <c r="E5259" s="17" t="s">
        <v>20</v>
      </c>
      <c r="F5259" s="16" t="s">
        <v>16140</v>
      </c>
    </row>
    <row r="5260" spans="1:6" x14ac:dyDescent="0.25">
      <c r="A5260" s="16" t="s">
        <v>16141</v>
      </c>
      <c r="B5260" s="17" t="s">
        <v>16142</v>
      </c>
      <c r="C5260" s="17" t="s">
        <v>11</v>
      </c>
      <c r="D5260" s="17" t="s">
        <v>12</v>
      </c>
      <c r="E5260" s="17" t="s">
        <v>13</v>
      </c>
      <c r="F5260" s="16" t="s">
        <v>16143</v>
      </c>
    </row>
    <row r="5261" spans="1:6" x14ac:dyDescent="0.25">
      <c r="A5261" s="16" t="s">
        <v>16144</v>
      </c>
      <c r="B5261" s="17" t="s">
        <v>16145</v>
      </c>
      <c r="C5261" s="17" t="s">
        <v>11</v>
      </c>
      <c r="D5261" s="17" t="s">
        <v>83</v>
      </c>
      <c r="E5261" s="17" t="s">
        <v>20</v>
      </c>
      <c r="F5261" s="16" t="s">
        <v>16146</v>
      </c>
    </row>
    <row r="5262" spans="1:6" x14ac:dyDescent="0.25">
      <c r="A5262" s="16" t="s">
        <v>16147</v>
      </c>
      <c r="B5262" s="17" t="s">
        <v>16148</v>
      </c>
      <c r="C5262" s="17" t="s">
        <v>11</v>
      </c>
      <c r="D5262" s="17" t="s">
        <v>83</v>
      </c>
      <c r="E5262" s="17" t="s">
        <v>20</v>
      </c>
      <c r="F5262" s="16" t="s">
        <v>16149</v>
      </c>
    </row>
    <row r="5263" spans="1:6" x14ac:dyDescent="0.25">
      <c r="A5263" s="16" t="s">
        <v>16150</v>
      </c>
      <c r="B5263" s="17" t="s">
        <v>16151</v>
      </c>
      <c r="C5263" s="17" t="s">
        <v>11</v>
      </c>
      <c r="D5263" s="17" t="s">
        <v>649</v>
      </c>
      <c r="E5263" s="17" t="s">
        <v>20</v>
      </c>
      <c r="F5263" s="16" t="s">
        <v>16152</v>
      </c>
    </row>
    <row r="5264" spans="1:6" x14ac:dyDescent="0.25">
      <c r="A5264" s="16" t="s">
        <v>16153</v>
      </c>
      <c r="B5264" s="17" t="s">
        <v>16154</v>
      </c>
      <c r="C5264" s="17" t="s">
        <v>11</v>
      </c>
      <c r="D5264" s="17" t="s">
        <v>32</v>
      </c>
      <c r="E5264" s="17" t="s">
        <v>20</v>
      </c>
      <c r="F5264" s="16" t="s">
        <v>16155</v>
      </c>
    </row>
    <row r="5265" spans="1:6" x14ac:dyDescent="0.25">
      <c r="A5265" s="16" t="s">
        <v>16156</v>
      </c>
      <c r="B5265" s="17" t="s">
        <v>16157</v>
      </c>
      <c r="C5265" s="17" t="s">
        <v>11</v>
      </c>
      <c r="D5265" s="17" t="s">
        <v>148</v>
      </c>
      <c r="E5265" s="17" t="s">
        <v>20</v>
      </c>
      <c r="F5265" s="16" t="s">
        <v>16158</v>
      </c>
    </row>
    <row r="5266" spans="1:6" x14ac:dyDescent="0.25">
      <c r="A5266" s="16" t="s">
        <v>16159</v>
      </c>
      <c r="B5266" s="17" t="s">
        <v>16160</v>
      </c>
      <c r="C5266" s="17" t="s">
        <v>11</v>
      </c>
      <c r="D5266" s="17" t="s">
        <v>32</v>
      </c>
      <c r="E5266" s="17" t="s">
        <v>20</v>
      </c>
      <c r="F5266" s="16" t="s">
        <v>16161</v>
      </c>
    </row>
    <row r="5267" spans="1:6" x14ac:dyDescent="0.25">
      <c r="A5267" s="16" t="s">
        <v>16162</v>
      </c>
      <c r="B5267" s="17" t="s">
        <v>16163</v>
      </c>
      <c r="C5267" s="17" t="s">
        <v>11</v>
      </c>
      <c r="D5267" s="17" t="s">
        <v>32</v>
      </c>
      <c r="E5267" s="17" t="s">
        <v>20</v>
      </c>
      <c r="F5267" s="16" t="s">
        <v>16164</v>
      </c>
    </row>
    <row r="5268" spans="1:6" x14ac:dyDescent="0.25">
      <c r="A5268" s="16" t="s">
        <v>16165</v>
      </c>
      <c r="B5268" s="17" t="s">
        <v>16166</v>
      </c>
      <c r="C5268" s="17" t="s">
        <v>11</v>
      </c>
      <c r="D5268" s="17" t="s">
        <v>182</v>
      </c>
      <c r="E5268" s="17" t="s">
        <v>20</v>
      </c>
      <c r="F5268" s="16" t="s">
        <v>16167</v>
      </c>
    </row>
    <row r="5269" spans="1:6" x14ac:dyDescent="0.25">
      <c r="A5269" s="16" t="s">
        <v>16168</v>
      </c>
      <c r="B5269" s="17" t="s">
        <v>16169</v>
      </c>
      <c r="C5269" s="17" t="s">
        <v>11</v>
      </c>
      <c r="D5269" s="17" t="s">
        <v>80</v>
      </c>
      <c r="E5269" s="17" t="s">
        <v>20</v>
      </c>
      <c r="F5269" s="16" t="s">
        <v>16170</v>
      </c>
    </row>
    <row r="5270" spans="1:6" x14ac:dyDescent="0.25">
      <c r="A5270" s="16" t="s">
        <v>16171</v>
      </c>
      <c r="B5270" s="17" t="s">
        <v>16172</v>
      </c>
      <c r="C5270" s="17" t="s">
        <v>11</v>
      </c>
      <c r="D5270" s="17" t="s">
        <v>89</v>
      </c>
      <c r="E5270" s="17" t="s">
        <v>20</v>
      </c>
      <c r="F5270" s="16" t="s">
        <v>16173</v>
      </c>
    </row>
    <row r="5271" spans="1:6" x14ac:dyDescent="0.25">
      <c r="A5271" s="16" t="s">
        <v>16174</v>
      </c>
      <c r="B5271" s="17" t="s">
        <v>16175</v>
      </c>
      <c r="C5271" s="17" t="s">
        <v>11</v>
      </c>
      <c r="D5271" s="17" t="s">
        <v>1318</v>
      </c>
      <c r="E5271" s="17" t="s">
        <v>20</v>
      </c>
      <c r="F5271" s="16" t="s">
        <v>16176</v>
      </c>
    </row>
    <row r="5272" spans="1:6" x14ac:dyDescent="0.25">
      <c r="A5272" s="16" t="s">
        <v>16177</v>
      </c>
      <c r="B5272" s="17" t="s">
        <v>16178</v>
      </c>
      <c r="C5272" s="17" t="s">
        <v>11</v>
      </c>
      <c r="D5272" s="17" t="s">
        <v>32</v>
      </c>
      <c r="E5272" s="17" t="s">
        <v>20</v>
      </c>
      <c r="F5272" s="16" t="s">
        <v>16179</v>
      </c>
    </row>
    <row r="5273" spans="1:6" x14ac:dyDescent="0.25">
      <c r="A5273" s="16" t="s">
        <v>16180</v>
      </c>
      <c r="B5273" s="17" t="s">
        <v>16181</v>
      </c>
      <c r="C5273" s="17" t="s">
        <v>11</v>
      </c>
      <c r="D5273" s="17" t="s">
        <v>182</v>
      </c>
      <c r="E5273" s="17" t="s">
        <v>20</v>
      </c>
      <c r="F5273" s="16" t="s">
        <v>16182</v>
      </c>
    </row>
    <row r="5274" spans="1:6" x14ac:dyDescent="0.25">
      <c r="A5274" s="16" t="s">
        <v>16183</v>
      </c>
      <c r="B5274" s="17" t="s">
        <v>16184</v>
      </c>
      <c r="C5274" s="17" t="s">
        <v>11</v>
      </c>
      <c r="D5274" s="17" t="s">
        <v>250</v>
      </c>
      <c r="E5274" s="17" t="s">
        <v>20</v>
      </c>
      <c r="F5274" s="16" t="s">
        <v>16185</v>
      </c>
    </row>
    <row r="5275" spans="1:6" x14ac:dyDescent="0.25">
      <c r="A5275" s="16" t="s">
        <v>16186</v>
      </c>
      <c r="B5275" s="17" t="s">
        <v>16187</v>
      </c>
      <c r="C5275" s="17" t="s">
        <v>11</v>
      </c>
      <c r="D5275" s="17" t="s">
        <v>68</v>
      </c>
      <c r="E5275" s="17" t="s">
        <v>20</v>
      </c>
      <c r="F5275" s="16" t="s">
        <v>16188</v>
      </c>
    </row>
    <row r="5276" spans="1:6" x14ac:dyDescent="0.25">
      <c r="A5276" s="16" t="s">
        <v>16189</v>
      </c>
      <c r="B5276" s="17" t="s">
        <v>16190</v>
      </c>
      <c r="C5276" s="17" t="s">
        <v>11</v>
      </c>
      <c r="D5276" s="17" t="s">
        <v>83</v>
      </c>
      <c r="E5276" s="17" t="s">
        <v>20</v>
      </c>
      <c r="F5276" s="16" t="s">
        <v>16191</v>
      </c>
    </row>
    <row r="5277" spans="1:6" x14ac:dyDescent="0.25">
      <c r="A5277" s="16" t="s">
        <v>16192</v>
      </c>
      <c r="B5277" s="17" t="s">
        <v>16193</v>
      </c>
      <c r="C5277" s="17" t="s">
        <v>1235</v>
      </c>
      <c r="D5277" s="17" t="s">
        <v>1236</v>
      </c>
      <c r="E5277" s="17" t="s">
        <v>1237</v>
      </c>
      <c r="F5277" s="16" t="s">
        <v>16194</v>
      </c>
    </row>
    <row r="5278" spans="1:6" x14ac:dyDescent="0.25">
      <c r="A5278" s="16" t="s">
        <v>16195</v>
      </c>
      <c r="B5278" s="17" t="s">
        <v>16196</v>
      </c>
      <c r="C5278" s="17" t="s">
        <v>11</v>
      </c>
      <c r="D5278" s="17" t="s">
        <v>811</v>
      </c>
      <c r="E5278" s="17" t="s">
        <v>20</v>
      </c>
      <c r="F5278" s="16" t="s">
        <v>16197</v>
      </c>
    </row>
    <row r="5279" spans="1:6" x14ac:dyDescent="0.25">
      <c r="A5279" s="16" t="s">
        <v>16198</v>
      </c>
      <c r="B5279" s="17" t="s">
        <v>16199</v>
      </c>
      <c r="C5279" s="17" t="s">
        <v>11</v>
      </c>
      <c r="D5279" s="17" t="s">
        <v>544</v>
      </c>
      <c r="E5279" s="17" t="s">
        <v>20</v>
      </c>
      <c r="F5279" s="16" t="s">
        <v>16200</v>
      </c>
    </row>
    <row r="5280" spans="1:6" x14ac:dyDescent="0.25">
      <c r="A5280" s="16" t="s">
        <v>16201</v>
      </c>
      <c r="B5280" s="17" t="s">
        <v>16202</v>
      </c>
      <c r="C5280" s="17" t="s">
        <v>11</v>
      </c>
      <c r="D5280" s="17" t="s">
        <v>32</v>
      </c>
      <c r="E5280" s="17" t="s">
        <v>20</v>
      </c>
      <c r="F5280" s="16" t="s">
        <v>16203</v>
      </c>
    </row>
    <row r="5281" spans="1:6" x14ac:dyDescent="0.25">
      <c r="A5281" s="16" t="s">
        <v>16204</v>
      </c>
      <c r="B5281" s="17" t="s">
        <v>16205</v>
      </c>
      <c r="C5281" s="17" t="s">
        <v>11</v>
      </c>
      <c r="D5281" s="17" t="s">
        <v>233</v>
      </c>
      <c r="E5281" s="17" t="s">
        <v>20</v>
      </c>
      <c r="F5281" s="16" t="s">
        <v>16206</v>
      </c>
    </row>
    <row r="5282" spans="1:6" x14ac:dyDescent="0.25">
      <c r="A5282" s="16" t="s">
        <v>16207</v>
      </c>
      <c r="B5282" s="17" t="s">
        <v>16208</v>
      </c>
      <c r="C5282" s="17" t="s">
        <v>11</v>
      </c>
      <c r="D5282" s="17" t="s">
        <v>32</v>
      </c>
      <c r="E5282" s="17" t="s">
        <v>20</v>
      </c>
      <c r="F5282" s="16" t="s">
        <v>16209</v>
      </c>
    </row>
    <row r="5283" spans="1:6" x14ac:dyDescent="0.25">
      <c r="A5283" s="16" t="s">
        <v>16210</v>
      </c>
      <c r="B5283" s="17" t="s">
        <v>16211</v>
      </c>
      <c r="C5283" s="17" t="s">
        <v>11</v>
      </c>
      <c r="D5283" s="17" t="s">
        <v>186</v>
      </c>
      <c r="E5283" s="17" t="s">
        <v>20</v>
      </c>
      <c r="F5283" s="16" t="s">
        <v>16212</v>
      </c>
    </row>
    <row r="5284" spans="1:6" x14ac:dyDescent="0.25">
      <c r="A5284" s="16" t="s">
        <v>16213</v>
      </c>
      <c r="B5284" s="17" t="s">
        <v>16214</v>
      </c>
      <c r="C5284" s="17" t="s">
        <v>11</v>
      </c>
      <c r="D5284" s="17" t="s">
        <v>74</v>
      </c>
      <c r="E5284" s="17" t="s">
        <v>20</v>
      </c>
      <c r="F5284" s="16" t="s">
        <v>16215</v>
      </c>
    </row>
    <row r="5285" spans="1:6" x14ac:dyDescent="0.25">
      <c r="A5285" s="16" t="s">
        <v>16216</v>
      </c>
      <c r="B5285" s="17" t="s">
        <v>16217</v>
      </c>
      <c r="C5285" s="17" t="s">
        <v>11</v>
      </c>
      <c r="D5285" s="17" t="s">
        <v>26</v>
      </c>
      <c r="E5285" s="17" t="s">
        <v>20</v>
      </c>
      <c r="F5285" s="16" t="s">
        <v>16218</v>
      </c>
    </row>
    <row r="5286" spans="1:6" x14ac:dyDescent="0.25">
      <c r="A5286" s="16" t="s">
        <v>16219</v>
      </c>
      <c r="B5286" s="17" t="s">
        <v>16220</v>
      </c>
      <c r="C5286" s="17" t="s">
        <v>11</v>
      </c>
      <c r="D5286" s="17" t="s">
        <v>32</v>
      </c>
      <c r="E5286" s="17" t="s">
        <v>20</v>
      </c>
      <c r="F5286" s="16" t="s">
        <v>16221</v>
      </c>
    </row>
    <row r="5287" spans="1:6" x14ac:dyDescent="0.25">
      <c r="A5287" s="16" t="s">
        <v>16222</v>
      </c>
      <c r="B5287" s="17" t="s">
        <v>16223</v>
      </c>
      <c r="C5287" s="17" t="s">
        <v>11</v>
      </c>
      <c r="D5287" s="17" t="s">
        <v>32</v>
      </c>
      <c r="E5287" s="17" t="s">
        <v>20</v>
      </c>
      <c r="F5287" s="16" t="s">
        <v>16224</v>
      </c>
    </row>
    <row r="5288" spans="1:6" x14ac:dyDescent="0.25">
      <c r="A5288" s="16" t="s">
        <v>16225</v>
      </c>
      <c r="B5288" s="17" t="s">
        <v>16226</v>
      </c>
      <c r="C5288" s="17" t="s">
        <v>11</v>
      </c>
      <c r="D5288" s="17" t="s">
        <v>32</v>
      </c>
      <c r="E5288" s="17" t="s">
        <v>20</v>
      </c>
      <c r="F5288" s="16" t="s">
        <v>16227</v>
      </c>
    </row>
    <row r="5289" spans="1:6" x14ac:dyDescent="0.25">
      <c r="A5289" s="16" t="s">
        <v>16228</v>
      </c>
      <c r="B5289" s="17" t="s">
        <v>16229</v>
      </c>
      <c r="C5289" s="17" t="s">
        <v>11</v>
      </c>
      <c r="D5289" s="17" t="s">
        <v>649</v>
      </c>
      <c r="E5289" s="17" t="s">
        <v>20</v>
      </c>
      <c r="F5289" s="16" t="s">
        <v>16230</v>
      </c>
    </row>
    <row r="5290" spans="1:6" x14ac:dyDescent="0.25">
      <c r="A5290" s="16" t="s">
        <v>16231</v>
      </c>
      <c r="B5290" s="17" t="s">
        <v>16232</v>
      </c>
      <c r="C5290" s="17" t="s">
        <v>11</v>
      </c>
      <c r="D5290" s="17" t="s">
        <v>83</v>
      </c>
      <c r="E5290" s="17" t="s">
        <v>20</v>
      </c>
      <c r="F5290" s="16" t="s">
        <v>16233</v>
      </c>
    </row>
    <row r="5291" spans="1:6" x14ac:dyDescent="0.25">
      <c r="A5291" s="16" t="s">
        <v>16234</v>
      </c>
      <c r="B5291" s="17" t="s">
        <v>16235</v>
      </c>
      <c r="C5291" s="17" t="s">
        <v>11</v>
      </c>
      <c r="D5291" s="17" t="s">
        <v>80</v>
      </c>
      <c r="E5291" s="17" t="s">
        <v>20</v>
      </c>
      <c r="F5291" s="16" t="s">
        <v>16236</v>
      </c>
    </row>
    <row r="5292" spans="1:6" x14ac:dyDescent="0.25">
      <c r="A5292" s="16" t="s">
        <v>16237</v>
      </c>
      <c r="B5292" s="17" t="s">
        <v>16238</v>
      </c>
      <c r="C5292" s="17" t="s">
        <v>11</v>
      </c>
      <c r="D5292" s="17" t="s">
        <v>186</v>
      </c>
      <c r="E5292" s="17" t="s">
        <v>20</v>
      </c>
      <c r="F5292" s="16" t="s">
        <v>16239</v>
      </c>
    </row>
    <row r="5293" spans="1:6" x14ac:dyDescent="0.25">
      <c r="A5293" s="16" t="s">
        <v>16240</v>
      </c>
      <c r="B5293" s="17" t="s">
        <v>16241</v>
      </c>
      <c r="C5293" s="17" t="s">
        <v>11</v>
      </c>
      <c r="D5293" s="17" t="s">
        <v>32</v>
      </c>
      <c r="E5293" s="17" t="s">
        <v>20</v>
      </c>
      <c r="F5293" s="16" t="s">
        <v>16242</v>
      </c>
    </row>
    <row r="5294" spans="1:6" x14ac:dyDescent="0.25">
      <c r="A5294" s="16" t="s">
        <v>16243</v>
      </c>
      <c r="B5294" s="17" t="s">
        <v>16244</v>
      </c>
      <c r="C5294" s="17" t="s">
        <v>11</v>
      </c>
      <c r="D5294" s="17" t="s">
        <v>148</v>
      </c>
      <c r="E5294" s="17" t="s">
        <v>20</v>
      </c>
      <c r="F5294" s="16" t="s">
        <v>16245</v>
      </c>
    </row>
    <row r="5295" spans="1:6" x14ac:dyDescent="0.25">
      <c r="A5295" s="16" t="s">
        <v>16246</v>
      </c>
      <c r="B5295" s="17" t="s">
        <v>16247</v>
      </c>
      <c r="C5295" s="17" t="s">
        <v>11</v>
      </c>
      <c r="D5295" s="17" t="s">
        <v>32</v>
      </c>
      <c r="E5295" s="17" t="s">
        <v>20</v>
      </c>
      <c r="F5295" s="16" t="s">
        <v>16248</v>
      </c>
    </row>
    <row r="5296" spans="1:6" x14ac:dyDescent="0.25">
      <c r="A5296" s="16" t="s">
        <v>16249</v>
      </c>
      <c r="B5296" s="17" t="s">
        <v>16250</v>
      </c>
      <c r="C5296" s="17" t="s">
        <v>11</v>
      </c>
      <c r="D5296" s="17" t="s">
        <v>32</v>
      </c>
      <c r="E5296" s="17" t="s">
        <v>20</v>
      </c>
      <c r="F5296" s="16" t="s">
        <v>16251</v>
      </c>
    </row>
    <row r="5297" spans="1:6" x14ac:dyDescent="0.25">
      <c r="A5297" s="16" t="s">
        <v>16252</v>
      </c>
      <c r="B5297" s="17" t="s">
        <v>16253</v>
      </c>
      <c r="C5297" s="17" t="s">
        <v>11</v>
      </c>
      <c r="D5297" s="17" t="s">
        <v>74</v>
      </c>
      <c r="E5297" s="17" t="s">
        <v>20</v>
      </c>
      <c r="F5297" s="16" t="s">
        <v>16254</v>
      </c>
    </row>
    <row r="5298" spans="1:6" x14ac:dyDescent="0.25">
      <c r="A5298" s="16" t="s">
        <v>16255</v>
      </c>
      <c r="B5298" s="17" t="s">
        <v>16256</v>
      </c>
      <c r="C5298" s="17" t="s">
        <v>11</v>
      </c>
      <c r="D5298" s="17" t="s">
        <v>186</v>
      </c>
      <c r="E5298" s="17" t="s">
        <v>20</v>
      </c>
      <c r="F5298" s="16" t="s">
        <v>16257</v>
      </c>
    </row>
    <row r="5299" spans="1:6" x14ac:dyDescent="0.25">
      <c r="A5299" s="16" t="s">
        <v>16258</v>
      </c>
      <c r="B5299" s="17" t="s">
        <v>16259</v>
      </c>
      <c r="C5299" s="17" t="s">
        <v>11</v>
      </c>
      <c r="D5299" s="17" t="s">
        <v>83</v>
      </c>
      <c r="E5299" s="17" t="s">
        <v>20</v>
      </c>
      <c r="F5299" s="16" t="s">
        <v>16260</v>
      </c>
    </row>
    <row r="5300" spans="1:6" x14ac:dyDescent="0.25">
      <c r="A5300" s="16" t="s">
        <v>16261</v>
      </c>
      <c r="B5300" s="17" t="s">
        <v>16262</v>
      </c>
      <c r="C5300" s="17" t="s">
        <v>11</v>
      </c>
      <c r="D5300" s="17" t="s">
        <v>32</v>
      </c>
      <c r="E5300" s="17" t="s">
        <v>20</v>
      </c>
      <c r="F5300" s="16" t="s">
        <v>16263</v>
      </c>
    </row>
    <row r="5301" spans="1:6" x14ac:dyDescent="0.25">
      <c r="A5301" s="16" t="s">
        <v>16264</v>
      </c>
      <c r="B5301" s="17" t="s">
        <v>16265</v>
      </c>
      <c r="C5301" s="17" t="s">
        <v>11</v>
      </c>
      <c r="D5301" s="17" t="s">
        <v>544</v>
      </c>
      <c r="E5301" s="17" t="s">
        <v>20</v>
      </c>
      <c r="F5301" s="16" t="s">
        <v>16266</v>
      </c>
    </row>
    <row r="5302" spans="1:6" x14ac:dyDescent="0.25">
      <c r="A5302" s="16" t="s">
        <v>16267</v>
      </c>
      <c r="B5302" s="17" t="s">
        <v>16268</v>
      </c>
      <c r="C5302" s="17" t="s">
        <v>11</v>
      </c>
      <c r="D5302" s="17" t="s">
        <v>89</v>
      </c>
      <c r="E5302" s="17" t="s">
        <v>20</v>
      </c>
      <c r="F5302" s="16" t="s">
        <v>16269</v>
      </c>
    </row>
    <row r="5303" spans="1:6" x14ac:dyDescent="0.25">
      <c r="A5303" s="16" t="s">
        <v>16270</v>
      </c>
      <c r="B5303" s="17" t="s">
        <v>16271</v>
      </c>
      <c r="C5303" s="17" t="s">
        <v>11</v>
      </c>
      <c r="D5303" s="17" t="s">
        <v>32</v>
      </c>
      <c r="E5303" s="17" t="s">
        <v>20</v>
      </c>
      <c r="F5303" s="16" t="s">
        <v>16272</v>
      </c>
    </row>
    <row r="5304" spans="1:6" x14ac:dyDescent="0.25">
      <c r="A5304" s="16" t="s">
        <v>16273</v>
      </c>
      <c r="B5304" s="17" t="s">
        <v>16274</v>
      </c>
      <c r="C5304" s="17" t="s">
        <v>11</v>
      </c>
      <c r="D5304" s="17" t="s">
        <v>83</v>
      </c>
      <c r="E5304" s="17" t="s">
        <v>20</v>
      </c>
      <c r="F5304" s="16" t="s">
        <v>16275</v>
      </c>
    </row>
    <row r="5305" spans="1:6" x14ac:dyDescent="0.25">
      <c r="A5305" s="16" t="s">
        <v>16276</v>
      </c>
      <c r="B5305" s="17" t="s">
        <v>16277</v>
      </c>
      <c r="C5305" s="17" t="s">
        <v>11</v>
      </c>
      <c r="D5305" s="17" t="s">
        <v>148</v>
      </c>
      <c r="E5305" s="17" t="s">
        <v>20</v>
      </c>
      <c r="F5305" s="16" t="s">
        <v>16278</v>
      </c>
    </row>
    <row r="5306" spans="1:6" x14ac:dyDescent="0.25">
      <c r="A5306" s="16" t="s">
        <v>16279</v>
      </c>
      <c r="B5306" s="17" t="s">
        <v>16280</v>
      </c>
      <c r="C5306" s="17" t="s">
        <v>11</v>
      </c>
      <c r="D5306" s="17" t="s">
        <v>89</v>
      </c>
      <c r="E5306" s="17" t="s">
        <v>20</v>
      </c>
      <c r="F5306" s="16" t="s">
        <v>16281</v>
      </c>
    </row>
    <row r="5307" spans="1:6" x14ac:dyDescent="0.25">
      <c r="A5307" s="16" t="s">
        <v>16282</v>
      </c>
      <c r="B5307" s="17" t="s">
        <v>16283</v>
      </c>
      <c r="C5307" s="17" t="s">
        <v>11</v>
      </c>
      <c r="D5307" s="17" t="s">
        <v>182</v>
      </c>
      <c r="E5307" s="17" t="s">
        <v>20</v>
      </c>
      <c r="F5307" s="16" t="s">
        <v>16284</v>
      </c>
    </row>
    <row r="5308" spans="1:6" x14ac:dyDescent="0.25">
      <c r="A5308" s="16" t="s">
        <v>16285</v>
      </c>
      <c r="B5308" s="17" t="s">
        <v>16286</v>
      </c>
      <c r="C5308" s="17" t="s">
        <v>11</v>
      </c>
      <c r="D5308" s="17" t="s">
        <v>89</v>
      </c>
      <c r="E5308" s="17" t="s">
        <v>20</v>
      </c>
      <c r="F5308" s="16" t="s">
        <v>16287</v>
      </c>
    </row>
    <row r="5309" spans="1:6" x14ac:dyDescent="0.25">
      <c r="A5309" s="16" t="s">
        <v>16288</v>
      </c>
      <c r="B5309" s="17" t="s">
        <v>16289</v>
      </c>
      <c r="C5309" s="17" t="s">
        <v>11</v>
      </c>
      <c r="D5309" s="17" t="s">
        <v>32</v>
      </c>
      <c r="E5309" s="17" t="s">
        <v>20</v>
      </c>
      <c r="F5309" s="16" t="s">
        <v>16290</v>
      </c>
    </row>
    <row r="5310" spans="1:6" x14ac:dyDescent="0.25">
      <c r="A5310" s="16" t="s">
        <v>16291</v>
      </c>
      <c r="B5310" s="17" t="s">
        <v>16292</v>
      </c>
      <c r="C5310" s="17" t="s">
        <v>11</v>
      </c>
      <c r="D5310" s="17" t="s">
        <v>250</v>
      </c>
      <c r="E5310" s="17" t="s">
        <v>20</v>
      </c>
      <c r="F5310" s="16" t="s">
        <v>16293</v>
      </c>
    </row>
    <row r="5311" spans="1:6" x14ac:dyDescent="0.25">
      <c r="A5311" s="16" t="s">
        <v>16294</v>
      </c>
      <c r="B5311" s="17" t="s">
        <v>16295</v>
      </c>
      <c r="C5311" s="17" t="s">
        <v>11</v>
      </c>
      <c r="D5311" s="17" t="s">
        <v>89</v>
      </c>
      <c r="E5311" s="17" t="s">
        <v>20</v>
      </c>
      <c r="F5311" s="16" t="s">
        <v>16296</v>
      </c>
    </row>
    <row r="5312" spans="1:6" x14ac:dyDescent="0.25">
      <c r="A5312" s="16" t="s">
        <v>16297</v>
      </c>
      <c r="B5312" s="17" t="s">
        <v>16298</v>
      </c>
      <c r="C5312" s="17" t="s">
        <v>11</v>
      </c>
      <c r="D5312" s="17" t="s">
        <v>32</v>
      </c>
      <c r="E5312" s="17" t="s">
        <v>20</v>
      </c>
      <c r="F5312" s="16" t="s">
        <v>16299</v>
      </c>
    </row>
    <row r="5313" spans="1:6" x14ac:dyDescent="0.25">
      <c r="A5313" s="16" t="s">
        <v>16300</v>
      </c>
      <c r="B5313" s="17" t="s">
        <v>16301</v>
      </c>
      <c r="C5313" s="17" t="s">
        <v>11</v>
      </c>
      <c r="D5313" s="17" t="s">
        <v>32</v>
      </c>
      <c r="E5313" s="17" t="s">
        <v>20</v>
      </c>
      <c r="F5313" s="16" t="s">
        <v>16302</v>
      </c>
    </row>
    <row r="5314" spans="1:6" x14ac:dyDescent="0.25">
      <c r="A5314" s="16" t="s">
        <v>16303</v>
      </c>
      <c r="B5314" s="17" t="s">
        <v>16304</v>
      </c>
      <c r="C5314" s="17" t="s">
        <v>11</v>
      </c>
      <c r="D5314" s="17" t="s">
        <v>670</v>
      </c>
      <c r="E5314" s="17" t="s">
        <v>20</v>
      </c>
      <c r="F5314" s="16" t="s">
        <v>16305</v>
      </c>
    </row>
    <row r="5315" spans="1:6" x14ac:dyDescent="0.25">
      <c r="A5315" s="16" t="s">
        <v>16306</v>
      </c>
      <c r="B5315" s="17" t="s">
        <v>16307</v>
      </c>
      <c r="C5315" s="17" t="s">
        <v>11</v>
      </c>
      <c r="D5315" s="17" t="s">
        <v>32</v>
      </c>
      <c r="E5315" s="17" t="s">
        <v>20</v>
      </c>
      <c r="F5315" s="16" t="s">
        <v>16308</v>
      </c>
    </row>
    <row r="5316" spans="1:6" x14ac:dyDescent="0.25">
      <c r="A5316" s="16" t="s">
        <v>16309</v>
      </c>
      <c r="B5316" s="17" t="s">
        <v>16310</v>
      </c>
      <c r="C5316" s="17" t="s">
        <v>11</v>
      </c>
      <c r="D5316" s="17" t="s">
        <v>32</v>
      </c>
      <c r="E5316" s="17" t="s">
        <v>20</v>
      </c>
      <c r="F5316" s="16" t="s">
        <v>16311</v>
      </c>
    </row>
    <row r="5317" spans="1:6" x14ac:dyDescent="0.25">
      <c r="A5317" s="16" t="s">
        <v>16312</v>
      </c>
      <c r="B5317" s="17" t="s">
        <v>16313</v>
      </c>
      <c r="C5317" s="17" t="s">
        <v>359</v>
      </c>
      <c r="D5317" s="17" t="s">
        <v>32</v>
      </c>
      <c r="E5317" s="17" t="s">
        <v>20</v>
      </c>
      <c r="F5317" s="16" t="s">
        <v>16314</v>
      </c>
    </row>
    <row r="5318" spans="1:6" x14ac:dyDescent="0.25">
      <c r="A5318" s="16" t="s">
        <v>16315</v>
      </c>
      <c r="B5318" s="17" t="s">
        <v>16316</v>
      </c>
      <c r="C5318" s="17" t="s">
        <v>11</v>
      </c>
      <c r="D5318" s="17" t="s">
        <v>32</v>
      </c>
      <c r="E5318" s="17" t="s">
        <v>20</v>
      </c>
      <c r="F5318" s="16" t="s">
        <v>16317</v>
      </c>
    </row>
    <row r="5319" spans="1:6" x14ac:dyDescent="0.25">
      <c r="A5319" s="16" t="s">
        <v>16318</v>
      </c>
      <c r="B5319" s="17" t="s">
        <v>16319</v>
      </c>
      <c r="C5319" s="17" t="s">
        <v>11</v>
      </c>
      <c r="D5319" s="17" t="s">
        <v>250</v>
      </c>
      <c r="E5319" s="17" t="s">
        <v>20</v>
      </c>
      <c r="F5319" s="16" t="s">
        <v>16320</v>
      </c>
    </row>
    <row r="5320" spans="1:6" x14ac:dyDescent="0.25">
      <c r="A5320" s="16" t="s">
        <v>16321</v>
      </c>
      <c r="B5320" s="17" t="s">
        <v>16322</v>
      </c>
      <c r="C5320" s="17" t="s">
        <v>11</v>
      </c>
      <c r="D5320" s="17" t="s">
        <v>32</v>
      </c>
      <c r="E5320" s="17" t="s">
        <v>20</v>
      </c>
      <c r="F5320" s="16" t="s">
        <v>16323</v>
      </c>
    </row>
    <row r="5321" spans="1:6" x14ac:dyDescent="0.25">
      <c r="A5321" s="16" t="s">
        <v>16324</v>
      </c>
      <c r="B5321" s="17" t="s">
        <v>16325</v>
      </c>
      <c r="C5321" s="17" t="s">
        <v>11</v>
      </c>
      <c r="D5321" s="17" t="s">
        <v>32</v>
      </c>
      <c r="E5321" s="17" t="s">
        <v>20</v>
      </c>
      <c r="F5321" s="16" t="s">
        <v>16326</v>
      </c>
    </row>
    <row r="5322" spans="1:6" x14ac:dyDescent="0.25">
      <c r="A5322" s="16" t="s">
        <v>16327</v>
      </c>
      <c r="B5322" s="17" t="s">
        <v>16328</v>
      </c>
      <c r="C5322" s="17" t="s">
        <v>11</v>
      </c>
      <c r="D5322" s="17" t="s">
        <v>19</v>
      </c>
      <c r="E5322" s="17" t="s">
        <v>20</v>
      </c>
      <c r="F5322" s="16" t="s">
        <v>16329</v>
      </c>
    </row>
    <row r="5323" spans="1:6" x14ac:dyDescent="0.25">
      <c r="A5323" s="16" t="s">
        <v>16330</v>
      </c>
      <c r="B5323" s="17" t="s">
        <v>16331</v>
      </c>
      <c r="C5323" s="17" t="s">
        <v>11</v>
      </c>
      <c r="D5323" s="17" t="s">
        <v>32</v>
      </c>
      <c r="E5323" s="17" t="s">
        <v>20</v>
      </c>
      <c r="F5323" s="16" t="s">
        <v>16332</v>
      </c>
    </row>
    <row r="5324" spans="1:6" x14ac:dyDescent="0.25">
      <c r="A5324" s="16" t="s">
        <v>16333</v>
      </c>
      <c r="B5324" s="17" t="s">
        <v>16334</v>
      </c>
      <c r="C5324" s="17" t="s">
        <v>11</v>
      </c>
      <c r="D5324" s="17" t="s">
        <v>32</v>
      </c>
      <c r="E5324" s="17" t="s">
        <v>20</v>
      </c>
      <c r="F5324" s="16" t="s">
        <v>16335</v>
      </c>
    </row>
    <row r="5325" spans="1:6" x14ac:dyDescent="0.25">
      <c r="A5325" s="16" t="s">
        <v>16336</v>
      </c>
      <c r="B5325" s="17" t="s">
        <v>16337</v>
      </c>
      <c r="C5325" s="17" t="s">
        <v>11</v>
      </c>
      <c r="D5325" s="17" t="s">
        <v>148</v>
      </c>
      <c r="E5325" s="17" t="s">
        <v>20</v>
      </c>
      <c r="F5325" s="16" t="s">
        <v>16338</v>
      </c>
    </row>
    <row r="5326" spans="1:6" x14ac:dyDescent="0.25">
      <c r="A5326" s="16" t="s">
        <v>16339</v>
      </c>
      <c r="B5326" s="17" t="s">
        <v>16340</v>
      </c>
      <c r="C5326" s="17" t="s">
        <v>11</v>
      </c>
      <c r="D5326" s="17" t="s">
        <v>233</v>
      </c>
      <c r="E5326" s="17" t="s">
        <v>20</v>
      </c>
      <c r="F5326" s="16" t="s">
        <v>16341</v>
      </c>
    </row>
    <row r="5327" spans="1:6" x14ac:dyDescent="0.25">
      <c r="A5327" s="16" t="s">
        <v>16342</v>
      </c>
      <c r="B5327" s="17" t="s">
        <v>16343</v>
      </c>
      <c r="C5327" s="17" t="s">
        <v>11</v>
      </c>
      <c r="D5327" s="17" t="s">
        <v>12</v>
      </c>
      <c r="E5327" s="17" t="s">
        <v>13</v>
      </c>
      <c r="F5327" s="16" t="s">
        <v>16344</v>
      </c>
    </row>
    <row r="5328" spans="1:6" x14ac:dyDescent="0.25">
      <c r="A5328" s="16" t="s">
        <v>16345</v>
      </c>
      <c r="B5328" s="17" t="s">
        <v>16346</v>
      </c>
      <c r="C5328" s="17" t="s">
        <v>11</v>
      </c>
      <c r="D5328" s="17" t="s">
        <v>12</v>
      </c>
      <c r="E5328" s="17" t="s">
        <v>13</v>
      </c>
      <c r="F5328" s="16" t="s">
        <v>16347</v>
      </c>
    </row>
    <row r="5329" spans="1:6" x14ac:dyDescent="0.25">
      <c r="A5329" s="16" t="s">
        <v>16348</v>
      </c>
      <c r="B5329" s="17" t="s">
        <v>16349</v>
      </c>
      <c r="C5329" s="17" t="s">
        <v>11</v>
      </c>
      <c r="D5329" s="17" t="s">
        <v>186</v>
      </c>
      <c r="E5329" s="17" t="s">
        <v>20</v>
      </c>
      <c r="F5329" s="16" t="s">
        <v>16350</v>
      </c>
    </row>
    <row r="5330" spans="1:6" x14ac:dyDescent="0.25">
      <c r="A5330" s="16" t="s">
        <v>16351</v>
      </c>
      <c r="B5330" s="17" t="s">
        <v>16352</v>
      </c>
      <c r="C5330" s="17" t="s">
        <v>11</v>
      </c>
      <c r="D5330" s="17" t="s">
        <v>32</v>
      </c>
      <c r="E5330" s="17" t="s">
        <v>20</v>
      </c>
      <c r="F5330" s="16" t="s">
        <v>16353</v>
      </c>
    </row>
    <row r="5331" spans="1:6" x14ac:dyDescent="0.25">
      <c r="A5331" s="16" t="s">
        <v>16354</v>
      </c>
      <c r="B5331" s="17" t="s">
        <v>16355</v>
      </c>
      <c r="C5331" s="17" t="s">
        <v>11</v>
      </c>
      <c r="D5331" s="17" t="s">
        <v>68</v>
      </c>
      <c r="E5331" s="17" t="s">
        <v>20</v>
      </c>
      <c r="F5331" s="16" t="s">
        <v>16356</v>
      </c>
    </row>
    <row r="5332" spans="1:6" x14ac:dyDescent="0.25">
      <c r="A5332" s="16" t="s">
        <v>16357</v>
      </c>
      <c r="B5332" s="17" t="s">
        <v>16358</v>
      </c>
      <c r="C5332" s="17" t="s">
        <v>11</v>
      </c>
      <c r="D5332" s="17" t="s">
        <v>68</v>
      </c>
      <c r="E5332" s="17" t="s">
        <v>20</v>
      </c>
      <c r="F5332" s="16" t="s">
        <v>16359</v>
      </c>
    </row>
    <row r="5333" spans="1:6" x14ac:dyDescent="0.25">
      <c r="A5333" s="16" t="s">
        <v>16360</v>
      </c>
      <c r="B5333" s="17" t="s">
        <v>16361</v>
      </c>
      <c r="C5333" s="17" t="s">
        <v>11</v>
      </c>
      <c r="D5333" s="17" t="s">
        <v>148</v>
      </c>
      <c r="E5333" s="17" t="s">
        <v>20</v>
      </c>
      <c r="F5333" s="16" t="s">
        <v>16362</v>
      </c>
    </row>
    <row r="5334" spans="1:6" x14ac:dyDescent="0.25">
      <c r="A5334" s="16" t="s">
        <v>16363</v>
      </c>
      <c r="B5334" s="17" t="s">
        <v>16364</v>
      </c>
      <c r="C5334" s="17" t="s">
        <v>11</v>
      </c>
      <c r="D5334" s="17" t="s">
        <v>26</v>
      </c>
      <c r="E5334" s="17" t="s">
        <v>20</v>
      </c>
      <c r="F5334" s="16" t="s">
        <v>16365</v>
      </c>
    </row>
    <row r="5335" spans="1:6" x14ac:dyDescent="0.25">
      <c r="A5335" s="16" t="s">
        <v>16366</v>
      </c>
      <c r="B5335" s="17" t="s">
        <v>16367</v>
      </c>
      <c r="C5335" s="17" t="s">
        <v>11</v>
      </c>
      <c r="D5335" s="17" t="s">
        <v>26</v>
      </c>
      <c r="E5335" s="17" t="s">
        <v>20</v>
      </c>
      <c r="F5335" s="16" t="s">
        <v>16368</v>
      </c>
    </row>
    <row r="5336" spans="1:6" x14ac:dyDescent="0.25">
      <c r="A5336" s="16" t="s">
        <v>16369</v>
      </c>
      <c r="B5336" s="17" t="s">
        <v>16370</v>
      </c>
      <c r="C5336" s="17" t="s">
        <v>11</v>
      </c>
      <c r="D5336" s="17" t="s">
        <v>83</v>
      </c>
      <c r="E5336" s="17" t="s">
        <v>20</v>
      </c>
      <c r="F5336" s="16" t="s">
        <v>16371</v>
      </c>
    </row>
    <row r="5337" spans="1:6" x14ac:dyDescent="0.25">
      <c r="A5337" s="16" t="s">
        <v>16372</v>
      </c>
      <c r="B5337" s="17" t="s">
        <v>16373</v>
      </c>
      <c r="C5337" s="17" t="s">
        <v>11</v>
      </c>
      <c r="D5337" s="17" t="s">
        <v>32</v>
      </c>
      <c r="E5337" s="17" t="s">
        <v>20</v>
      </c>
      <c r="F5337" s="16" t="s">
        <v>16374</v>
      </c>
    </row>
    <row r="5338" spans="1:6" x14ac:dyDescent="0.25">
      <c r="A5338" s="16" t="s">
        <v>16375</v>
      </c>
      <c r="B5338" s="17" t="s">
        <v>16376</v>
      </c>
      <c r="C5338" s="17" t="s">
        <v>11</v>
      </c>
      <c r="D5338" s="17" t="s">
        <v>80</v>
      </c>
      <c r="E5338" s="17" t="s">
        <v>20</v>
      </c>
      <c r="F5338" s="16" t="s">
        <v>16377</v>
      </c>
    </row>
    <row r="5339" spans="1:6" x14ac:dyDescent="0.25">
      <c r="A5339" s="16" t="s">
        <v>16378</v>
      </c>
      <c r="B5339" s="17" t="s">
        <v>16379</v>
      </c>
      <c r="C5339" s="17" t="s">
        <v>11</v>
      </c>
      <c r="D5339" s="17" t="s">
        <v>182</v>
      </c>
      <c r="E5339" s="17" t="s">
        <v>20</v>
      </c>
      <c r="F5339" s="16" t="s">
        <v>16380</v>
      </c>
    </row>
    <row r="5340" spans="1:6" x14ac:dyDescent="0.25">
      <c r="A5340" s="16" t="s">
        <v>16381</v>
      </c>
      <c r="B5340" s="17" t="s">
        <v>16382</v>
      </c>
      <c r="C5340" s="17" t="s">
        <v>11</v>
      </c>
      <c r="D5340" s="17" t="s">
        <v>32</v>
      </c>
      <c r="E5340" s="17" t="s">
        <v>20</v>
      </c>
      <c r="F5340" s="16" t="s">
        <v>16383</v>
      </c>
    </row>
    <row r="5341" spans="1:6" x14ac:dyDescent="0.25">
      <c r="A5341" s="16" t="s">
        <v>16384</v>
      </c>
      <c r="B5341" s="17" t="s">
        <v>16385</v>
      </c>
      <c r="C5341" s="17" t="s">
        <v>11</v>
      </c>
      <c r="D5341" s="17" t="s">
        <v>649</v>
      </c>
      <c r="E5341" s="17" t="s">
        <v>20</v>
      </c>
      <c r="F5341" s="16" t="s">
        <v>16386</v>
      </c>
    </row>
    <row r="5342" spans="1:6" x14ac:dyDescent="0.25">
      <c r="A5342" s="16" t="s">
        <v>16387</v>
      </c>
      <c r="B5342" s="17" t="s">
        <v>16388</v>
      </c>
      <c r="C5342" s="17" t="s">
        <v>11</v>
      </c>
      <c r="D5342" s="17" t="s">
        <v>250</v>
      </c>
      <c r="E5342" s="17" t="s">
        <v>20</v>
      </c>
      <c r="F5342" s="16" t="s">
        <v>16389</v>
      </c>
    </row>
    <row r="5343" spans="1:6" x14ac:dyDescent="0.25">
      <c r="A5343" s="16" t="s">
        <v>16390</v>
      </c>
      <c r="B5343" s="17" t="s">
        <v>16391</v>
      </c>
      <c r="C5343" s="17" t="s">
        <v>11</v>
      </c>
      <c r="D5343" s="17" t="s">
        <v>26</v>
      </c>
      <c r="E5343" s="17" t="s">
        <v>20</v>
      </c>
      <c r="F5343" s="16" t="s">
        <v>16392</v>
      </c>
    </row>
    <row r="5344" spans="1:6" x14ac:dyDescent="0.25">
      <c r="A5344" s="16" t="s">
        <v>16393</v>
      </c>
      <c r="B5344" s="17" t="s">
        <v>16394</v>
      </c>
      <c r="C5344" s="17" t="s">
        <v>11</v>
      </c>
      <c r="D5344" s="17" t="s">
        <v>12</v>
      </c>
      <c r="E5344" s="17" t="s">
        <v>13</v>
      </c>
      <c r="F5344" s="16" t="s">
        <v>16395</v>
      </c>
    </row>
    <row r="5345" spans="1:6" x14ac:dyDescent="0.25">
      <c r="A5345" s="16" t="s">
        <v>16396</v>
      </c>
      <c r="B5345" s="17" t="s">
        <v>16397</v>
      </c>
      <c r="C5345" s="17" t="s">
        <v>11</v>
      </c>
      <c r="D5345" s="17" t="s">
        <v>12</v>
      </c>
      <c r="E5345" s="17" t="s">
        <v>13</v>
      </c>
      <c r="F5345" s="16" t="s">
        <v>16398</v>
      </c>
    </row>
    <row r="5346" spans="1:6" x14ac:dyDescent="0.25">
      <c r="A5346" s="16" t="s">
        <v>16399</v>
      </c>
      <c r="B5346" s="17" t="s">
        <v>16400</v>
      </c>
      <c r="C5346" s="17" t="s">
        <v>11</v>
      </c>
      <c r="D5346" s="17" t="s">
        <v>12</v>
      </c>
      <c r="E5346" s="17" t="s">
        <v>13</v>
      </c>
      <c r="F5346" s="16" t="s">
        <v>16401</v>
      </c>
    </row>
    <row r="5347" spans="1:6" x14ac:dyDescent="0.25">
      <c r="A5347" s="16" t="s">
        <v>16402</v>
      </c>
      <c r="B5347" s="17" t="s">
        <v>16403</v>
      </c>
      <c r="C5347" s="17" t="s">
        <v>11</v>
      </c>
      <c r="D5347" s="17" t="s">
        <v>26</v>
      </c>
      <c r="E5347" s="17" t="s">
        <v>20</v>
      </c>
      <c r="F5347" s="16" t="s">
        <v>16404</v>
      </c>
    </row>
    <row r="5348" spans="1:6" x14ac:dyDescent="0.25">
      <c r="A5348" s="16" t="s">
        <v>16405</v>
      </c>
      <c r="B5348" s="17" t="s">
        <v>16406</v>
      </c>
      <c r="C5348" s="17" t="s">
        <v>11</v>
      </c>
      <c r="D5348" s="17" t="s">
        <v>32</v>
      </c>
      <c r="E5348" s="17" t="s">
        <v>20</v>
      </c>
      <c r="F5348" s="16" t="s">
        <v>16407</v>
      </c>
    </row>
    <row r="5349" spans="1:6" x14ac:dyDescent="0.25">
      <c r="A5349" s="16" t="s">
        <v>16408</v>
      </c>
      <c r="B5349" s="17" t="s">
        <v>16409</v>
      </c>
      <c r="C5349" s="17" t="s">
        <v>11</v>
      </c>
      <c r="D5349" s="17" t="s">
        <v>544</v>
      </c>
      <c r="E5349" s="17" t="s">
        <v>20</v>
      </c>
      <c r="F5349" s="16" t="s">
        <v>16410</v>
      </c>
    </row>
    <row r="5350" spans="1:6" x14ac:dyDescent="0.25">
      <c r="A5350" s="16" t="s">
        <v>16411</v>
      </c>
      <c r="B5350" s="17" t="s">
        <v>16412</v>
      </c>
      <c r="C5350" s="17" t="s">
        <v>11</v>
      </c>
      <c r="D5350" s="17" t="s">
        <v>12</v>
      </c>
      <c r="E5350" s="17" t="s">
        <v>13</v>
      </c>
      <c r="F5350" s="16" t="s">
        <v>16413</v>
      </c>
    </row>
    <row r="5351" spans="1:6" x14ac:dyDescent="0.25">
      <c r="A5351" s="16" t="s">
        <v>16414</v>
      </c>
      <c r="B5351" s="17" t="s">
        <v>16415</v>
      </c>
      <c r="C5351" s="17" t="s">
        <v>11</v>
      </c>
      <c r="D5351" s="17" t="s">
        <v>80</v>
      </c>
      <c r="E5351" s="17" t="s">
        <v>20</v>
      </c>
      <c r="F5351" s="16" t="s">
        <v>16416</v>
      </c>
    </row>
    <row r="5352" spans="1:6" x14ac:dyDescent="0.25">
      <c r="A5352" s="16" t="s">
        <v>16417</v>
      </c>
      <c r="B5352" s="17" t="s">
        <v>16418</v>
      </c>
      <c r="C5352" s="17" t="s">
        <v>11</v>
      </c>
      <c r="D5352" s="17" t="s">
        <v>83</v>
      </c>
      <c r="E5352" s="17" t="s">
        <v>20</v>
      </c>
      <c r="F5352" s="16" t="s">
        <v>16419</v>
      </c>
    </row>
    <row r="5353" spans="1:6" x14ac:dyDescent="0.25">
      <c r="A5353" s="16" t="s">
        <v>16420</v>
      </c>
      <c r="B5353" s="17" t="s">
        <v>16421</v>
      </c>
      <c r="C5353" s="17" t="s">
        <v>11</v>
      </c>
      <c r="D5353" s="17" t="s">
        <v>12</v>
      </c>
      <c r="E5353" s="17" t="s">
        <v>13</v>
      </c>
      <c r="F5353" s="16" t="s">
        <v>16422</v>
      </c>
    </row>
    <row r="5354" spans="1:6" x14ac:dyDescent="0.25">
      <c r="A5354" s="16" t="s">
        <v>16423</v>
      </c>
      <c r="B5354" s="17" t="s">
        <v>16424</v>
      </c>
      <c r="C5354" s="17" t="s">
        <v>11</v>
      </c>
      <c r="D5354" s="17" t="s">
        <v>12</v>
      </c>
      <c r="E5354" s="17" t="s">
        <v>13</v>
      </c>
      <c r="F5354" s="16" t="s">
        <v>16425</v>
      </c>
    </row>
    <row r="5355" spans="1:6" x14ac:dyDescent="0.25">
      <c r="A5355" s="16" t="s">
        <v>16426</v>
      </c>
      <c r="B5355" s="17" t="s">
        <v>16427</v>
      </c>
      <c r="C5355" s="17" t="s">
        <v>11</v>
      </c>
      <c r="D5355" s="17" t="s">
        <v>12</v>
      </c>
      <c r="E5355" s="17" t="s">
        <v>13</v>
      </c>
      <c r="F5355" s="16" t="s">
        <v>16428</v>
      </c>
    </row>
    <row r="5356" spans="1:6" x14ac:dyDescent="0.25">
      <c r="A5356" s="16" t="s">
        <v>16429</v>
      </c>
      <c r="B5356" s="17" t="s">
        <v>16430</v>
      </c>
      <c r="C5356" s="17" t="s">
        <v>11</v>
      </c>
      <c r="D5356" s="17" t="s">
        <v>32</v>
      </c>
      <c r="E5356" s="17" t="s">
        <v>20</v>
      </c>
      <c r="F5356" s="16" t="s">
        <v>16431</v>
      </c>
    </row>
    <row r="5357" spans="1:6" x14ac:dyDescent="0.25">
      <c r="A5357" s="16" t="s">
        <v>16432</v>
      </c>
      <c r="B5357" s="17" t="s">
        <v>16433</v>
      </c>
      <c r="C5357" s="17" t="s">
        <v>11</v>
      </c>
      <c r="D5357" s="17" t="s">
        <v>12</v>
      </c>
      <c r="E5357" s="17" t="s">
        <v>13</v>
      </c>
      <c r="F5357" s="16" t="s">
        <v>16434</v>
      </c>
    </row>
    <row r="5358" spans="1:6" x14ac:dyDescent="0.25">
      <c r="A5358" s="16" t="s">
        <v>16435</v>
      </c>
      <c r="B5358" s="17" t="s">
        <v>16436</v>
      </c>
      <c r="C5358" s="17" t="s">
        <v>11</v>
      </c>
      <c r="D5358" s="17" t="s">
        <v>74</v>
      </c>
      <c r="E5358" s="17" t="s">
        <v>20</v>
      </c>
      <c r="F5358" s="16" t="s">
        <v>16437</v>
      </c>
    </row>
    <row r="5359" spans="1:6" x14ac:dyDescent="0.25">
      <c r="A5359" s="16" t="s">
        <v>16438</v>
      </c>
      <c r="B5359" s="17" t="s">
        <v>16439</v>
      </c>
      <c r="C5359" s="17" t="s">
        <v>11</v>
      </c>
      <c r="D5359" s="17" t="s">
        <v>12</v>
      </c>
      <c r="E5359" s="17" t="s">
        <v>13</v>
      </c>
      <c r="F5359" s="16" t="s">
        <v>16440</v>
      </c>
    </row>
    <row r="5360" spans="1:6" x14ac:dyDescent="0.25">
      <c r="A5360" s="16" t="s">
        <v>16441</v>
      </c>
      <c r="B5360" s="17" t="s">
        <v>16442</v>
      </c>
      <c r="C5360" s="17" t="s">
        <v>11</v>
      </c>
      <c r="D5360" s="17" t="s">
        <v>32</v>
      </c>
      <c r="E5360" s="17" t="s">
        <v>20</v>
      </c>
      <c r="F5360" s="16" t="s">
        <v>16443</v>
      </c>
    </row>
    <row r="5361" spans="1:6" x14ac:dyDescent="0.25">
      <c r="A5361" s="16" t="s">
        <v>16444</v>
      </c>
      <c r="B5361" s="17" t="s">
        <v>16445</v>
      </c>
      <c r="C5361" s="17" t="s">
        <v>11</v>
      </c>
      <c r="D5361" s="17" t="s">
        <v>32</v>
      </c>
      <c r="E5361" s="17" t="s">
        <v>20</v>
      </c>
      <c r="F5361" s="16" t="s">
        <v>16446</v>
      </c>
    </row>
    <row r="5362" spans="1:6" x14ac:dyDescent="0.25">
      <c r="A5362" s="16" t="s">
        <v>16447</v>
      </c>
      <c r="B5362" s="17" t="s">
        <v>16448</v>
      </c>
      <c r="C5362" s="17" t="s">
        <v>11</v>
      </c>
      <c r="D5362" s="17" t="s">
        <v>74</v>
      </c>
      <c r="E5362" s="17" t="s">
        <v>20</v>
      </c>
      <c r="F5362" s="16" t="s">
        <v>16449</v>
      </c>
    </row>
    <row r="5363" spans="1:6" x14ac:dyDescent="0.25">
      <c r="A5363" s="16" t="s">
        <v>16450</v>
      </c>
      <c r="B5363" s="17" t="s">
        <v>16451</v>
      </c>
      <c r="C5363" s="17" t="s">
        <v>11</v>
      </c>
      <c r="D5363" s="17" t="s">
        <v>68</v>
      </c>
      <c r="E5363" s="17" t="s">
        <v>20</v>
      </c>
      <c r="F5363" s="16" t="s">
        <v>16452</v>
      </c>
    </row>
    <row r="5364" spans="1:6" x14ac:dyDescent="0.25">
      <c r="A5364" s="16" t="s">
        <v>16453</v>
      </c>
      <c r="B5364" s="17" t="s">
        <v>16454</v>
      </c>
      <c r="C5364" s="17" t="s">
        <v>11</v>
      </c>
      <c r="D5364" s="17" t="s">
        <v>32</v>
      </c>
      <c r="E5364" s="17" t="s">
        <v>20</v>
      </c>
      <c r="F5364" s="16" t="s">
        <v>16455</v>
      </c>
    </row>
    <row r="5365" spans="1:6" x14ac:dyDescent="0.25">
      <c r="A5365" s="16" t="s">
        <v>16456</v>
      </c>
      <c r="B5365" s="17" t="s">
        <v>16457</v>
      </c>
      <c r="C5365" s="17" t="s">
        <v>11</v>
      </c>
      <c r="D5365" s="17" t="s">
        <v>26</v>
      </c>
      <c r="E5365" s="17" t="s">
        <v>20</v>
      </c>
      <c r="F5365" s="16" t="s">
        <v>16458</v>
      </c>
    </row>
    <row r="5366" spans="1:6" x14ac:dyDescent="0.25">
      <c r="A5366" s="16" t="s">
        <v>16459</v>
      </c>
      <c r="B5366" s="17" t="s">
        <v>16460</v>
      </c>
      <c r="C5366" s="17" t="s">
        <v>11</v>
      </c>
      <c r="D5366" s="17" t="s">
        <v>83</v>
      </c>
      <c r="E5366" s="17" t="s">
        <v>20</v>
      </c>
      <c r="F5366" s="16" t="s">
        <v>16461</v>
      </c>
    </row>
    <row r="5367" spans="1:6" x14ac:dyDescent="0.25">
      <c r="A5367" s="16" t="s">
        <v>16462</v>
      </c>
      <c r="B5367" s="17" t="s">
        <v>16463</v>
      </c>
      <c r="C5367" s="17" t="s">
        <v>11</v>
      </c>
      <c r="D5367" s="17" t="s">
        <v>182</v>
      </c>
      <c r="E5367" s="17" t="s">
        <v>20</v>
      </c>
      <c r="F5367" s="16" t="s">
        <v>16464</v>
      </c>
    </row>
    <row r="5368" spans="1:6" x14ac:dyDescent="0.25">
      <c r="A5368" s="16" t="s">
        <v>16465</v>
      </c>
      <c r="B5368" s="17" t="s">
        <v>16466</v>
      </c>
      <c r="C5368" s="17" t="s">
        <v>11</v>
      </c>
      <c r="D5368" s="17" t="s">
        <v>68</v>
      </c>
      <c r="E5368" s="17" t="s">
        <v>20</v>
      </c>
      <c r="F5368" s="16" t="s">
        <v>16467</v>
      </c>
    </row>
    <row r="5369" spans="1:6" x14ac:dyDescent="0.25">
      <c r="A5369" s="16" t="s">
        <v>16468</v>
      </c>
      <c r="B5369" s="17" t="s">
        <v>16469</v>
      </c>
      <c r="C5369" s="17" t="s">
        <v>11</v>
      </c>
      <c r="D5369" s="17" t="s">
        <v>12</v>
      </c>
      <c r="E5369" s="17" t="s">
        <v>13</v>
      </c>
      <c r="F5369" s="16" t="s">
        <v>16470</v>
      </c>
    </row>
    <row r="5370" spans="1:6" x14ac:dyDescent="0.25">
      <c r="A5370" s="16" t="s">
        <v>16471</v>
      </c>
      <c r="B5370" s="17" t="s">
        <v>16472</v>
      </c>
      <c r="C5370" s="17" t="s">
        <v>11</v>
      </c>
      <c r="D5370" s="17" t="s">
        <v>12</v>
      </c>
      <c r="E5370" s="17" t="s">
        <v>13</v>
      </c>
      <c r="F5370" s="16" t="s">
        <v>16473</v>
      </c>
    </row>
    <row r="5371" spans="1:6" x14ac:dyDescent="0.25">
      <c r="A5371" s="16" t="s">
        <v>16474</v>
      </c>
      <c r="B5371" s="17" t="s">
        <v>16475</v>
      </c>
      <c r="C5371" s="17" t="s">
        <v>11</v>
      </c>
      <c r="D5371" s="17" t="s">
        <v>32</v>
      </c>
      <c r="E5371" s="17" t="s">
        <v>20</v>
      </c>
      <c r="F5371" s="16" t="s">
        <v>16476</v>
      </c>
    </row>
    <row r="5372" spans="1:6" x14ac:dyDescent="0.25">
      <c r="A5372" s="16" t="s">
        <v>16477</v>
      </c>
      <c r="B5372" s="17" t="s">
        <v>16478</v>
      </c>
      <c r="C5372" s="17" t="s">
        <v>11</v>
      </c>
      <c r="D5372" s="17" t="s">
        <v>19</v>
      </c>
      <c r="E5372" s="17" t="s">
        <v>20</v>
      </c>
      <c r="F5372" s="16" t="s">
        <v>16479</v>
      </c>
    </row>
    <row r="5373" spans="1:6" x14ac:dyDescent="0.25">
      <c r="A5373" s="16" t="s">
        <v>16480</v>
      </c>
      <c r="B5373" s="17" t="s">
        <v>16481</v>
      </c>
      <c r="C5373" s="17" t="s">
        <v>11</v>
      </c>
      <c r="D5373" s="17" t="s">
        <v>80</v>
      </c>
      <c r="E5373" s="17" t="s">
        <v>20</v>
      </c>
      <c r="F5373" s="16" t="s">
        <v>16482</v>
      </c>
    </row>
    <row r="5374" spans="1:6" x14ac:dyDescent="0.25">
      <c r="A5374" s="16" t="s">
        <v>16483</v>
      </c>
      <c r="B5374" s="17" t="s">
        <v>16484</v>
      </c>
      <c r="C5374" s="17" t="s">
        <v>214</v>
      </c>
      <c r="D5374" s="17" t="s">
        <v>80</v>
      </c>
      <c r="E5374" s="17" t="s">
        <v>20</v>
      </c>
      <c r="F5374" s="16" t="s">
        <v>16485</v>
      </c>
    </row>
    <row r="5375" spans="1:6" x14ac:dyDescent="0.25">
      <c r="A5375" s="16" t="s">
        <v>16486</v>
      </c>
      <c r="B5375" s="17" t="s">
        <v>16487</v>
      </c>
      <c r="C5375" s="17" t="s">
        <v>11</v>
      </c>
      <c r="D5375" s="17" t="s">
        <v>186</v>
      </c>
      <c r="E5375" s="17" t="s">
        <v>20</v>
      </c>
      <c r="F5375" s="16" t="s">
        <v>16488</v>
      </c>
    </row>
    <row r="5376" spans="1:6" x14ac:dyDescent="0.25">
      <c r="A5376" s="16" t="s">
        <v>16489</v>
      </c>
      <c r="B5376" s="17" t="s">
        <v>16490</v>
      </c>
      <c r="C5376" s="17" t="s">
        <v>11</v>
      </c>
      <c r="D5376" s="17" t="s">
        <v>32</v>
      </c>
      <c r="E5376" s="17" t="s">
        <v>20</v>
      </c>
      <c r="F5376" s="16" t="s">
        <v>16491</v>
      </c>
    </row>
    <row r="5377" spans="1:6" x14ac:dyDescent="0.25">
      <c r="A5377" s="16" t="s">
        <v>16492</v>
      </c>
      <c r="B5377" s="17" t="s">
        <v>16493</v>
      </c>
      <c r="C5377" s="17" t="s">
        <v>11</v>
      </c>
      <c r="D5377" s="17" t="s">
        <v>80</v>
      </c>
      <c r="E5377" s="17" t="s">
        <v>20</v>
      </c>
      <c r="F5377" s="16" t="s">
        <v>16494</v>
      </c>
    </row>
    <row r="5378" spans="1:6" x14ac:dyDescent="0.25">
      <c r="A5378" s="16" t="s">
        <v>16495</v>
      </c>
      <c r="B5378" s="17" t="s">
        <v>16496</v>
      </c>
      <c r="C5378" s="17" t="s">
        <v>11</v>
      </c>
      <c r="D5378" s="17" t="s">
        <v>182</v>
      </c>
      <c r="E5378" s="17" t="s">
        <v>20</v>
      </c>
      <c r="F5378" s="16" t="s">
        <v>16497</v>
      </c>
    </row>
    <row r="5379" spans="1:6" x14ac:dyDescent="0.25">
      <c r="A5379" s="16" t="s">
        <v>16498</v>
      </c>
      <c r="B5379" s="17" t="s">
        <v>16499</v>
      </c>
      <c r="C5379" s="17" t="s">
        <v>11</v>
      </c>
      <c r="D5379" s="17" t="s">
        <v>74</v>
      </c>
      <c r="E5379" s="17" t="s">
        <v>20</v>
      </c>
      <c r="F5379" s="16" t="s">
        <v>16500</v>
      </c>
    </row>
    <row r="5380" spans="1:6" x14ac:dyDescent="0.25">
      <c r="A5380" s="16" t="s">
        <v>16501</v>
      </c>
      <c r="B5380" s="17" t="s">
        <v>16502</v>
      </c>
      <c r="C5380" s="17" t="s">
        <v>11</v>
      </c>
      <c r="D5380" s="17" t="s">
        <v>32</v>
      </c>
      <c r="E5380" s="17" t="s">
        <v>20</v>
      </c>
      <c r="F5380" s="16" t="s">
        <v>16503</v>
      </c>
    </row>
    <row r="5381" spans="1:6" x14ac:dyDescent="0.25">
      <c r="A5381" s="16" t="s">
        <v>16504</v>
      </c>
      <c r="B5381" s="17" t="s">
        <v>16505</v>
      </c>
      <c r="C5381" s="17" t="s">
        <v>11</v>
      </c>
      <c r="D5381" s="17" t="s">
        <v>32</v>
      </c>
      <c r="E5381" s="17" t="s">
        <v>20</v>
      </c>
      <c r="F5381" s="16" t="s">
        <v>16506</v>
      </c>
    </row>
    <row r="5382" spans="1:6" x14ac:dyDescent="0.25">
      <c r="A5382" s="16" t="s">
        <v>16507</v>
      </c>
      <c r="B5382" s="17" t="s">
        <v>16508</v>
      </c>
      <c r="C5382" s="17" t="s">
        <v>11</v>
      </c>
      <c r="D5382" s="17" t="s">
        <v>32</v>
      </c>
      <c r="E5382" s="17" t="s">
        <v>20</v>
      </c>
      <c r="F5382" s="16" t="s">
        <v>16509</v>
      </c>
    </row>
    <row r="5383" spans="1:6" x14ac:dyDescent="0.25">
      <c r="A5383" s="16" t="s">
        <v>16510</v>
      </c>
      <c r="B5383" s="17" t="s">
        <v>16511</v>
      </c>
      <c r="C5383" s="17" t="s">
        <v>11</v>
      </c>
      <c r="D5383" s="17" t="s">
        <v>83</v>
      </c>
      <c r="E5383" s="17" t="s">
        <v>20</v>
      </c>
      <c r="F5383" s="16" t="s">
        <v>16512</v>
      </c>
    </row>
    <row r="5384" spans="1:6" x14ac:dyDescent="0.25">
      <c r="A5384" s="16" t="s">
        <v>16513</v>
      </c>
      <c r="B5384" s="17" t="s">
        <v>16514</v>
      </c>
      <c r="C5384" s="17" t="s">
        <v>11</v>
      </c>
      <c r="D5384" s="17" t="s">
        <v>12</v>
      </c>
      <c r="E5384" s="17" t="s">
        <v>13</v>
      </c>
      <c r="F5384" s="16" t="s">
        <v>16515</v>
      </c>
    </row>
    <row r="5385" spans="1:6" x14ac:dyDescent="0.25">
      <c r="A5385" s="16" t="s">
        <v>16516</v>
      </c>
      <c r="B5385" s="17" t="s">
        <v>16517</v>
      </c>
      <c r="C5385" s="17" t="s">
        <v>11</v>
      </c>
      <c r="D5385" s="17" t="s">
        <v>32</v>
      </c>
      <c r="E5385" s="17" t="s">
        <v>20</v>
      </c>
      <c r="F5385" s="16" t="s">
        <v>16518</v>
      </c>
    </row>
    <row r="5386" spans="1:6" x14ac:dyDescent="0.25">
      <c r="A5386" s="16" t="s">
        <v>16519</v>
      </c>
      <c r="B5386" s="17" t="s">
        <v>16520</v>
      </c>
      <c r="C5386" s="17" t="s">
        <v>11</v>
      </c>
      <c r="D5386" s="17" t="s">
        <v>544</v>
      </c>
      <c r="E5386" s="17" t="s">
        <v>20</v>
      </c>
      <c r="F5386" s="16" t="s">
        <v>16521</v>
      </c>
    </row>
    <row r="5387" spans="1:6" x14ac:dyDescent="0.25">
      <c r="A5387" s="16" t="s">
        <v>16522</v>
      </c>
      <c r="B5387" s="17" t="s">
        <v>16523</v>
      </c>
      <c r="C5387" s="17" t="s">
        <v>11</v>
      </c>
      <c r="D5387" s="17" t="s">
        <v>12</v>
      </c>
      <c r="E5387" s="17" t="s">
        <v>13</v>
      </c>
      <c r="F5387" s="16" t="s">
        <v>16524</v>
      </c>
    </row>
    <row r="5388" spans="1:6" x14ac:dyDescent="0.25">
      <c r="A5388" s="16" t="s">
        <v>16525</v>
      </c>
      <c r="B5388" s="17" t="s">
        <v>16526</v>
      </c>
      <c r="C5388" s="17" t="s">
        <v>11</v>
      </c>
      <c r="D5388" s="17" t="s">
        <v>12</v>
      </c>
      <c r="E5388" s="17" t="s">
        <v>13</v>
      </c>
      <c r="F5388" s="16" t="s">
        <v>16527</v>
      </c>
    </row>
    <row r="5389" spans="1:6" x14ac:dyDescent="0.25">
      <c r="A5389" s="16" t="s">
        <v>16528</v>
      </c>
      <c r="B5389" s="17" t="s">
        <v>16529</v>
      </c>
      <c r="C5389" s="17" t="s">
        <v>11</v>
      </c>
      <c r="D5389" s="17" t="s">
        <v>32</v>
      </c>
      <c r="E5389" s="17" t="s">
        <v>20</v>
      </c>
      <c r="F5389" s="16" t="s">
        <v>16530</v>
      </c>
    </row>
    <row r="5390" spans="1:6" x14ac:dyDescent="0.25">
      <c r="A5390" s="16" t="s">
        <v>16531</v>
      </c>
      <c r="B5390" s="17" t="s">
        <v>16532</v>
      </c>
      <c r="C5390" s="17" t="s">
        <v>11</v>
      </c>
      <c r="D5390" s="17" t="s">
        <v>80</v>
      </c>
      <c r="E5390" s="17" t="s">
        <v>20</v>
      </c>
      <c r="F5390" s="16" t="s">
        <v>16533</v>
      </c>
    </row>
    <row r="5391" spans="1:6" x14ac:dyDescent="0.25">
      <c r="A5391" s="16" t="s">
        <v>16534</v>
      </c>
      <c r="B5391" s="17" t="s">
        <v>16535</v>
      </c>
      <c r="C5391" s="17" t="s">
        <v>11</v>
      </c>
      <c r="D5391" s="17" t="s">
        <v>80</v>
      </c>
      <c r="E5391" s="17" t="s">
        <v>20</v>
      </c>
      <c r="F5391" s="16" t="s">
        <v>16536</v>
      </c>
    </row>
    <row r="5392" spans="1:6" x14ac:dyDescent="0.25">
      <c r="A5392" s="16" t="s">
        <v>16537</v>
      </c>
      <c r="B5392" s="17" t="s">
        <v>16538</v>
      </c>
      <c r="C5392" s="17" t="s">
        <v>11</v>
      </c>
      <c r="D5392" s="17" t="s">
        <v>80</v>
      </c>
      <c r="E5392" s="17" t="s">
        <v>20</v>
      </c>
      <c r="F5392" s="16" t="s">
        <v>16539</v>
      </c>
    </row>
    <row r="5393" spans="1:6" x14ac:dyDescent="0.25">
      <c r="A5393" s="16" t="s">
        <v>16540</v>
      </c>
      <c r="B5393" s="17" t="s">
        <v>16541</v>
      </c>
      <c r="C5393" s="17" t="s">
        <v>11</v>
      </c>
      <c r="D5393" s="17" t="s">
        <v>12</v>
      </c>
      <c r="E5393" s="17" t="s">
        <v>13</v>
      </c>
      <c r="F5393" s="16" t="s">
        <v>16542</v>
      </c>
    </row>
    <row r="5394" spans="1:6" x14ac:dyDescent="0.25">
      <c r="A5394" s="16" t="s">
        <v>16543</v>
      </c>
      <c r="B5394" s="17" t="s">
        <v>16544</v>
      </c>
      <c r="C5394" s="17" t="s">
        <v>11</v>
      </c>
      <c r="D5394" s="17" t="s">
        <v>32</v>
      </c>
      <c r="E5394" s="17" t="s">
        <v>20</v>
      </c>
      <c r="F5394" s="16" t="s">
        <v>16545</v>
      </c>
    </row>
    <row r="5395" spans="1:6" x14ac:dyDescent="0.25">
      <c r="A5395" s="16" t="s">
        <v>16546</v>
      </c>
      <c r="B5395" s="17" t="s">
        <v>16547</v>
      </c>
      <c r="C5395" s="17" t="s">
        <v>11</v>
      </c>
      <c r="D5395" s="17" t="s">
        <v>32</v>
      </c>
      <c r="E5395" s="17" t="s">
        <v>20</v>
      </c>
      <c r="F5395" s="16" t="s">
        <v>16548</v>
      </c>
    </row>
    <row r="5396" spans="1:6" x14ac:dyDescent="0.25">
      <c r="A5396" s="16" t="s">
        <v>16549</v>
      </c>
      <c r="B5396" s="17" t="s">
        <v>16550</v>
      </c>
      <c r="C5396" s="17" t="s">
        <v>11</v>
      </c>
      <c r="D5396" s="17" t="s">
        <v>12</v>
      </c>
      <c r="E5396" s="17" t="s">
        <v>13</v>
      </c>
      <c r="F5396" s="16" t="s">
        <v>16551</v>
      </c>
    </row>
    <row r="5397" spans="1:6" x14ac:dyDescent="0.25">
      <c r="A5397" s="16" t="s">
        <v>16552</v>
      </c>
      <c r="B5397" s="17" t="s">
        <v>16553</v>
      </c>
      <c r="C5397" s="17" t="s">
        <v>11</v>
      </c>
      <c r="D5397" s="17" t="s">
        <v>12</v>
      </c>
      <c r="E5397" s="17" t="s">
        <v>13</v>
      </c>
      <c r="F5397" s="16" t="s">
        <v>16554</v>
      </c>
    </row>
    <row r="5398" spans="1:6" x14ac:dyDescent="0.25">
      <c r="A5398" s="16" t="s">
        <v>16555</v>
      </c>
      <c r="B5398" s="17" t="s">
        <v>16556</v>
      </c>
      <c r="C5398" s="17" t="s">
        <v>11</v>
      </c>
      <c r="D5398" s="17" t="s">
        <v>74</v>
      </c>
      <c r="E5398" s="17" t="s">
        <v>20</v>
      </c>
      <c r="F5398" s="16" t="s">
        <v>16557</v>
      </c>
    </row>
    <row r="5399" spans="1:6" x14ac:dyDescent="0.25">
      <c r="A5399" s="16" t="s">
        <v>16558</v>
      </c>
      <c r="B5399" s="17" t="s">
        <v>16559</v>
      </c>
      <c r="C5399" s="17" t="s">
        <v>11</v>
      </c>
      <c r="D5399" s="17" t="s">
        <v>12</v>
      </c>
      <c r="E5399" s="17" t="s">
        <v>13</v>
      </c>
      <c r="F5399" s="16" t="s">
        <v>16560</v>
      </c>
    </row>
    <row r="5400" spans="1:6" x14ac:dyDescent="0.25">
      <c r="A5400" s="16" t="s">
        <v>16561</v>
      </c>
      <c r="B5400" s="17" t="s">
        <v>16562</v>
      </c>
      <c r="C5400" s="17" t="s">
        <v>11</v>
      </c>
      <c r="D5400" s="17" t="s">
        <v>80</v>
      </c>
      <c r="E5400" s="17" t="s">
        <v>20</v>
      </c>
      <c r="F5400" s="16" t="s">
        <v>16563</v>
      </c>
    </row>
    <row r="5401" spans="1:6" x14ac:dyDescent="0.25">
      <c r="A5401" s="16" t="s">
        <v>16564</v>
      </c>
      <c r="B5401" s="17" t="s">
        <v>16565</v>
      </c>
      <c r="C5401" s="17" t="s">
        <v>11</v>
      </c>
      <c r="D5401" s="17" t="s">
        <v>59</v>
      </c>
      <c r="E5401" s="17" t="s">
        <v>13</v>
      </c>
      <c r="F5401" s="16" t="s">
        <v>16566</v>
      </c>
    </row>
    <row r="5402" spans="1:6" x14ac:dyDescent="0.25">
      <c r="A5402" s="16" t="s">
        <v>16567</v>
      </c>
      <c r="B5402" s="17" t="s">
        <v>16568</v>
      </c>
      <c r="C5402" s="17" t="s">
        <v>11</v>
      </c>
      <c r="D5402" s="17" t="s">
        <v>32</v>
      </c>
      <c r="E5402" s="17" t="s">
        <v>20</v>
      </c>
      <c r="F5402" s="16" t="s">
        <v>16569</v>
      </c>
    </row>
    <row r="5403" spans="1:6" x14ac:dyDescent="0.25">
      <c r="A5403" s="16" t="s">
        <v>16570</v>
      </c>
      <c r="B5403" s="17" t="s">
        <v>16571</v>
      </c>
      <c r="C5403" s="17" t="s">
        <v>11</v>
      </c>
      <c r="D5403" s="17" t="s">
        <v>12</v>
      </c>
      <c r="E5403" s="17" t="s">
        <v>13</v>
      </c>
      <c r="F5403" s="16" t="s">
        <v>16572</v>
      </c>
    </row>
    <row r="5404" spans="1:6" x14ac:dyDescent="0.25">
      <c r="A5404" s="16" t="s">
        <v>16573</v>
      </c>
      <c r="B5404" s="17" t="s">
        <v>16574</v>
      </c>
      <c r="C5404" s="17" t="s">
        <v>11</v>
      </c>
      <c r="D5404" s="17" t="s">
        <v>12</v>
      </c>
      <c r="E5404" s="17" t="s">
        <v>13</v>
      </c>
      <c r="F5404" s="16" t="s">
        <v>16575</v>
      </c>
    </row>
    <row r="5405" spans="1:6" x14ac:dyDescent="0.25">
      <c r="A5405" s="16" t="s">
        <v>16576</v>
      </c>
      <c r="B5405" s="17" t="s">
        <v>16577</v>
      </c>
      <c r="C5405" s="17" t="s">
        <v>11</v>
      </c>
      <c r="D5405" s="17" t="s">
        <v>291</v>
      </c>
      <c r="E5405" s="17" t="s">
        <v>20</v>
      </c>
      <c r="F5405" s="16" t="s">
        <v>16578</v>
      </c>
    </row>
    <row r="5406" spans="1:6" x14ac:dyDescent="0.25">
      <c r="A5406" s="16" t="s">
        <v>16579</v>
      </c>
      <c r="B5406" s="17" t="s">
        <v>16580</v>
      </c>
      <c r="C5406" s="17" t="s">
        <v>11</v>
      </c>
      <c r="D5406" s="17" t="s">
        <v>59</v>
      </c>
      <c r="E5406" s="17" t="s">
        <v>13</v>
      </c>
      <c r="F5406" s="16" t="s">
        <v>16581</v>
      </c>
    </row>
    <row r="5407" spans="1:6" x14ac:dyDescent="0.25">
      <c r="A5407" s="16" t="s">
        <v>16582</v>
      </c>
      <c r="B5407" s="17" t="s">
        <v>16583</v>
      </c>
      <c r="C5407" s="17" t="s">
        <v>11</v>
      </c>
      <c r="D5407" s="17" t="s">
        <v>12</v>
      </c>
      <c r="E5407" s="17" t="s">
        <v>13</v>
      </c>
      <c r="F5407" s="16" t="s">
        <v>16584</v>
      </c>
    </row>
    <row r="5408" spans="1:6" x14ac:dyDescent="0.25">
      <c r="A5408" s="16" t="s">
        <v>16585</v>
      </c>
      <c r="B5408" s="17" t="s">
        <v>16586</v>
      </c>
      <c r="C5408" s="17" t="s">
        <v>11</v>
      </c>
      <c r="D5408" s="17" t="s">
        <v>182</v>
      </c>
      <c r="E5408" s="17" t="s">
        <v>20</v>
      </c>
      <c r="F5408" s="16" t="s">
        <v>16587</v>
      </c>
    </row>
    <row r="5409" spans="1:6" x14ac:dyDescent="0.25">
      <c r="A5409" s="16" t="s">
        <v>16588</v>
      </c>
      <c r="B5409" s="17" t="s">
        <v>16589</v>
      </c>
      <c r="C5409" s="17" t="s">
        <v>11</v>
      </c>
      <c r="D5409" s="17" t="s">
        <v>32</v>
      </c>
      <c r="E5409" s="17" t="s">
        <v>20</v>
      </c>
      <c r="F5409" s="16" t="s">
        <v>16590</v>
      </c>
    </row>
    <row r="5410" spans="1:6" x14ac:dyDescent="0.25">
      <c r="A5410" s="16" t="s">
        <v>16591</v>
      </c>
      <c r="B5410" s="17" t="s">
        <v>16592</v>
      </c>
      <c r="C5410" s="17" t="s">
        <v>11</v>
      </c>
      <c r="D5410" s="17" t="s">
        <v>12</v>
      </c>
      <c r="E5410" s="17" t="s">
        <v>13</v>
      </c>
      <c r="F5410" s="16" t="s">
        <v>16593</v>
      </c>
    </row>
    <row r="5411" spans="1:6" x14ac:dyDescent="0.25">
      <c r="A5411" s="16" t="s">
        <v>16594</v>
      </c>
      <c r="B5411" s="17" t="s">
        <v>16595</v>
      </c>
      <c r="C5411" s="17" t="s">
        <v>11</v>
      </c>
      <c r="D5411" s="17" t="s">
        <v>80</v>
      </c>
      <c r="E5411" s="17" t="s">
        <v>20</v>
      </c>
      <c r="F5411" s="16" t="s">
        <v>16596</v>
      </c>
    </row>
    <row r="5412" spans="1:6" x14ac:dyDescent="0.25">
      <c r="A5412" s="16" t="s">
        <v>16597</v>
      </c>
      <c r="B5412" s="17" t="s">
        <v>16598</v>
      </c>
      <c r="C5412" s="17" t="s">
        <v>11</v>
      </c>
      <c r="D5412" s="17" t="s">
        <v>12</v>
      </c>
      <c r="E5412" s="17" t="s">
        <v>13</v>
      </c>
      <c r="F5412" s="16" t="s">
        <v>16599</v>
      </c>
    </row>
    <row r="5413" spans="1:6" x14ac:dyDescent="0.25">
      <c r="A5413" s="16" t="s">
        <v>16600</v>
      </c>
      <c r="B5413" s="17" t="s">
        <v>16601</v>
      </c>
      <c r="C5413" s="17" t="s">
        <v>11</v>
      </c>
      <c r="D5413" s="17" t="s">
        <v>12</v>
      </c>
      <c r="E5413" s="17" t="s">
        <v>13</v>
      </c>
      <c r="F5413" s="16" t="s">
        <v>16602</v>
      </c>
    </row>
    <row r="5414" spans="1:6" x14ac:dyDescent="0.25">
      <c r="A5414" s="16" t="s">
        <v>16603</v>
      </c>
      <c r="B5414" s="17" t="s">
        <v>16604</v>
      </c>
      <c r="C5414" s="17" t="s">
        <v>11</v>
      </c>
      <c r="D5414" s="17" t="s">
        <v>12</v>
      </c>
      <c r="E5414" s="17" t="s">
        <v>13</v>
      </c>
      <c r="F5414" s="16" t="s">
        <v>16605</v>
      </c>
    </row>
    <row r="5415" spans="1:6" x14ac:dyDescent="0.25">
      <c r="A5415" s="16" t="s">
        <v>16606</v>
      </c>
      <c r="B5415" s="17" t="s">
        <v>16607</v>
      </c>
      <c r="C5415" s="17" t="s">
        <v>11</v>
      </c>
      <c r="D5415" s="17" t="s">
        <v>80</v>
      </c>
      <c r="E5415" s="17" t="s">
        <v>20</v>
      </c>
      <c r="F5415" s="16" t="s">
        <v>16608</v>
      </c>
    </row>
    <row r="5416" spans="1:6" x14ac:dyDescent="0.25">
      <c r="A5416" s="16" t="s">
        <v>16609</v>
      </c>
      <c r="B5416" s="17" t="s">
        <v>16610</v>
      </c>
      <c r="C5416" s="17" t="s">
        <v>11</v>
      </c>
      <c r="D5416" s="17" t="s">
        <v>26</v>
      </c>
      <c r="E5416" s="17" t="s">
        <v>20</v>
      </c>
      <c r="F5416" s="16" t="s">
        <v>16611</v>
      </c>
    </row>
    <row r="5417" spans="1:6" x14ac:dyDescent="0.25">
      <c r="A5417" s="16" t="s">
        <v>16612</v>
      </c>
      <c r="B5417" s="17" t="s">
        <v>16613</v>
      </c>
      <c r="C5417" s="17" t="s">
        <v>11</v>
      </c>
      <c r="D5417" s="17" t="s">
        <v>32</v>
      </c>
      <c r="E5417" s="17" t="s">
        <v>20</v>
      </c>
      <c r="F5417" s="16" t="s">
        <v>16614</v>
      </c>
    </row>
    <row r="5418" spans="1:6" x14ac:dyDescent="0.25">
      <c r="A5418" s="16" t="s">
        <v>16615</v>
      </c>
      <c r="B5418" s="17" t="s">
        <v>16616</v>
      </c>
      <c r="C5418" s="17" t="s">
        <v>11</v>
      </c>
      <c r="D5418" s="17" t="s">
        <v>12</v>
      </c>
      <c r="E5418" s="17" t="s">
        <v>13</v>
      </c>
      <c r="F5418" s="16" t="s">
        <v>16617</v>
      </c>
    </row>
    <row r="5419" spans="1:6" x14ac:dyDescent="0.25">
      <c r="A5419" s="16" t="s">
        <v>16618</v>
      </c>
      <c r="B5419" s="17" t="s">
        <v>16619</v>
      </c>
      <c r="C5419" s="17" t="s">
        <v>11</v>
      </c>
      <c r="D5419" s="17" t="s">
        <v>12</v>
      </c>
      <c r="E5419" s="17" t="s">
        <v>13</v>
      </c>
      <c r="F5419" s="16" t="s">
        <v>16620</v>
      </c>
    </row>
    <row r="5420" spans="1:6" x14ac:dyDescent="0.25">
      <c r="A5420" s="16" t="s">
        <v>16621</v>
      </c>
      <c r="B5420" s="17" t="s">
        <v>16622</v>
      </c>
      <c r="C5420" s="17" t="s">
        <v>11</v>
      </c>
      <c r="D5420" s="17" t="s">
        <v>250</v>
      </c>
      <c r="E5420" s="17" t="s">
        <v>20</v>
      </c>
      <c r="F5420" s="16" t="s">
        <v>16623</v>
      </c>
    </row>
    <row r="5421" spans="1:6" x14ac:dyDescent="0.25">
      <c r="A5421" s="16" t="s">
        <v>16624</v>
      </c>
      <c r="B5421" s="17" t="s">
        <v>16625</v>
      </c>
      <c r="C5421" s="17" t="s">
        <v>11</v>
      </c>
      <c r="D5421" s="17" t="s">
        <v>83</v>
      </c>
      <c r="E5421" s="17" t="s">
        <v>20</v>
      </c>
      <c r="F5421" s="16" t="s">
        <v>16626</v>
      </c>
    </row>
    <row r="5422" spans="1:6" x14ac:dyDescent="0.25">
      <c r="A5422" s="16" t="s">
        <v>16627</v>
      </c>
      <c r="B5422" s="17" t="s">
        <v>16628</v>
      </c>
      <c r="C5422" s="17" t="s">
        <v>11</v>
      </c>
      <c r="D5422" s="17" t="s">
        <v>12</v>
      </c>
      <c r="E5422" s="17" t="s">
        <v>13</v>
      </c>
      <c r="F5422" s="16" t="s">
        <v>16629</v>
      </c>
    </row>
    <row r="5423" spans="1:6" x14ac:dyDescent="0.25">
      <c r="A5423" s="16" t="s">
        <v>16630</v>
      </c>
      <c r="B5423" s="17" t="s">
        <v>16631</v>
      </c>
      <c r="C5423" s="17" t="s">
        <v>11</v>
      </c>
      <c r="D5423" s="17" t="s">
        <v>12</v>
      </c>
      <c r="E5423" s="17" t="s">
        <v>13</v>
      </c>
      <c r="F5423" s="16" t="s">
        <v>16632</v>
      </c>
    </row>
    <row r="5424" spans="1:6" x14ac:dyDescent="0.25">
      <c r="A5424" s="16" t="s">
        <v>16633</v>
      </c>
      <c r="B5424" s="17" t="s">
        <v>16634</v>
      </c>
      <c r="C5424" s="17" t="s">
        <v>11</v>
      </c>
      <c r="D5424" s="17" t="s">
        <v>80</v>
      </c>
      <c r="E5424" s="17" t="s">
        <v>20</v>
      </c>
      <c r="F5424" s="16" t="s">
        <v>16635</v>
      </c>
    </row>
    <row r="5425" spans="1:6" x14ac:dyDescent="0.25">
      <c r="A5425" s="16" t="s">
        <v>16636</v>
      </c>
      <c r="B5425" s="17" t="s">
        <v>16637</v>
      </c>
      <c r="C5425" s="17" t="s">
        <v>11</v>
      </c>
      <c r="D5425" s="17" t="s">
        <v>32</v>
      </c>
      <c r="E5425" s="17" t="s">
        <v>20</v>
      </c>
      <c r="F5425" s="16" t="s">
        <v>16638</v>
      </c>
    </row>
    <row r="5426" spans="1:6" x14ac:dyDescent="0.25">
      <c r="A5426" s="16" t="s">
        <v>16639</v>
      </c>
      <c r="B5426" s="17" t="s">
        <v>16640</v>
      </c>
      <c r="C5426" s="17" t="s">
        <v>11</v>
      </c>
      <c r="D5426" s="17" t="s">
        <v>291</v>
      </c>
      <c r="E5426" s="17" t="s">
        <v>20</v>
      </c>
      <c r="F5426" s="16" t="s">
        <v>16641</v>
      </c>
    </row>
    <row r="5427" spans="1:6" x14ac:dyDescent="0.25">
      <c r="A5427" s="16" t="s">
        <v>16642</v>
      </c>
      <c r="B5427" s="17" t="s">
        <v>16643</v>
      </c>
      <c r="C5427" s="17" t="s">
        <v>11</v>
      </c>
      <c r="D5427" s="17" t="s">
        <v>649</v>
      </c>
      <c r="E5427" s="17" t="s">
        <v>20</v>
      </c>
      <c r="F5427" s="16" t="s">
        <v>16644</v>
      </c>
    </row>
    <row r="5428" spans="1:6" x14ac:dyDescent="0.25">
      <c r="A5428" s="16" t="s">
        <v>16645</v>
      </c>
      <c r="B5428" s="17" t="s">
        <v>16646</v>
      </c>
      <c r="C5428" s="17" t="s">
        <v>11</v>
      </c>
      <c r="D5428" s="17" t="s">
        <v>250</v>
      </c>
      <c r="E5428" s="17" t="s">
        <v>20</v>
      </c>
      <c r="F5428" s="16" t="s">
        <v>16647</v>
      </c>
    </row>
    <row r="5429" spans="1:6" x14ac:dyDescent="0.25">
      <c r="A5429" s="16" t="s">
        <v>16648</v>
      </c>
      <c r="B5429" s="17" t="s">
        <v>16649</v>
      </c>
      <c r="C5429" s="17" t="s">
        <v>11</v>
      </c>
      <c r="D5429" s="17" t="s">
        <v>12</v>
      </c>
      <c r="E5429" s="17" t="s">
        <v>13</v>
      </c>
      <c r="F5429" s="16" t="s">
        <v>16650</v>
      </c>
    </row>
    <row r="5430" spans="1:6" x14ac:dyDescent="0.25">
      <c r="A5430" s="16" t="s">
        <v>16651</v>
      </c>
      <c r="B5430" s="17" t="s">
        <v>16652</v>
      </c>
      <c r="C5430" s="17" t="s">
        <v>11</v>
      </c>
      <c r="D5430" s="17" t="s">
        <v>670</v>
      </c>
      <c r="E5430" s="17" t="s">
        <v>20</v>
      </c>
      <c r="F5430" s="16" t="s">
        <v>16653</v>
      </c>
    </row>
    <row r="5431" spans="1:6" x14ac:dyDescent="0.25">
      <c r="A5431" s="16" t="s">
        <v>16654</v>
      </c>
      <c r="B5431" s="17" t="s">
        <v>16655</v>
      </c>
      <c r="C5431" s="17" t="s">
        <v>11</v>
      </c>
      <c r="D5431" s="17" t="s">
        <v>32</v>
      </c>
      <c r="E5431" s="17" t="s">
        <v>20</v>
      </c>
      <c r="F5431" s="16" t="s">
        <v>16656</v>
      </c>
    </row>
    <row r="5432" spans="1:6" x14ac:dyDescent="0.25">
      <c r="A5432" s="16" t="s">
        <v>16657</v>
      </c>
      <c r="B5432" s="17" t="s">
        <v>16658</v>
      </c>
      <c r="C5432" s="17" t="s">
        <v>11</v>
      </c>
      <c r="D5432" s="17" t="s">
        <v>89</v>
      </c>
      <c r="E5432" s="17" t="s">
        <v>20</v>
      </c>
      <c r="F5432" s="16" t="s">
        <v>16659</v>
      </c>
    </row>
    <row r="5433" spans="1:6" x14ac:dyDescent="0.25">
      <c r="A5433" s="16" t="s">
        <v>16660</v>
      </c>
      <c r="B5433" s="17" t="s">
        <v>16661</v>
      </c>
      <c r="C5433" s="17" t="s">
        <v>11</v>
      </c>
      <c r="D5433" s="17" t="s">
        <v>12</v>
      </c>
      <c r="E5433" s="17" t="s">
        <v>13</v>
      </c>
      <c r="F5433" s="16" t="s">
        <v>16662</v>
      </c>
    </row>
    <row r="5434" spans="1:6" x14ac:dyDescent="0.25">
      <c r="A5434" s="16" t="s">
        <v>16663</v>
      </c>
      <c r="B5434" s="17" t="s">
        <v>16664</v>
      </c>
      <c r="C5434" s="17" t="s">
        <v>11</v>
      </c>
      <c r="D5434" s="17" t="s">
        <v>32</v>
      </c>
      <c r="E5434" s="17" t="s">
        <v>20</v>
      </c>
      <c r="F5434" s="16" t="s">
        <v>16665</v>
      </c>
    </row>
    <row r="5435" spans="1:6" x14ac:dyDescent="0.25">
      <c r="A5435" s="16" t="s">
        <v>16666</v>
      </c>
      <c r="B5435" s="17" t="s">
        <v>16667</v>
      </c>
      <c r="C5435" s="17" t="s">
        <v>11</v>
      </c>
      <c r="D5435" s="17" t="s">
        <v>12</v>
      </c>
      <c r="E5435" s="17" t="s">
        <v>13</v>
      </c>
      <c r="F5435" s="16" t="s">
        <v>16668</v>
      </c>
    </row>
    <row r="5436" spans="1:6" x14ac:dyDescent="0.25">
      <c r="A5436" s="16" t="s">
        <v>16669</v>
      </c>
      <c r="B5436" s="17" t="s">
        <v>16670</v>
      </c>
      <c r="C5436" s="17" t="s">
        <v>11</v>
      </c>
      <c r="D5436" s="17" t="s">
        <v>291</v>
      </c>
      <c r="E5436" s="17" t="s">
        <v>20</v>
      </c>
      <c r="F5436" s="16" t="s">
        <v>16671</v>
      </c>
    </row>
    <row r="5437" spans="1:6" x14ac:dyDescent="0.25">
      <c r="A5437" s="16" t="s">
        <v>16672</v>
      </c>
      <c r="B5437" s="17" t="s">
        <v>16673</v>
      </c>
      <c r="C5437" s="17" t="s">
        <v>11</v>
      </c>
      <c r="D5437" s="17" t="s">
        <v>12</v>
      </c>
      <c r="E5437" s="17" t="s">
        <v>13</v>
      </c>
      <c r="F5437" s="16" t="s">
        <v>16674</v>
      </c>
    </row>
    <row r="5438" spans="1:6" x14ac:dyDescent="0.25">
      <c r="A5438" s="16" t="s">
        <v>16675</v>
      </c>
      <c r="B5438" s="17" t="s">
        <v>16676</v>
      </c>
      <c r="C5438" s="17" t="s">
        <v>11</v>
      </c>
      <c r="D5438" s="17" t="s">
        <v>89</v>
      </c>
      <c r="E5438" s="17" t="s">
        <v>20</v>
      </c>
      <c r="F5438" s="16" t="s">
        <v>16677</v>
      </c>
    </row>
    <row r="5439" spans="1:6" x14ac:dyDescent="0.25">
      <c r="A5439" s="16" t="s">
        <v>16678</v>
      </c>
      <c r="B5439" s="17" t="s">
        <v>16679</v>
      </c>
      <c r="C5439" s="17" t="s">
        <v>11</v>
      </c>
      <c r="D5439" s="17" t="s">
        <v>32</v>
      </c>
      <c r="E5439" s="17" t="s">
        <v>20</v>
      </c>
      <c r="F5439" s="16" t="s">
        <v>16680</v>
      </c>
    </row>
    <row r="5440" spans="1:6" x14ac:dyDescent="0.25">
      <c r="A5440" s="16" t="s">
        <v>16681</v>
      </c>
      <c r="B5440" s="17" t="s">
        <v>16682</v>
      </c>
      <c r="C5440" s="17" t="s">
        <v>11</v>
      </c>
      <c r="D5440" s="17" t="s">
        <v>74</v>
      </c>
      <c r="E5440" s="17" t="s">
        <v>20</v>
      </c>
      <c r="F5440" s="16" t="s">
        <v>16683</v>
      </c>
    </row>
    <row r="5441" spans="1:6" x14ac:dyDescent="0.25">
      <c r="A5441" s="16" t="s">
        <v>16684</v>
      </c>
      <c r="B5441" s="17" t="s">
        <v>16685</v>
      </c>
      <c r="C5441" s="17" t="s">
        <v>11</v>
      </c>
      <c r="D5441" s="17" t="s">
        <v>32</v>
      </c>
      <c r="E5441" s="17" t="s">
        <v>20</v>
      </c>
      <c r="F5441" s="16" t="s">
        <v>16686</v>
      </c>
    </row>
    <row r="5442" spans="1:6" x14ac:dyDescent="0.25">
      <c r="A5442" s="16" t="s">
        <v>16687</v>
      </c>
      <c r="B5442" s="17" t="s">
        <v>16688</v>
      </c>
      <c r="C5442" s="17" t="s">
        <v>11</v>
      </c>
      <c r="D5442" s="17" t="s">
        <v>68</v>
      </c>
      <c r="E5442" s="17" t="s">
        <v>20</v>
      </c>
      <c r="F5442" s="16" t="s">
        <v>16689</v>
      </c>
    </row>
    <row r="5443" spans="1:6" x14ac:dyDescent="0.25">
      <c r="A5443" s="16" t="s">
        <v>16690</v>
      </c>
      <c r="B5443" s="17" t="s">
        <v>16691</v>
      </c>
      <c r="C5443" s="17" t="s">
        <v>11</v>
      </c>
      <c r="D5443" s="17" t="s">
        <v>811</v>
      </c>
      <c r="E5443" s="17" t="s">
        <v>20</v>
      </c>
      <c r="F5443" s="16" t="s">
        <v>16692</v>
      </c>
    </row>
    <row r="5444" spans="1:6" x14ac:dyDescent="0.25">
      <c r="A5444" s="16" t="s">
        <v>16693</v>
      </c>
      <c r="B5444" s="17" t="s">
        <v>16694</v>
      </c>
      <c r="C5444" s="17" t="s">
        <v>11</v>
      </c>
      <c r="D5444" s="17" t="s">
        <v>32</v>
      </c>
      <c r="E5444" s="17" t="s">
        <v>20</v>
      </c>
      <c r="F5444" s="16" t="s">
        <v>16695</v>
      </c>
    </row>
    <row r="5445" spans="1:6" x14ac:dyDescent="0.25">
      <c r="A5445" s="16" t="s">
        <v>16696</v>
      </c>
      <c r="B5445" s="17" t="s">
        <v>16697</v>
      </c>
      <c r="C5445" s="17" t="s">
        <v>11</v>
      </c>
      <c r="D5445" s="17" t="s">
        <v>80</v>
      </c>
      <c r="E5445" s="17" t="s">
        <v>20</v>
      </c>
      <c r="F5445" s="16" t="s">
        <v>16698</v>
      </c>
    </row>
    <row r="5446" spans="1:6" x14ac:dyDescent="0.25">
      <c r="A5446" s="16" t="s">
        <v>16699</v>
      </c>
      <c r="B5446" s="17" t="s">
        <v>16700</v>
      </c>
      <c r="C5446" s="17" t="s">
        <v>11</v>
      </c>
      <c r="D5446" s="17" t="s">
        <v>32</v>
      </c>
      <c r="E5446" s="17" t="s">
        <v>20</v>
      </c>
      <c r="F5446" s="16" t="s">
        <v>16701</v>
      </c>
    </row>
    <row r="5447" spans="1:6" x14ac:dyDescent="0.25">
      <c r="A5447" s="16" t="s">
        <v>16702</v>
      </c>
      <c r="B5447" s="17" t="s">
        <v>16703</v>
      </c>
      <c r="C5447" s="17" t="s">
        <v>11</v>
      </c>
      <c r="D5447" s="17" t="s">
        <v>74</v>
      </c>
      <c r="E5447" s="17" t="s">
        <v>20</v>
      </c>
      <c r="F5447" s="16" t="s">
        <v>16704</v>
      </c>
    </row>
    <row r="5448" spans="1:6" x14ac:dyDescent="0.25">
      <c r="A5448" s="16" t="s">
        <v>16705</v>
      </c>
      <c r="B5448" s="17" t="s">
        <v>16706</v>
      </c>
      <c r="C5448" s="17" t="s">
        <v>11</v>
      </c>
      <c r="D5448" s="17" t="s">
        <v>74</v>
      </c>
      <c r="E5448" s="17" t="s">
        <v>20</v>
      </c>
      <c r="F5448" s="16" t="s">
        <v>16707</v>
      </c>
    </row>
    <row r="5449" spans="1:6" x14ac:dyDescent="0.25">
      <c r="A5449" s="16" t="s">
        <v>16708</v>
      </c>
      <c r="B5449" s="17" t="s">
        <v>16709</v>
      </c>
      <c r="C5449" s="17" t="s">
        <v>11</v>
      </c>
      <c r="D5449" s="17" t="s">
        <v>12</v>
      </c>
      <c r="E5449" s="17" t="s">
        <v>13</v>
      </c>
      <c r="F5449" s="16" t="s">
        <v>16710</v>
      </c>
    </row>
    <row r="5450" spans="1:6" x14ac:dyDescent="0.25">
      <c r="A5450" s="16" t="s">
        <v>16711</v>
      </c>
      <c r="B5450" s="17" t="s">
        <v>16712</v>
      </c>
      <c r="C5450" s="17" t="s">
        <v>11</v>
      </c>
      <c r="D5450" s="17" t="s">
        <v>570</v>
      </c>
      <c r="E5450" s="17" t="s">
        <v>20</v>
      </c>
      <c r="F5450" s="16" t="s">
        <v>16713</v>
      </c>
    </row>
    <row r="5451" spans="1:6" x14ac:dyDescent="0.25">
      <c r="A5451" s="16" t="s">
        <v>16714</v>
      </c>
      <c r="B5451" s="17" t="s">
        <v>16715</v>
      </c>
      <c r="C5451" s="17" t="s">
        <v>11</v>
      </c>
      <c r="D5451" s="17" t="s">
        <v>233</v>
      </c>
      <c r="E5451" s="17" t="s">
        <v>20</v>
      </c>
      <c r="F5451" s="16" t="s">
        <v>16716</v>
      </c>
    </row>
    <row r="5452" spans="1:6" x14ac:dyDescent="0.25">
      <c r="A5452" s="16" t="s">
        <v>16717</v>
      </c>
      <c r="B5452" s="17" t="s">
        <v>16718</v>
      </c>
      <c r="C5452" s="17" t="s">
        <v>11</v>
      </c>
      <c r="D5452" s="17" t="s">
        <v>83</v>
      </c>
      <c r="E5452" s="17" t="s">
        <v>20</v>
      </c>
      <c r="F5452" s="16" t="s">
        <v>16719</v>
      </c>
    </row>
    <row r="5453" spans="1:6" x14ac:dyDescent="0.25">
      <c r="A5453" s="16" t="s">
        <v>16720</v>
      </c>
      <c r="B5453" s="17" t="s">
        <v>16721</v>
      </c>
      <c r="C5453" s="17" t="s">
        <v>11</v>
      </c>
      <c r="D5453" s="17" t="s">
        <v>32</v>
      </c>
      <c r="E5453" s="17" t="s">
        <v>20</v>
      </c>
      <c r="F5453" s="16" t="s">
        <v>16722</v>
      </c>
    </row>
    <row r="5454" spans="1:6" x14ac:dyDescent="0.25">
      <c r="A5454" s="16" t="s">
        <v>16723</v>
      </c>
      <c r="B5454" s="17" t="s">
        <v>16724</v>
      </c>
      <c r="C5454" s="17" t="s">
        <v>359</v>
      </c>
      <c r="D5454" s="17" t="s">
        <v>32</v>
      </c>
      <c r="E5454" s="17" t="s">
        <v>20</v>
      </c>
      <c r="F5454" s="16" t="s">
        <v>16725</v>
      </c>
    </row>
    <row r="5455" spans="1:6" x14ac:dyDescent="0.25">
      <c r="A5455" s="16" t="s">
        <v>16726</v>
      </c>
      <c r="B5455" s="17" t="s">
        <v>16727</v>
      </c>
      <c r="C5455" s="17" t="s">
        <v>11</v>
      </c>
      <c r="D5455" s="17" t="s">
        <v>74</v>
      </c>
      <c r="E5455" s="17" t="s">
        <v>20</v>
      </c>
      <c r="F5455" s="16" t="s">
        <v>16728</v>
      </c>
    </row>
    <row r="5456" spans="1:6" x14ac:dyDescent="0.25">
      <c r="A5456" s="16" t="s">
        <v>16729</v>
      </c>
      <c r="B5456" s="17" t="s">
        <v>16730</v>
      </c>
      <c r="C5456" s="17" t="s">
        <v>11</v>
      </c>
      <c r="D5456" s="17" t="s">
        <v>32</v>
      </c>
      <c r="E5456" s="17" t="s">
        <v>20</v>
      </c>
      <c r="F5456" s="16" t="s">
        <v>16731</v>
      </c>
    </row>
    <row r="5457" spans="1:6" x14ac:dyDescent="0.25">
      <c r="A5457" s="16" t="s">
        <v>16732</v>
      </c>
      <c r="B5457" s="17" t="s">
        <v>16733</v>
      </c>
      <c r="C5457" s="17" t="s">
        <v>11</v>
      </c>
      <c r="D5457" s="17" t="s">
        <v>32</v>
      </c>
      <c r="E5457" s="17" t="s">
        <v>20</v>
      </c>
      <c r="F5457" s="16" t="s">
        <v>16734</v>
      </c>
    </row>
    <row r="5458" spans="1:6" x14ac:dyDescent="0.25">
      <c r="A5458" s="16" t="s">
        <v>16735</v>
      </c>
      <c r="B5458" s="17" t="s">
        <v>16736</v>
      </c>
      <c r="C5458" s="17" t="s">
        <v>11</v>
      </c>
      <c r="D5458" s="17" t="s">
        <v>19</v>
      </c>
      <c r="E5458" s="17" t="s">
        <v>20</v>
      </c>
      <c r="F5458" s="16" t="s">
        <v>16737</v>
      </c>
    </row>
    <row r="5459" spans="1:6" x14ac:dyDescent="0.25">
      <c r="A5459" s="16" t="s">
        <v>16738</v>
      </c>
      <c r="B5459" s="17" t="s">
        <v>16739</v>
      </c>
      <c r="C5459" s="17" t="s">
        <v>11</v>
      </c>
      <c r="D5459" s="17" t="s">
        <v>83</v>
      </c>
      <c r="E5459" s="17" t="s">
        <v>20</v>
      </c>
      <c r="F5459" s="16" t="s">
        <v>16740</v>
      </c>
    </row>
    <row r="5460" spans="1:6" x14ac:dyDescent="0.25">
      <c r="A5460" s="16" t="s">
        <v>16741</v>
      </c>
      <c r="B5460" s="17" t="s">
        <v>16742</v>
      </c>
      <c r="C5460" s="17" t="s">
        <v>11</v>
      </c>
      <c r="D5460" s="17" t="s">
        <v>148</v>
      </c>
      <c r="E5460" s="17" t="s">
        <v>20</v>
      </c>
      <c r="F5460" s="16" t="s">
        <v>16743</v>
      </c>
    </row>
    <row r="5461" spans="1:6" x14ac:dyDescent="0.25">
      <c r="A5461" s="16" t="s">
        <v>16744</v>
      </c>
      <c r="B5461" s="17" t="s">
        <v>16745</v>
      </c>
      <c r="C5461" s="17" t="s">
        <v>11</v>
      </c>
      <c r="D5461" s="17" t="s">
        <v>811</v>
      </c>
      <c r="E5461" s="17" t="s">
        <v>20</v>
      </c>
      <c r="F5461" s="16" t="s">
        <v>16746</v>
      </c>
    </row>
    <row r="5462" spans="1:6" x14ac:dyDescent="0.25">
      <c r="A5462" s="16" t="s">
        <v>16747</v>
      </c>
      <c r="B5462" s="17" t="s">
        <v>16748</v>
      </c>
      <c r="C5462" s="17" t="s">
        <v>11</v>
      </c>
      <c r="D5462" s="17" t="s">
        <v>26</v>
      </c>
      <c r="E5462" s="17" t="s">
        <v>20</v>
      </c>
      <c r="F5462" s="16" t="s">
        <v>16749</v>
      </c>
    </row>
    <row r="5463" spans="1:6" x14ac:dyDescent="0.25">
      <c r="A5463" s="16" t="s">
        <v>16750</v>
      </c>
      <c r="B5463" s="17" t="s">
        <v>16751</v>
      </c>
      <c r="C5463" s="17" t="s">
        <v>11</v>
      </c>
      <c r="D5463" s="17" t="s">
        <v>233</v>
      </c>
      <c r="E5463" s="17" t="s">
        <v>20</v>
      </c>
      <c r="F5463" s="16" t="s">
        <v>16752</v>
      </c>
    </row>
    <row r="5464" spans="1:6" x14ac:dyDescent="0.25">
      <c r="A5464" s="16" t="s">
        <v>16753</v>
      </c>
      <c r="B5464" s="17" t="s">
        <v>16754</v>
      </c>
      <c r="C5464" s="17" t="s">
        <v>11</v>
      </c>
      <c r="D5464" s="17" t="s">
        <v>80</v>
      </c>
      <c r="E5464" s="17" t="s">
        <v>20</v>
      </c>
      <c r="F5464" s="16" t="s">
        <v>16755</v>
      </c>
    </row>
    <row r="5465" spans="1:6" x14ac:dyDescent="0.25">
      <c r="A5465" s="16" t="s">
        <v>16756</v>
      </c>
      <c r="B5465" s="17" t="s">
        <v>16757</v>
      </c>
      <c r="C5465" s="17" t="s">
        <v>11</v>
      </c>
      <c r="D5465" s="17" t="s">
        <v>32</v>
      </c>
      <c r="E5465" s="17" t="s">
        <v>20</v>
      </c>
      <c r="F5465" s="16" t="s">
        <v>16758</v>
      </c>
    </row>
    <row r="5466" spans="1:6" x14ac:dyDescent="0.25">
      <c r="A5466" s="16" t="s">
        <v>16759</v>
      </c>
      <c r="B5466" s="17" t="s">
        <v>16760</v>
      </c>
      <c r="C5466" s="17" t="s">
        <v>11</v>
      </c>
      <c r="D5466" s="17" t="s">
        <v>670</v>
      </c>
      <c r="E5466" s="17" t="s">
        <v>20</v>
      </c>
      <c r="F5466" s="16" t="s">
        <v>16761</v>
      </c>
    </row>
    <row r="5467" spans="1:6" x14ac:dyDescent="0.25">
      <c r="A5467" s="16" t="s">
        <v>16762</v>
      </c>
      <c r="B5467" s="17" t="s">
        <v>16763</v>
      </c>
      <c r="C5467" s="17" t="s">
        <v>11</v>
      </c>
      <c r="D5467" s="17" t="s">
        <v>649</v>
      </c>
      <c r="E5467" s="17" t="s">
        <v>20</v>
      </c>
      <c r="F5467" s="16" t="s">
        <v>16764</v>
      </c>
    </row>
    <row r="5468" spans="1:6" x14ac:dyDescent="0.25">
      <c r="A5468" s="16" t="s">
        <v>16765</v>
      </c>
      <c r="B5468" s="17" t="s">
        <v>16766</v>
      </c>
      <c r="C5468" s="17" t="s">
        <v>11</v>
      </c>
      <c r="D5468" s="17" t="s">
        <v>182</v>
      </c>
      <c r="E5468" s="17" t="s">
        <v>20</v>
      </c>
      <c r="F5468" s="16" t="s">
        <v>16767</v>
      </c>
    </row>
    <row r="5469" spans="1:6" x14ac:dyDescent="0.25">
      <c r="A5469" s="16" t="s">
        <v>16768</v>
      </c>
      <c r="B5469" s="17" t="s">
        <v>16769</v>
      </c>
      <c r="C5469" s="17" t="s">
        <v>11</v>
      </c>
      <c r="D5469" s="17" t="s">
        <v>1337</v>
      </c>
      <c r="E5469" s="17" t="s">
        <v>1299</v>
      </c>
      <c r="F5469" s="16" t="s">
        <v>16770</v>
      </c>
    </row>
    <row r="5470" spans="1:6" x14ac:dyDescent="0.25">
      <c r="A5470" s="16" t="s">
        <v>16771</v>
      </c>
      <c r="B5470" s="17" t="s">
        <v>16772</v>
      </c>
      <c r="C5470" s="17" t="s">
        <v>11</v>
      </c>
      <c r="D5470" s="17" t="s">
        <v>26</v>
      </c>
      <c r="E5470" s="17" t="s">
        <v>20</v>
      </c>
      <c r="F5470" s="16" t="s">
        <v>16773</v>
      </c>
    </row>
    <row r="5471" spans="1:6" x14ac:dyDescent="0.25">
      <c r="A5471" s="16" t="s">
        <v>16774</v>
      </c>
      <c r="B5471" s="17" t="s">
        <v>16775</v>
      </c>
      <c r="C5471" s="17" t="s">
        <v>11</v>
      </c>
      <c r="D5471" s="17" t="s">
        <v>182</v>
      </c>
      <c r="E5471" s="17" t="s">
        <v>20</v>
      </c>
      <c r="F5471" s="16" t="s">
        <v>16776</v>
      </c>
    </row>
    <row r="5472" spans="1:6" x14ac:dyDescent="0.25">
      <c r="A5472" s="16" t="s">
        <v>16777</v>
      </c>
      <c r="B5472" s="17" t="s">
        <v>16778</v>
      </c>
      <c r="C5472" s="17" t="s">
        <v>11</v>
      </c>
      <c r="D5472" s="17" t="s">
        <v>74</v>
      </c>
      <c r="E5472" s="17" t="s">
        <v>20</v>
      </c>
      <c r="F5472" s="16" t="s">
        <v>16779</v>
      </c>
    </row>
    <row r="5473" spans="1:6" x14ac:dyDescent="0.25">
      <c r="A5473" s="16" t="s">
        <v>16780</v>
      </c>
      <c r="B5473" s="17" t="s">
        <v>16781</v>
      </c>
      <c r="C5473" s="17" t="s">
        <v>11</v>
      </c>
      <c r="D5473" s="17" t="s">
        <v>32</v>
      </c>
      <c r="E5473" s="17" t="s">
        <v>20</v>
      </c>
      <c r="F5473" s="16" t="s">
        <v>16782</v>
      </c>
    </row>
    <row r="5474" spans="1:6" x14ac:dyDescent="0.25">
      <c r="A5474" s="16" t="s">
        <v>16783</v>
      </c>
      <c r="B5474" s="17" t="s">
        <v>16784</v>
      </c>
      <c r="C5474" s="17" t="s">
        <v>11</v>
      </c>
      <c r="D5474" s="17" t="s">
        <v>148</v>
      </c>
      <c r="E5474" s="17" t="s">
        <v>20</v>
      </c>
      <c r="F5474" s="16" t="s">
        <v>16785</v>
      </c>
    </row>
    <row r="5475" spans="1:6" x14ac:dyDescent="0.25">
      <c r="A5475" s="16" t="s">
        <v>16786</v>
      </c>
      <c r="B5475" s="17" t="s">
        <v>16787</v>
      </c>
      <c r="C5475" s="17" t="s">
        <v>11</v>
      </c>
      <c r="D5475" s="17" t="s">
        <v>74</v>
      </c>
      <c r="E5475" s="17" t="s">
        <v>20</v>
      </c>
      <c r="F5475" s="16" t="s">
        <v>16788</v>
      </c>
    </row>
    <row r="5476" spans="1:6" x14ac:dyDescent="0.25">
      <c r="A5476" s="16" t="s">
        <v>16789</v>
      </c>
      <c r="B5476" s="17" t="s">
        <v>16790</v>
      </c>
      <c r="C5476" s="17" t="s">
        <v>11</v>
      </c>
      <c r="D5476" s="17" t="s">
        <v>32</v>
      </c>
      <c r="E5476" s="17" t="s">
        <v>20</v>
      </c>
      <c r="F5476" s="16" t="s">
        <v>16791</v>
      </c>
    </row>
    <row r="5477" spans="1:6" x14ac:dyDescent="0.25">
      <c r="A5477" s="16" t="s">
        <v>16792</v>
      </c>
      <c r="B5477" s="17" t="s">
        <v>16793</v>
      </c>
      <c r="C5477" s="17" t="s">
        <v>11</v>
      </c>
      <c r="D5477" s="17" t="s">
        <v>80</v>
      </c>
      <c r="E5477" s="17" t="s">
        <v>20</v>
      </c>
      <c r="F5477" s="16" t="s">
        <v>16794</v>
      </c>
    </row>
    <row r="5478" spans="1:6" x14ac:dyDescent="0.25">
      <c r="A5478" s="16" t="s">
        <v>16795</v>
      </c>
      <c r="B5478" s="17" t="s">
        <v>16796</v>
      </c>
      <c r="C5478" s="17" t="s">
        <v>11</v>
      </c>
      <c r="D5478" s="17" t="s">
        <v>26</v>
      </c>
      <c r="E5478" s="17" t="s">
        <v>20</v>
      </c>
      <c r="F5478" s="16" t="s">
        <v>16797</v>
      </c>
    </row>
    <row r="5479" spans="1:6" x14ac:dyDescent="0.25">
      <c r="A5479" s="16" t="s">
        <v>16798</v>
      </c>
      <c r="B5479" s="17" t="s">
        <v>16799</v>
      </c>
      <c r="C5479" s="17" t="s">
        <v>11</v>
      </c>
      <c r="D5479" s="17" t="s">
        <v>291</v>
      </c>
      <c r="E5479" s="17" t="s">
        <v>20</v>
      </c>
      <c r="F5479" s="16" t="s">
        <v>16800</v>
      </c>
    </row>
    <row r="5480" spans="1:6" x14ac:dyDescent="0.25">
      <c r="A5480" s="16" t="s">
        <v>16801</v>
      </c>
      <c r="B5480" s="17" t="s">
        <v>16802</v>
      </c>
      <c r="C5480" s="17" t="s">
        <v>11</v>
      </c>
      <c r="D5480" s="17" t="s">
        <v>32</v>
      </c>
      <c r="E5480" s="17" t="s">
        <v>20</v>
      </c>
      <c r="F5480" s="16" t="s">
        <v>16803</v>
      </c>
    </row>
    <row r="5481" spans="1:6" x14ac:dyDescent="0.25">
      <c r="A5481" s="16" t="s">
        <v>16804</v>
      </c>
      <c r="B5481" s="17" t="s">
        <v>16805</v>
      </c>
      <c r="C5481" s="17" t="s">
        <v>11</v>
      </c>
      <c r="D5481" s="17" t="s">
        <v>32</v>
      </c>
      <c r="E5481" s="17" t="s">
        <v>20</v>
      </c>
      <c r="F5481" s="16" t="s">
        <v>16806</v>
      </c>
    </row>
    <row r="5482" spans="1:6" x14ac:dyDescent="0.25">
      <c r="A5482" s="16" t="s">
        <v>16807</v>
      </c>
      <c r="B5482" s="17" t="s">
        <v>16808</v>
      </c>
      <c r="C5482" s="17" t="s">
        <v>11</v>
      </c>
      <c r="D5482" s="17" t="s">
        <v>32</v>
      </c>
      <c r="E5482" s="17" t="s">
        <v>20</v>
      </c>
      <c r="F5482" s="16" t="s">
        <v>16809</v>
      </c>
    </row>
    <row r="5483" spans="1:6" x14ac:dyDescent="0.25">
      <c r="A5483" s="16" t="s">
        <v>16810</v>
      </c>
      <c r="B5483" s="17" t="s">
        <v>16811</v>
      </c>
      <c r="C5483" s="17" t="s">
        <v>11</v>
      </c>
      <c r="D5483" s="17" t="s">
        <v>12</v>
      </c>
      <c r="E5483" s="17" t="s">
        <v>13</v>
      </c>
      <c r="F5483" s="16" t="s">
        <v>16812</v>
      </c>
    </row>
    <row r="5484" spans="1:6" x14ac:dyDescent="0.25">
      <c r="A5484" s="16" t="s">
        <v>16813</v>
      </c>
      <c r="B5484" s="17" t="s">
        <v>16814</v>
      </c>
      <c r="C5484" s="17" t="s">
        <v>11</v>
      </c>
      <c r="D5484" s="17" t="s">
        <v>148</v>
      </c>
      <c r="E5484" s="17" t="s">
        <v>20</v>
      </c>
      <c r="F5484" s="16" t="s">
        <v>16815</v>
      </c>
    </row>
    <row r="5485" spans="1:6" x14ac:dyDescent="0.25">
      <c r="A5485" s="16" t="s">
        <v>16816</v>
      </c>
      <c r="B5485" s="17" t="s">
        <v>16817</v>
      </c>
      <c r="C5485" s="17" t="s">
        <v>11</v>
      </c>
      <c r="D5485" s="17" t="s">
        <v>80</v>
      </c>
      <c r="E5485" s="17" t="s">
        <v>20</v>
      </c>
      <c r="F5485" s="16" t="s">
        <v>16818</v>
      </c>
    </row>
    <row r="5486" spans="1:6" x14ac:dyDescent="0.25">
      <c r="A5486" s="16" t="s">
        <v>16819</v>
      </c>
      <c r="B5486" s="17" t="s">
        <v>16820</v>
      </c>
      <c r="C5486" s="17" t="s">
        <v>11</v>
      </c>
      <c r="D5486" s="17" t="s">
        <v>12</v>
      </c>
      <c r="E5486" s="17" t="s">
        <v>13</v>
      </c>
      <c r="F5486" s="16" t="s">
        <v>16821</v>
      </c>
    </row>
    <row r="5487" spans="1:6" x14ac:dyDescent="0.25">
      <c r="A5487" s="16" t="s">
        <v>16822</v>
      </c>
      <c r="B5487" s="17" t="s">
        <v>16823</v>
      </c>
      <c r="C5487" s="17" t="s">
        <v>11</v>
      </c>
      <c r="D5487" s="17" t="s">
        <v>32</v>
      </c>
      <c r="E5487" s="17" t="s">
        <v>20</v>
      </c>
      <c r="F5487" s="16" t="s">
        <v>16824</v>
      </c>
    </row>
    <row r="5488" spans="1:6" x14ac:dyDescent="0.25">
      <c r="A5488" s="16" t="s">
        <v>16825</v>
      </c>
      <c r="B5488" s="17" t="s">
        <v>16826</v>
      </c>
      <c r="C5488" s="17" t="s">
        <v>11</v>
      </c>
      <c r="D5488" s="17" t="s">
        <v>12</v>
      </c>
      <c r="E5488" s="17" t="s">
        <v>13</v>
      </c>
      <c r="F5488" s="16" t="s">
        <v>16827</v>
      </c>
    </row>
    <row r="5489" spans="1:6" x14ac:dyDescent="0.25">
      <c r="A5489" s="16" t="s">
        <v>16828</v>
      </c>
      <c r="B5489" s="17" t="s">
        <v>16829</v>
      </c>
      <c r="C5489" s="17" t="s">
        <v>11</v>
      </c>
      <c r="D5489" s="17" t="s">
        <v>32</v>
      </c>
      <c r="E5489" s="17" t="s">
        <v>20</v>
      </c>
      <c r="F5489" s="16" t="s">
        <v>16830</v>
      </c>
    </row>
    <row r="5490" spans="1:6" x14ac:dyDescent="0.25">
      <c r="A5490" s="16" t="s">
        <v>16831</v>
      </c>
      <c r="B5490" s="17" t="s">
        <v>16832</v>
      </c>
      <c r="C5490" s="17" t="s">
        <v>11</v>
      </c>
      <c r="D5490" s="17" t="s">
        <v>89</v>
      </c>
      <c r="E5490" s="17" t="s">
        <v>20</v>
      </c>
      <c r="F5490" s="16" t="s">
        <v>16833</v>
      </c>
    </row>
    <row r="5491" spans="1:6" x14ac:dyDescent="0.25">
      <c r="A5491" s="16" t="s">
        <v>16834</v>
      </c>
      <c r="B5491" s="17" t="s">
        <v>16835</v>
      </c>
      <c r="C5491" s="17" t="s">
        <v>11</v>
      </c>
      <c r="D5491" s="17" t="s">
        <v>32</v>
      </c>
      <c r="E5491" s="17" t="s">
        <v>20</v>
      </c>
      <c r="F5491" s="16" t="s">
        <v>16836</v>
      </c>
    </row>
    <row r="5492" spans="1:6" x14ac:dyDescent="0.25">
      <c r="A5492" s="16" t="s">
        <v>16837</v>
      </c>
      <c r="B5492" s="17" t="s">
        <v>16838</v>
      </c>
      <c r="C5492" s="17" t="s">
        <v>11</v>
      </c>
      <c r="D5492" s="17" t="s">
        <v>186</v>
      </c>
      <c r="E5492" s="17" t="s">
        <v>20</v>
      </c>
      <c r="F5492" s="16" t="s">
        <v>16839</v>
      </c>
    </row>
    <row r="5493" spans="1:6" x14ac:dyDescent="0.25">
      <c r="A5493" s="16" t="s">
        <v>16840</v>
      </c>
      <c r="B5493" s="17" t="s">
        <v>16841</v>
      </c>
      <c r="C5493" s="17" t="s">
        <v>11</v>
      </c>
      <c r="D5493" s="17" t="s">
        <v>32</v>
      </c>
      <c r="E5493" s="17" t="s">
        <v>20</v>
      </c>
      <c r="F5493" s="16" t="s">
        <v>16842</v>
      </c>
    </row>
    <row r="5494" spans="1:6" x14ac:dyDescent="0.25">
      <c r="A5494" s="16" t="s">
        <v>16843</v>
      </c>
      <c r="B5494" s="17" t="s">
        <v>16844</v>
      </c>
      <c r="C5494" s="17" t="s">
        <v>11</v>
      </c>
      <c r="D5494" s="17" t="s">
        <v>32</v>
      </c>
      <c r="E5494" s="17" t="s">
        <v>20</v>
      </c>
      <c r="F5494" s="16" t="s">
        <v>16845</v>
      </c>
    </row>
    <row r="5495" spans="1:6" x14ac:dyDescent="0.25">
      <c r="A5495" s="16" t="s">
        <v>16846</v>
      </c>
      <c r="B5495" s="17" t="s">
        <v>16847</v>
      </c>
      <c r="C5495" s="17" t="s">
        <v>11</v>
      </c>
      <c r="D5495" s="17" t="s">
        <v>32</v>
      </c>
      <c r="E5495" s="17" t="s">
        <v>20</v>
      </c>
      <c r="F5495" s="16" t="s">
        <v>16848</v>
      </c>
    </row>
    <row r="5496" spans="1:6" x14ac:dyDescent="0.25">
      <c r="A5496" s="16" t="s">
        <v>16849</v>
      </c>
      <c r="B5496" s="17" t="s">
        <v>16850</v>
      </c>
      <c r="C5496" s="17" t="s">
        <v>11</v>
      </c>
      <c r="D5496" s="17" t="s">
        <v>32</v>
      </c>
      <c r="E5496" s="17" t="s">
        <v>20</v>
      </c>
      <c r="F5496" s="16" t="s">
        <v>16851</v>
      </c>
    </row>
    <row r="5497" spans="1:6" x14ac:dyDescent="0.25">
      <c r="A5497" s="16" t="s">
        <v>16852</v>
      </c>
      <c r="B5497" s="17" t="s">
        <v>16853</v>
      </c>
      <c r="C5497" s="17" t="s">
        <v>11</v>
      </c>
      <c r="D5497" s="17" t="s">
        <v>12</v>
      </c>
      <c r="E5497" s="17" t="s">
        <v>13</v>
      </c>
      <c r="F5497" s="16" t="s">
        <v>16854</v>
      </c>
    </row>
    <row r="5498" spans="1:6" x14ac:dyDescent="0.25">
      <c r="A5498" s="16" t="s">
        <v>16855</v>
      </c>
      <c r="B5498" s="17" t="s">
        <v>16856</v>
      </c>
      <c r="C5498" s="17" t="s">
        <v>11</v>
      </c>
      <c r="D5498" s="17" t="s">
        <v>12</v>
      </c>
      <c r="E5498" s="17" t="s">
        <v>13</v>
      </c>
      <c r="F5498" s="16" t="s">
        <v>16857</v>
      </c>
    </row>
    <row r="5499" spans="1:6" x14ac:dyDescent="0.25">
      <c r="A5499" s="16" t="s">
        <v>16858</v>
      </c>
      <c r="B5499" s="17" t="s">
        <v>16859</v>
      </c>
      <c r="C5499" s="17" t="s">
        <v>11</v>
      </c>
      <c r="D5499" s="17" t="s">
        <v>83</v>
      </c>
      <c r="E5499" s="17" t="s">
        <v>20</v>
      </c>
      <c r="F5499" s="16" t="s">
        <v>16860</v>
      </c>
    </row>
    <row r="5500" spans="1:6" x14ac:dyDescent="0.25">
      <c r="A5500" s="16" t="s">
        <v>16861</v>
      </c>
      <c r="B5500" s="17" t="s">
        <v>16862</v>
      </c>
      <c r="C5500" s="17" t="s">
        <v>11</v>
      </c>
      <c r="D5500" s="17" t="s">
        <v>32</v>
      </c>
      <c r="E5500" s="17" t="s">
        <v>20</v>
      </c>
      <c r="F5500" s="16" t="s">
        <v>16863</v>
      </c>
    </row>
    <row r="5501" spans="1:6" x14ac:dyDescent="0.25">
      <c r="A5501" s="16" t="s">
        <v>16864</v>
      </c>
      <c r="B5501" s="17" t="s">
        <v>16865</v>
      </c>
      <c r="C5501" s="17" t="s">
        <v>11</v>
      </c>
      <c r="D5501" s="17" t="s">
        <v>19</v>
      </c>
      <c r="E5501" s="17" t="s">
        <v>20</v>
      </c>
      <c r="F5501" s="16" t="s">
        <v>16866</v>
      </c>
    </row>
    <row r="5502" spans="1:6" x14ac:dyDescent="0.25">
      <c r="A5502" s="16" t="s">
        <v>16867</v>
      </c>
      <c r="B5502" s="17" t="s">
        <v>16868</v>
      </c>
      <c r="C5502" s="17" t="s">
        <v>11</v>
      </c>
      <c r="D5502" s="17" t="s">
        <v>83</v>
      </c>
      <c r="E5502" s="17" t="s">
        <v>20</v>
      </c>
      <c r="F5502" s="16" t="s">
        <v>16869</v>
      </c>
    </row>
    <row r="5503" spans="1:6" x14ac:dyDescent="0.25">
      <c r="A5503" s="16" t="s">
        <v>16870</v>
      </c>
      <c r="B5503" s="17" t="s">
        <v>16871</v>
      </c>
      <c r="C5503" s="17" t="s">
        <v>11</v>
      </c>
      <c r="D5503" s="17" t="s">
        <v>12</v>
      </c>
      <c r="E5503" s="17" t="s">
        <v>13</v>
      </c>
      <c r="F5503" s="16" t="s">
        <v>16872</v>
      </c>
    </row>
    <row r="5504" spans="1:6" x14ac:dyDescent="0.25">
      <c r="A5504" s="16" t="s">
        <v>16873</v>
      </c>
      <c r="B5504" s="17" t="s">
        <v>16874</v>
      </c>
      <c r="C5504" s="17" t="s">
        <v>11</v>
      </c>
      <c r="D5504" s="17" t="s">
        <v>12</v>
      </c>
      <c r="E5504" s="17" t="s">
        <v>13</v>
      </c>
      <c r="F5504" s="16" t="s">
        <v>16875</v>
      </c>
    </row>
    <row r="5505" spans="1:6" x14ac:dyDescent="0.25">
      <c r="A5505" s="16" t="s">
        <v>16876</v>
      </c>
      <c r="B5505" s="17" t="s">
        <v>16877</v>
      </c>
      <c r="C5505" s="17" t="s">
        <v>11</v>
      </c>
      <c r="D5505" s="17" t="s">
        <v>83</v>
      </c>
      <c r="E5505" s="17" t="s">
        <v>20</v>
      </c>
      <c r="F5505" s="16" t="s">
        <v>16878</v>
      </c>
    </row>
    <row r="5506" spans="1:6" x14ac:dyDescent="0.25">
      <c r="A5506" s="16" t="s">
        <v>16879</v>
      </c>
      <c r="B5506" s="17" t="s">
        <v>16880</v>
      </c>
      <c r="C5506" s="17" t="s">
        <v>11</v>
      </c>
      <c r="D5506" s="17" t="s">
        <v>182</v>
      </c>
      <c r="E5506" s="17" t="s">
        <v>20</v>
      </c>
      <c r="F5506" s="16" t="s">
        <v>16881</v>
      </c>
    </row>
    <row r="5507" spans="1:6" x14ac:dyDescent="0.25">
      <c r="A5507" s="16" t="s">
        <v>16882</v>
      </c>
      <c r="B5507" s="17" t="s">
        <v>16883</v>
      </c>
      <c r="C5507" s="17" t="s">
        <v>11</v>
      </c>
      <c r="D5507" s="17" t="s">
        <v>12</v>
      </c>
      <c r="E5507" s="17" t="s">
        <v>13</v>
      </c>
      <c r="F5507" s="16" t="s">
        <v>16884</v>
      </c>
    </row>
    <row r="5508" spans="1:6" x14ac:dyDescent="0.25">
      <c r="A5508" s="16" t="s">
        <v>16885</v>
      </c>
      <c r="B5508" s="17" t="s">
        <v>16886</v>
      </c>
      <c r="C5508" s="17" t="s">
        <v>11</v>
      </c>
      <c r="D5508" s="17" t="s">
        <v>649</v>
      </c>
      <c r="E5508" s="17" t="s">
        <v>20</v>
      </c>
      <c r="F5508" s="16" t="s">
        <v>16887</v>
      </c>
    </row>
    <row r="5509" spans="1:6" x14ac:dyDescent="0.25">
      <c r="A5509" s="16" t="s">
        <v>16888</v>
      </c>
      <c r="B5509" s="17" t="s">
        <v>16889</v>
      </c>
      <c r="C5509" s="17" t="s">
        <v>11</v>
      </c>
      <c r="D5509" s="17" t="s">
        <v>12</v>
      </c>
      <c r="E5509" s="17" t="s">
        <v>13</v>
      </c>
      <c r="F5509" s="16" t="s">
        <v>16890</v>
      </c>
    </row>
    <row r="5510" spans="1:6" x14ac:dyDescent="0.25">
      <c r="A5510" s="16" t="s">
        <v>16891</v>
      </c>
      <c r="B5510" s="17" t="s">
        <v>16892</v>
      </c>
      <c r="C5510" s="17" t="s">
        <v>11</v>
      </c>
      <c r="D5510" s="17" t="s">
        <v>12</v>
      </c>
      <c r="E5510" s="17" t="s">
        <v>13</v>
      </c>
      <c r="F5510" s="16" t="s">
        <v>16893</v>
      </c>
    </row>
    <row r="5511" spans="1:6" x14ac:dyDescent="0.25">
      <c r="A5511" s="16" t="s">
        <v>16894</v>
      </c>
      <c r="B5511" s="17" t="s">
        <v>16895</v>
      </c>
      <c r="C5511" s="17" t="s">
        <v>11</v>
      </c>
      <c r="D5511" s="17" t="s">
        <v>89</v>
      </c>
      <c r="E5511" s="17" t="s">
        <v>20</v>
      </c>
      <c r="F5511" s="16" t="s">
        <v>16896</v>
      </c>
    </row>
    <row r="5512" spans="1:6" x14ac:dyDescent="0.25">
      <c r="A5512" s="16" t="s">
        <v>16897</v>
      </c>
      <c r="B5512" s="17" t="s">
        <v>16898</v>
      </c>
      <c r="C5512" s="17" t="s">
        <v>11</v>
      </c>
      <c r="D5512" s="17" t="s">
        <v>570</v>
      </c>
      <c r="E5512" s="17" t="s">
        <v>20</v>
      </c>
      <c r="F5512" s="16" t="s">
        <v>16899</v>
      </c>
    </row>
    <row r="5513" spans="1:6" x14ac:dyDescent="0.25">
      <c r="A5513" s="16" t="s">
        <v>16900</v>
      </c>
      <c r="B5513" s="17" t="s">
        <v>16901</v>
      </c>
      <c r="C5513" s="17" t="s">
        <v>11</v>
      </c>
      <c r="D5513" s="17" t="s">
        <v>544</v>
      </c>
      <c r="E5513" s="17" t="s">
        <v>20</v>
      </c>
      <c r="F5513" s="16" t="s">
        <v>16902</v>
      </c>
    </row>
    <row r="5514" spans="1:6" x14ac:dyDescent="0.25">
      <c r="A5514" s="16" t="s">
        <v>16903</v>
      </c>
      <c r="B5514" s="17" t="s">
        <v>16904</v>
      </c>
      <c r="C5514" s="17" t="s">
        <v>11</v>
      </c>
      <c r="D5514" s="17" t="s">
        <v>148</v>
      </c>
      <c r="E5514" s="17" t="s">
        <v>20</v>
      </c>
      <c r="F5514" s="16" t="s">
        <v>16905</v>
      </c>
    </row>
    <row r="5515" spans="1:6" x14ac:dyDescent="0.25">
      <c r="A5515" s="16" t="s">
        <v>16906</v>
      </c>
      <c r="B5515" s="17" t="s">
        <v>16907</v>
      </c>
      <c r="C5515" s="17" t="s">
        <v>11</v>
      </c>
      <c r="D5515" s="17" t="s">
        <v>32</v>
      </c>
      <c r="E5515" s="17" t="s">
        <v>20</v>
      </c>
      <c r="F5515" s="16" t="s">
        <v>16908</v>
      </c>
    </row>
    <row r="5516" spans="1:6" x14ac:dyDescent="0.25">
      <c r="A5516" s="16" t="s">
        <v>16909</v>
      </c>
      <c r="B5516" s="17" t="s">
        <v>16910</v>
      </c>
      <c r="C5516" s="17" t="s">
        <v>11</v>
      </c>
      <c r="D5516" s="17" t="s">
        <v>32</v>
      </c>
      <c r="E5516" s="17" t="s">
        <v>20</v>
      </c>
      <c r="F5516" s="16" t="s">
        <v>16911</v>
      </c>
    </row>
    <row r="5517" spans="1:6" x14ac:dyDescent="0.25">
      <c r="A5517" s="16" t="s">
        <v>16912</v>
      </c>
      <c r="B5517" s="17" t="s">
        <v>16913</v>
      </c>
      <c r="C5517" s="17" t="s">
        <v>11</v>
      </c>
      <c r="D5517" s="17" t="s">
        <v>26</v>
      </c>
      <c r="E5517" s="17" t="s">
        <v>20</v>
      </c>
      <c r="F5517" s="16" t="s">
        <v>16914</v>
      </c>
    </row>
    <row r="5518" spans="1:6" x14ac:dyDescent="0.25">
      <c r="A5518" s="16" t="s">
        <v>16915</v>
      </c>
      <c r="B5518" s="17" t="s">
        <v>16916</v>
      </c>
      <c r="C5518" s="17" t="s">
        <v>11</v>
      </c>
      <c r="D5518" s="17" t="s">
        <v>32</v>
      </c>
      <c r="E5518" s="17" t="s">
        <v>20</v>
      </c>
      <c r="F5518" s="16" t="s">
        <v>16917</v>
      </c>
    </row>
    <row r="5519" spans="1:6" x14ac:dyDescent="0.25">
      <c r="A5519" s="16" t="s">
        <v>16918</v>
      </c>
      <c r="B5519" s="17" t="s">
        <v>16919</v>
      </c>
      <c r="C5519" s="17" t="s">
        <v>11</v>
      </c>
      <c r="D5519" s="17" t="s">
        <v>32</v>
      </c>
      <c r="E5519" s="17" t="s">
        <v>20</v>
      </c>
      <c r="F5519" s="16" t="s">
        <v>16920</v>
      </c>
    </row>
    <row r="5520" spans="1:6" x14ac:dyDescent="0.25">
      <c r="A5520" s="16" t="s">
        <v>16921</v>
      </c>
      <c r="B5520" s="17" t="s">
        <v>16922</v>
      </c>
      <c r="C5520" s="17" t="s">
        <v>1235</v>
      </c>
      <c r="D5520" s="17" t="s">
        <v>3377</v>
      </c>
      <c r="E5520" s="17" t="s">
        <v>1237</v>
      </c>
      <c r="F5520" s="16" t="s">
        <v>16923</v>
      </c>
    </row>
    <row r="5521" spans="1:6" x14ac:dyDescent="0.25">
      <c r="A5521" s="16" t="s">
        <v>16924</v>
      </c>
      <c r="B5521" s="17" t="s">
        <v>16925</v>
      </c>
      <c r="C5521" s="17" t="s">
        <v>11</v>
      </c>
      <c r="D5521" s="17" t="s">
        <v>80</v>
      </c>
      <c r="E5521" s="17" t="s">
        <v>20</v>
      </c>
      <c r="F5521" s="16" t="s">
        <v>16926</v>
      </c>
    </row>
    <row r="5522" spans="1:6" x14ac:dyDescent="0.25">
      <c r="A5522" s="16" t="s">
        <v>16927</v>
      </c>
      <c r="B5522" s="17" t="s">
        <v>16928</v>
      </c>
      <c r="C5522" s="17" t="s">
        <v>11</v>
      </c>
      <c r="D5522" s="17" t="s">
        <v>32</v>
      </c>
      <c r="E5522" s="17" t="s">
        <v>20</v>
      </c>
      <c r="F5522" s="16" t="s">
        <v>16929</v>
      </c>
    </row>
    <row r="5523" spans="1:6" x14ac:dyDescent="0.25">
      <c r="A5523" s="16" t="s">
        <v>16930</v>
      </c>
      <c r="B5523" s="17" t="s">
        <v>16931</v>
      </c>
      <c r="C5523" s="17" t="s">
        <v>11</v>
      </c>
      <c r="D5523" s="17" t="s">
        <v>12</v>
      </c>
      <c r="E5523" s="17" t="s">
        <v>13</v>
      </c>
      <c r="F5523" s="16" t="s">
        <v>16932</v>
      </c>
    </row>
    <row r="5524" spans="1:6" x14ac:dyDescent="0.25">
      <c r="A5524" s="16" t="s">
        <v>16933</v>
      </c>
      <c r="B5524" s="17" t="s">
        <v>16934</v>
      </c>
      <c r="C5524" s="17" t="s">
        <v>11</v>
      </c>
      <c r="D5524" s="17" t="s">
        <v>12</v>
      </c>
      <c r="E5524" s="17" t="s">
        <v>13</v>
      </c>
      <c r="F5524" s="16" t="s">
        <v>16935</v>
      </c>
    </row>
    <row r="5525" spans="1:6" x14ac:dyDescent="0.25">
      <c r="A5525" s="16" t="s">
        <v>16936</v>
      </c>
      <c r="B5525" s="17" t="s">
        <v>16937</v>
      </c>
      <c r="C5525" s="17" t="s">
        <v>11</v>
      </c>
      <c r="D5525" s="17" t="s">
        <v>83</v>
      </c>
      <c r="E5525" s="17" t="s">
        <v>20</v>
      </c>
      <c r="F5525" s="16" t="s">
        <v>16938</v>
      </c>
    </row>
    <row r="5526" spans="1:6" x14ac:dyDescent="0.25">
      <c r="A5526" s="16" t="s">
        <v>16939</v>
      </c>
      <c r="B5526" s="17" t="s">
        <v>16940</v>
      </c>
      <c r="C5526" s="17" t="s">
        <v>11</v>
      </c>
      <c r="D5526" s="17" t="s">
        <v>74</v>
      </c>
      <c r="E5526" s="17" t="s">
        <v>20</v>
      </c>
      <c r="F5526" s="16" t="s">
        <v>16941</v>
      </c>
    </row>
    <row r="5527" spans="1:6" x14ac:dyDescent="0.25">
      <c r="A5527" s="16" t="s">
        <v>16942</v>
      </c>
      <c r="B5527" s="17" t="s">
        <v>16943</v>
      </c>
      <c r="C5527" s="17" t="s">
        <v>11</v>
      </c>
      <c r="D5527" s="17" t="s">
        <v>32</v>
      </c>
      <c r="E5527" s="17" t="s">
        <v>20</v>
      </c>
      <c r="F5527" s="16" t="s">
        <v>16944</v>
      </c>
    </row>
    <row r="5528" spans="1:6" x14ac:dyDescent="0.25">
      <c r="A5528" s="16" t="s">
        <v>16945</v>
      </c>
      <c r="B5528" s="17" t="s">
        <v>16946</v>
      </c>
      <c r="C5528" s="17" t="s">
        <v>11</v>
      </c>
      <c r="D5528" s="17" t="s">
        <v>26</v>
      </c>
      <c r="E5528" s="17" t="s">
        <v>20</v>
      </c>
      <c r="F5528" s="16" t="s">
        <v>16947</v>
      </c>
    </row>
    <row r="5529" spans="1:6" x14ac:dyDescent="0.25">
      <c r="A5529" s="16" t="s">
        <v>16948</v>
      </c>
      <c r="B5529" s="17" t="s">
        <v>16949</v>
      </c>
      <c r="C5529" s="17" t="s">
        <v>11</v>
      </c>
      <c r="D5529" s="17" t="s">
        <v>32</v>
      </c>
      <c r="E5529" s="17" t="s">
        <v>20</v>
      </c>
      <c r="F5529" s="16" t="s">
        <v>16950</v>
      </c>
    </row>
    <row r="5530" spans="1:6" x14ac:dyDescent="0.25">
      <c r="A5530" s="16" t="s">
        <v>16951</v>
      </c>
      <c r="B5530" s="17" t="s">
        <v>16952</v>
      </c>
      <c r="C5530" s="17" t="s">
        <v>11</v>
      </c>
      <c r="D5530" s="17" t="s">
        <v>12</v>
      </c>
      <c r="E5530" s="17" t="s">
        <v>13</v>
      </c>
      <c r="F5530" s="16" t="s">
        <v>16953</v>
      </c>
    </row>
    <row r="5531" spans="1:6" x14ac:dyDescent="0.25">
      <c r="A5531" s="16" t="s">
        <v>16954</v>
      </c>
      <c r="B5531" s="17" t="s">
        <v>16955</v>
      </c>
      <c r="C5531" s="17" t="s">
        <v>11</v>
      </c>
      <c r="D5531" s="17" t="s">
        <v>12</v>
      </c>
      <c r="E5531" s="17" t="s">
        <v>13</v>
      </c>
      <c r="F5531" s="16" t="s">
        <v>16956</v>
      </c>
    </row>
    <row r="5532" spans="1:6" x14ac:dyDescent="0.25">
      <c r="A5532" s="16" t="s">
        <v>16957</v>
      </c>
      <c r="B5532" s="17" t="s">
        <v>16958</v>
      </c>
      <c r="C5532" s="17" t="s">
        <v>11</v>
      </c>
      <c r="D5532" s="17" t="s">
        <v>32</v>
      </c>
      <c r="E5532" s="17" t="s">
        <v>20</v>
      </c>
      <c r="F5532" s="16" t="s">
        <v>16959</v>
      </c>
    </row>
    <row r="5533" spans="1:6" x14ac:dyDescent="0.25">
      <c r="A5533" s="16" t="s">
        <v>16960</v>
      </c>
      <c r="B5533" s="17" t="s">
        <v>16961</v>
      </c>
      <c r="C5533" s="17" t="s">
        <v>11</v>
      </c>
      <c r="D5533" s="17" t="s">
        <v>186</v>
      </c>
      <c r="E5533" s="17" t="s">
        <v>20</v>
      </c>
      <c r="F5533" s="16" t="s">
        <v>16962</v>
      </c>
    </row>
    <row r="5534" spans="1:6" x14ac:dyDescent="0.25">
      <c r="A5534" s="16" t="s">
        <v>16963</v>
      </c>
      <c r="B5534" s="17" t="s">
        <v>16964</v>
      </c>
      <c r="C5534" s="17" t="s">
        <v>11</v>
      </c>
      <c r="D5534" s="17" t="s">
        <v>12</v>
      </c>
      <c r="E5534" s="17" t="s">
        <v>13</v>
      </c>
      <c r="F5534" s="16" t="s">
        <v>16965</v>
      </c>
    </row>
    <row r="5535" spans="1:6" x14ac:dyDescent="0.25">
      <c r="A5535" s="16" t="s">
        <v>16966</v>
      </c>
      <c r="B5535" s="17" t="s">
        <v>16967</v>
      </c>
      <c r="C5535" s="17" t="s">
        <v>11</v>
      </c>
      <c r="D5535" s="17" t="s">
        <v>32</v>
      </c>
      <c r="E5535" s="17" t="s">
        <v>20</v>
      </c>
      <c r="F5535" s="16" t="s">
        <v>16968</v>
      </c>
    </row>
    <row r="5536" spans="1:6" x14ac:dyDescent="0.25">
      <c r="A5536" s="16" t="s">
        <v>16969</v>
      </c>
      <c r="B5536" s="17" t="s">
        <v>16970</v>
      </c>
      <c r="C5536" s="17" t="s">
        <v>11</v>
      </c>
      <c r="D5536" s="17" t="s">
        <v>12</v>
      </c>
      <c r="E5536" s="17" t="s">
        <v>13</v>
      </c>
      <c r="F5536" s="16" t="s">
        <v>16971</v>
      </c>
    </row>
    <row r="5537" spans="1:6" x14ac:dyDescent="0.25">
      <c r="A5537" s="16" t="s">
        <v>16972</v>
      </c>
      <c r="B5537" s="17" t="s">
        <v>16973</v>
      </c>
      <c r="C5537" s="17" t="s">
        <v>11</v>
      </c>
      <c r="D5537" s="17" t="s">
        <v>59</v>
      </c>
      <c r="E5537" s="17" t="s">
        <v>13</v>
      </c>
      <c r="F5537" s="16" t="s">
        <v>16974</v>
      </c>
    </row>
    <row r="5538" spans="1:6" x14ac:dyDescent="0.25">
      <c r="A5538" s="16" t="s">
        <v>16975</v>
      </c>
      <c r="B5538" s="17" t="s">
        <v>16976</v>
      </c>
      <c r="C5538" s="17" t="s">
        <v>11</v>
      </c>
      <c r="D5538" s="17" t="s">
        <v>12</v>
      </c>
      <c r="E5538" s="17" t="s">
        <v>13</v>
      </c>
      <c r="F5538" s="16" t="s">
        <v>16977</v>
      </c>
    </row>
    <row r="5539" spans="1:6" x14ac:dyDescent="0.25">
      <c r="A5539" s="16" t="s">
        <v>16978</v>
      </c>
      <c r="B5539" s="17" t="s">
        <v>16979</v>
      </c>
      <c r="C5539" s="17" t="s">
        <v>11</v>
      </c>
      <c r="D5539" s="17" t="s">
        <v>649</v>
      </c>
      <c r="E5539" s="17" t="s">
        <v>20</v>
      </c>
      <c r="F5539" s="16" t="s">
        <v>16980</v>
      </c>
    </row>
    <row r="5540" spans="1:6" x14ac:dyDescent="0.25">
      <c r="A5540" s="16" t="s">
        <v>16981</v>
      </c>
      <c r="B5540" s="17" t="s">
        <v>16982</v>
      </c>
      <c r="C5540" s="17" t="s">
        <v>11</v>
      </c>
      <c r="D5540" s="17" t="s">
        <v>1337</v>
      </c>
      <c r="E5540" s="17" t="s">
        <v>1299</v>
      </c>
      <c r="F5540" s="16" t="s">
        <v>16983</v>
      </c>
    </row>
    <row r="5541" spans="1:6" x14ac:dyDescent="0.25">
      <c r="A5541" s="16" t="s">
        <v>16984</v>
      </c>
      <c r="B5541" s="17" t="s">
        <v>16985</v>
      </c>
      <c r="C5541" s="17" t="s">
        <v>1235</v>
      </c>
      <c r="D5541" s="17" t="s">
        <v>12527</v>
      </c>
      <c r="E5541" s="17" t="s">
        <v>1237</v>
      </c>
      <c r="F5541" s="16" t="s">
        <v>16986</v>
      </c>
    </row>
    <row r="5542" spans="1:6" x14ac:dyDescent="0.25">
      <c r="A5542" s="16" t="s">
        <v>16987</v>
      </c>
      <c r="B5542" s="17" t="s">
        <v>16988</v>
      </c>
      <c r="C5542" s="17" t="s">
        <v>11</v>
      </c>
      <c r="D5542" s="17" t="s">
        <v>32</v>
      </c>
      <c r="E5542" s="17" t="s">
        <v>20</v>
      </c>
      <c r="F5542" s="16" t="s">
        <v>16989</v>
      </c>
    </row>
    <row r="5543" spans="1:6" x14ac:dyDescent="0.25">
      <c r="A5543" s="16" t="s">
        <v>16990</v>
      </c>
      <c r="B5543" s="17" t="s">
        <v>16991</v>
      </c>
      <c r="C5543" s="17" t="s">
        <v>11</v>
      </c>
      <c r="D5543" s="17" t="s">
        <v>3463</v>
      </c>
      <c r="E5543" s="17" t="s">
        <v>1299</v>
      </c>
      <c r="F5543" s="16" t="s">
        <v>16992</v>
      </c>
    </row>
    <row r="5544" spans="1:6" x14ac:dyDescent="0.25">
      <c r="A5544" s="16" t="s">
        <v>16993</v>
      </c>
      <c r="B5544" s="17" t="s">
        <v>16994</v>
      </c>
      <c r="C5544" s="17" t="s">
        <v>11</v>
      </c>
      <c r="D5544" s="17" t="s">
        <v>12</v>
      </c>
      <c r="E5544" s="17" t="s">
        <v>13</v>
      </c>
      <c r="F5544" s="16" t="s">
        <v>16995</v>
      </c>
    </row>
    <row r="5545" spans="1:6" x14ac:dyDescent="0.25">
      <c r="A5545" s="16" t="s">
        <v>16996</v>
      </c>
      <c r="B5545" s="17" t="s">
        <v>16997</v>
      </c>
      <c r="C5545" s="17" t="s">
        <v>11</v>
      </c>
      <c r="D5545" s="17" t="s">
        <v>186</v>
      </c>
      <c r="E5545" s="17" t="s">
        <v>20</v>
      </c>
      <c r="F5545" s="16" t="s">
        <v>16998</v>
      </c>
    </row>
    <row r="5546" spans="1:6" x14ac:dyDescent="0.25">
      <c r="A5546" s="16" t="s">
        <v>16999</v>
      </c>
      <c r="B5546" s="17" t="s">
        <v>17000</v>
      </c>
      <c r="C5546" s="17" t="s">
        <v>11</v>
      </c>
      <c r="D5546" s="17" t="s">
        <v>32</v>
      </c>
      <c r="E5546" s="17" t="s">
        <v>20</v>
      </c>
      <c r="F5546" s="16" t="s">
        <v>17001</v>
      </c>
    </row>
    <row r="5547" spans="1:6" x14ac:dyDescent="0.25">
      <c r="A5547" s="16" t="s">
        <v>17002</v>
      </c>
      <c r="B5547" s="17" t="s">
        <v>17003</v>
      </c>
      <c r="C5547" s="17" t="s">
        <v>11</v>
      </c>
      <c r="D5547" s="17" t="s">
        <v>74</v>
      </c>
      <c r="E5547" s="17" t="s">
        <v>20</v>
      </c>
      <c r="F5547" s="16" t="s">
        <v>17004</v>
      </c>
    </row>
    <row r="5548" spans="1:6" x14ac:dyDescent="0.25">
      <c r="A5548" s="16" t="s">
        <v>17005</v>
      </c>
      <c r="B5548" s="17" t="s">
        <v>17006</v>
      </c>
      <c r="C5548" s="17" t="s">
        <v>11</v>
      </c>
      <c r="D5548" s="17" t="s">
        <v>12</v>
      </c>
      <c r="E5548" s="17" t="s">
        <v>13</v>
      </c>
      <c r="F5548" s="16" t="s">
        <v>17007</v>
      </c>
    </row>
    <row r="5549" spans="1:6" x14ac:dyDescent="0.25">
      <c r="A5549" s="16" t="s">
        <v>17008</v>
      </c>
      <c r="B5549" s="17" t="s">
        <v>17009</v>
      </c>
      <c r="C5549" s="17" t="s">
        <v>11</v>
      </c>
      <c r="D5549" s="17" t="s">
        <v>12</v>
      </c>
      <c r="E5549" s="17" t="s">
        <v>13</v>
      </c>
      <c r="F5549" s="16" t="s">
        <v>17010</v>
      </c>
    </row>
    <row r="5550" spans="1:6" x14ac:dyDescent="0.25">
      <c r="A5550" s="16" t="s">
        <v>17011</v>
      </c>
      <c r="B5550" s="17" t="s">
        <v>17012</v>
      </c>
      <c r="C5550" s="17" t="s">
        <v>11</v>
      </c>
      <c r="D5550" s="17" t="s">
        <v>32</v>
      </c>
      <c r="E5550" s="17" t="s">
        <v>20</v>
      </c>
      <c r="F5550" s="16" t="s">
        <v>17013</v>
      </c>
    </row>
    <row r="5551" spans="1:6" x14ac:dyDescent="0.25">
      <c r="A5551" s="16" t="s">
        <v>17014</v>
      </c>
      <c r="B5551" s="17" t="s">
        <v>17015</v>
      </c>
      <c r="C5551" s="17" t="s">
        <v>11</v>
      </c>
      <c r="D5551" s="17" t="s">
        <v>12</v>
      </c>
      <c r="E5551" s="17" t="s">
        <v>13</v>
      </c>
      <c r="F5551" s="16" t="s">
        <v>17016</v>
      </c>
    </row>
    <row r="5552" spans="1:6" x14ac:dyDescent="0.25">
      <c r="A5552" s="16" t="s">
        <v>17017</v>
      </c>
      <c r="B5552" s="17" t="s">
        <v>17018</v>
      </c>
      <c r="C5552" s="17" t="s">
        <v>11</v>
      </c>
      <c r="D5552" s="17" t="s">
        <v>186</v>
      </c>
      <c r="E5552" s="17" t="s">
        <v>20</v>
      </c>
      <c r="F5552" s="16" t="s">
        <v>17019</v>
      </c>
    </row>
    <row r="5553" spans="1:6" x14ac:dyDescent="0.25">
      <c r="A5553" s="16" t="s">
        <v>17020</v>
      </c>
      <c r="B5553" s="17" t="s">
        <v>17021</v>
      </c>
      <c r="C5553" s="17" t="s">
        <v>11</v>
      </c>
      <c r="D5553" s="17" t="s">
        <v>182</v>
      </c>
      <c r="E5553" s="17" t="s">
        <v>20</v>
      </c>
      <c r="F5553" s="16" t="s">
        <v>17022</v>
      </c>
    </row>
    <row r="5554" spans="1:6" x14ac:dyDescent="0.25">
      <c r="A5554" s="16" t="s">
        <v>17023</v>
      </c>
      <c r="B5554" s="17" t="s">
        <v>17024</v>
      </c>
      <c r="C5554" s="17" t="s">
        <v>11</v>
      </c>
      <c r="D5554" s="17" t="s">
        <v>12</v>
      </c>
      <c r="E5554" s="17" t="s">
        <v>13</v>
      </c>
      <c r="F5554" s="16" t="s">
        <v>17025</v>
      </c>
    </row>
    <row r="5555" spans="1:6" x14ac:dyDescent="0.25">
      <c r="A5555" s="16" t="s">
        <v>17026</v>
      </c>
      <c r="B5555" s="17" t="s">
        <v>17027</v>
      </c>
      <c r="C5555" s="17" t="s">
        <v>1235</v>
      </c>
      <c r="D5555" s="17" t="s">
        <v>17028</v>
      </c>
      <c r="E5555" s="17" t="s">
        <v>1237</v>
      </c>
      <c r="F5555" s="16" t="s">
        <v>17029</v>
      </c>
    </row>
    <row r="5556" spans="1:6" x14ac:dyDescent="0.25">
      <c r="A5556" s="16" t="s">
        <v>17030</v>
      </c>
      <c r="B5556" s="17" t="s">
        <v>17031</v>
      </c>
      <c r="C5556" s="17" t="s">
        <v>11</v>
      </c>
      <c r="D5556" s="17" t="s">
        <v>74</v>
      </c>
      <c r="E5556" s="17" t="s">
        <v>20</v>
      </c>
      <c r="F5556" s="16" t="s">
        <v>17032</v>
      </c>
    </row>
    <row r="5557" spans="1:6" x14ac:dyDescent="0.25">
      <c r="A5557" s="16" t="s">
        <v>17033</v>
      </c>
      <c r="B5557" s="17" t="s">
        <v>17034</v>
      </c>
      <c r="C5557" s="17" t="s">
        <v>11</v>
      </c>
      <c r="D5557" s="17" t="s">
        <v>148</v>
      </c>
      <c r="E5557" s="17" t="s">
        <v>20</v>
      </c>
      <c r="F5557" s="16" t="s">
        <v>17035</v>
      </c>
    </row>
    <row r="5558" spans="1:6" x14ac:dyDescent="0.25">
      <c r="A5558" s="16" t="s">
        <v>17036</v>
      </c>
      <c r="B5558" s="17" t="s">
        <v>17037</v>
      </c>
      <c r="C5558" s="17" t="s">
        <v>11</v>
      </c>
      <c r="D5558" s="17" t="s">
        <v>26</v>
      </c>
      <c r="E5558" s="17" t="s">
        <v>20</v>
      </c>
      <c r="F5558" s="16" t="s">
        <v>17038</v>
      </c>
    </row>
    <row r="5559" spans="1:6" x14ac:dyDescent="0.25">
      <c r="A5559" s="16" t="s">
        <v>17039</v>
      </c>
      <c r="B5559" s="17" t="s">
        <v>17040</v>
      </c>
      <c r="C5559" s="17" t="s">
        <v>11</v>
      </c>
      <c r="D5559" s="17" t="s">
        <v>32</v>
      </c>
      <c r="E5559" s="17" t="s">
        <v>20</v>
      </c>
      <c r="F5559" s="16" t="s">
        <v>17041</v>
      </c>
    </row>
    <row r="5560" spans="1:6" x14ac:dyDescent="0.25">
      <c r="A5560" s="16" t="s">
        <v>17042</v>
      </c>
      <c r="B5560" s="17" t="s">
        <v>17043</v>
      </c>
      <c r="C5560" s="17" t="s">
        <v>11</v>
      </c>
      <c r="D5560" s="17" t="s">
        <v>32</v>
      </c>
      <c r="E5560" s="17" t="s">
        <v>20</v>
      </c>
      <c r="F5560" s="16" t="s">
        <v>17044</v>
      </c>
    </row>
    <row r="5561" spans="1:6" x14ac:dyDescent="0.25">
      <c r="A5561" s="16" t="s">
        <v>17045</v>
      </c>
      <c r="B5561" s="17" t="s">
        <v>17046</v>
      </c>
      <c r="C5561" s="17" t="s">
        <v>11</v>
      </c>
      <c r="D5561" s="17" t="s">
        <v>74</v>
      </c>
      <c r="E5561" s="17" t="s">
        <v>20</v>
      </c>
      <c r="F5561" s="16" t="s">
        <v>17047</v>
      </c>
    </row>
    <row r="5562" spans="1:6" x14ac:dyDescent="0.25">
      <c r="A5562" s="16" t="s">
        <v>17048</v>
      </c>
      <c r="B5562" s="17" t="s">
        <v>17049</v>
      </c>
      <c r="C5562" s="17" t="s">
        <v>11</v>
      </c>
      <c r="D5562" s="17" t="s">
        <v>250</v>
      </c>
      <c r="E5562" s="17" t="s">
        <v>20</v>
      </c>
      <c r="F5562" s="16" t="s">
        <v>17050</v>
      </c>
    </row>
    <row r="5563" spans="1:6" x14ac:dyDescent="0.25">
      <c r="A5563" s="16" t="s">
        <v>17051</v>
      </c>
      <c r="B5563" s="17" t="s">
        <v>17052</v>
      </c>
      <c r="C5563" s="17" t="s">
        <v>11</v>
      </c>
      <c r="D5563" s="17" t="s">
        <v>1337</v>
      </c>
      <c r="E5563" s="17" t="s">
        <v>1299</v>
      </c>
      <c r="F5563" s="16" t="s">
        <v>17053</v>
      </c>
    </row>
    <row r="5564" spans="1:6" x14ac:dyDescent="0.25">
      <c r="A5564" s="16" t="s">
        <v>17054</v>
      </c>
      <c r="B5564" s="17" t="s">
        <v>17055</v>
      </c>
      <c r="C5564" s="17" t="s">
        <v>11</v>
      </c>
      <c r="D5564" s="17" t="s">
        <v>32</v>
      </c>
      <c r="E5564" s="17" t="s">
        <v>20</v>
      </c>
      <c r="F5564" s="16" t="s">
        <v>17056</v>
      </c>
    </row>
    <row r="5565" spans="1:6" x14ac:dyDescent="0.25">
      <c r="A5565" s="16" t="s">
        <v>17057</v>
      </c>
      <c r="B5565" s="17" t="s">
        <v>17058</v>
      </c>
      <c r="C5565" s="17" t="s">
        <v>11</v>
      </c>
      <c r="D5565" s="17" t="s">
        <v>32</v>
      </c>
      <c r="E5565" s="17" t="s">
        <v>20</v>
      </c>
      <c r="F5565" s="16" t="s">
        <v>17059</v>
      </c>
    </row>
    <row r="5566" spans="1:6" x14ac:dyDescent="0.25">
      <c r="A5566" s="16" t="s">
        <v>17060</v>
      </c>
      <c r="B5566" s="17" t="s">
        <v>17061</v>
      </c>
      <c r="C5566" s="17" t="s">
        <v>11</v>
      </c>
      <c r="D5566" s="17" t="s">
        <v>182</v>
      </c>
      <c r="E5566" s="17" t="s">
        <v>20</v>
      </c>
      <c r="F5566" s="16" t="s">
        <v>17062</v>
      </c>
    </row>
    <row r="5567" spans="1:6" x14ac:dyDescent="0.25">
      <c r="A5567" s="16" t="s">
        <v>17063</v>
      </c>
      <c r="B5567" s="17" t="s">
        <v>17064</v>
      </c>
      <c r="C5567" s="17" t="s">
        <v>11</v>
      </c>
      <c r="D5567" s="17" t="s">
        <v>32</v>
      </c>
      <c r="E5567" s="17" t="s">
        <v>20</v>
      </c>
      <c r="F5567" s="16" t="s">
        <v>17065</v>
      </c>
    </row>
    <row r="5568" spans="1:6" x14ac:dyDescent="0.25">
      <c r="A5568" s="16" t="s">
        <v>17066</v>
      </c>
      <c r="B5568" s="17" t="s">
        <v>17067</v>
      </c>
      <c r="C5568" s="17" t="s">
        <v>11</v>
      </c>
      <c r="D5568" s="17" t="s">
        <v>74</v>
      </c>
      <c r="E5568" s="17" t="s">
        <v>20</v>
      </c>
      <c r="F5568" s="16" t="s">
        <v>17068</v>
      </c>
    </row>
    <row r="5569" spans="1:6" x14ac:dyDescent="0.25">
      <c r="A5569" s="16" t="s">
        <v>17069</v>
      </c>
      <c r="B5569" s="17" t="s">
        <v>17070</v>
      </c>
      <c r="C5569" s="17" t="s">
        <v>11</v>
      </c>
      <c r="D5569" s="17" t="s">
        <v>1337</v>
      </c>
      <c r="E5569" s="17" t="s">
        <v>1299</v>
      </c>
      <c r="F5569" s="16" t="s">
        <v>17071</v>
      </c>
    </row>
    <row r="5570" spans="1:6" x14ac:dyDescent="0.25">
      <c r="A5570" s="16" t="s">
        <v>17072</v>
      </c>
      <c r="B5570" s="17" t="s">
        <v>17073</v>
      </c>
      <c r="C5570" s="17" t="s">
        <v>11</v>
      </c>
      <c r="D5570" s="17" t="s">
        <v>32</v>
      </c>
      <c r="E5570" s="17" t="s">
        <v>20</v>
      </c>
      <c r="F5570" s="16" t="s">
        <v>17074</v>
      </c>
    </row>
    <row r="5571" spans="1:6" x14ac:dyDescent="0.25">
      <c r="A5571" s="16" t="s">
        <v>17075</v>
      </c>
      <c r="B5571" s="17" t="s">
        <v>17076</v>
      </c>
      <c r="C5571" s="17" t="s">
        <v>11</v>
      </c>
      <c r="D5571" s="17" t="s">
        <v>80</v>
      </c>
      <c r="E5571" s="17" t="s">
        <v>20</v>
      </c>
      <c r="F5571" s="16" t="s">
        <v>17077</v>
      </c>
    </row>
    <row r="5572" spans="1:6" x14ac:dyDescent="0.25">
      <c r="A5572" s="16" t="s">
        <v>17078</v>
      </c>
      <c r="B5572" s="17" t="s">
        <v>17079</v>
      </c>
      <c r="C5572" s="17" t="s">
        <v>11</v>
      </c>
      <c r="D5572" s="17" t="s">
        <v>32</v>
      </c>
      <c r="E5572" s="17" t="s">
        <v>20</v>
      </c>
      <c r="F5572" s="16" t="s">
        <v>17080</v>
      </c>
    </row>
    <row r="5573" spans="1:6" x14ac:dyDescent="0.25">
      <c r="A5573" s="16" t="s">
        <v>17081</v>
      </c>
      <c r="B5573" s="17" t="s">
        <v>17082</v>
      </c>
      <c r="C5573" s="17" t="s">
        <v>11</v>
      </c>
      <c r="D5573" s="17" t="s">
        <v>17083</v>
      </c>
      <c r="E5573" s="17" t="s">
        <v>1237</v>
      </c>
      <c r="F5573" s="16" t="s">
        <v>17084</v>
      </c>
    </row>
    <row r="5574" spans="1:6" x14ac:dyDescent="0.25">
      <c r="A5574" s="16" t="s">
        <v>17085</v>
      </c>
      <c r="B5574" s="17" t="s">
        <v>17086</v>
      </c>
      <c r="C5574" s="17" t="s">
        <v>11</v>
      </c>
      <c r="D5574" s="17" t="s">
        <v>83</v>
      </c>
      <c r="E5574" s="17" t="s">
        <v>20</v>
      </c>
      <c r="F5574" s="16" t="s">
        <v>17087</v>
      </c>
    </row>
    <row r="5575" spans="1:6" x14ac:dyDescent="0.25">
      <c r="A5575" s="16" t="s">
        <v>17088</v>
      </c>
      <c r="B5575" s="17" t="s">
        <v>17089</v>
      </c>
      <c r="C5575" s="17" t="s">
        <v>11</v>
      </c>
      <c r="D5575" s="17" t="s">
        <v>32</v>
      </c>
      <c r="E5575" s="17" t="s">
        <v>20</v>
      </c>
      <c r="F5575" s="16" t="s">
        <v>17090</v>
      </c>
    </row>
    <row r="5576" spans="1:6" x14ac:dyDescent="0.25">
      <c r="A5576" s="16" t="s">
        <v>17091</v>
      </c>
      <c r="B5576" s="17" t="s">
        <v>17092</v>
      </c>
      <c r="C5576" s="17" t="s">
        <v>11</v>
      </c>
      <c r="D5576" s="17" t="s">
        <v>32</v>
      </c>
      <c r="E5576" s="17" t="s">
        <v>20</v>
      </c>
      <c r="F5576" s="16" t="s">
        <v>17093</v>
      </c>
    </row>
    <row r="5577" spans="1:6" x14ac:dyDescent="0.25">
      <c r="A5577" s="16" t="s">
        <v>17094</v>
      </c>
      <c r="B5577" s="17" t="s">
        <v>17095</v>
      </c>
      <c r="C5577" s="17" t="s">
        <v>11</v>
      </c>
      <c r="D5577" s="17" t="s">
        <v>74</v>
      </c>
      <c r="E5577" s="17" t="s">
        <v>20</v>
      </c>
      <c r="F5577" s="16" t="s">
        <v>17096</v>
      </c>
    </row>
    <row r="5578" spans="1:6" x14ac:dyDescent="0.25">
      <c r="A5578" s="16" t="s">
        <v>17097</v>
      </c>
      <c r="B5578" s="17" t="s">
        <v>17098</v>
      </c>
      <c r="C5578" s="17" t="s">
        <v>11</v>
      </c>
      <c r="D5578" s="17" t="s">
        <v>250</v>
      </c>
      <c r="E5578" s="17" t="s">
        <v>20</v>
      </c>
      <c r="F5578" s="16" t="s">
        <v>17099</v>
      </c>
    </row>
    <row r="5579" spans="1:6" x14ac:dyDescent="0.25">
      <c r="A5579" s="16" t="s">
        <v>17100</v>
      </c>
      <c r="B5579" s="17" t="s">
        <v>17101</v>
      </c>
      <c r="C5579" s="17" t="s">
        <v>11</v>
      </c>
      <c r="D5579" s="17" t="s">
        <v>576</v>
      </c>
      <c r="E5579" s="17" t="s">
        <v>20</v>
      </c>
      <c r="F5579" s="16" t="s">
        <v>17102</v>
      </c>
    </row>
    <row r="5580" spans="1:6" x14ac:dyDescent="0.25">
      <c r="A5580" s="16" t="s">
        <v>17103</v>
      </c>
      <c r="B5580" s="17" t="s">
        <v>17104</v>
      </c>
      <c r="C5580" s="17" t="s">
        <v>11</v>
      </c>
      <c r="D5580" s="17" t="s">
        <v>74</v>
      </c>
      <c r="E5580" s="17" t="s">
        <v>20</v>
      </c>
      <c r="F5580" s="16" t="s">
        <v>17105</v>
      </c>
    </row>
    <row r="5581" spans="1:6" x14ac:dyDescent="0.25">
      <c r="A5581" s="16" t="s">
        <v>17106</v>
      </c>
      <c r="B5581" s="17" t="s">
        <v>17107</v>
      </c>
      <c r="C5581" s="17" t="s">
        <v>11</v>
      </c>
      <c r="D5581" s="17" t="s">
        <v>148</v>
      </c>
      <c r="E5581" s="17" t="s">
        <v>20</v>
      </c>
      <c r="F5581" s="16" t="s">
        <v>17108</v>
      </c>
    </row>
    <row r="5582" spans="1:6" x14ac:dyDescent="0.25">
      <c r="A5582" s="16" t="s">
        <v>17109</v>
      </c>
      <c r="B5582" s="17" t="s">
        <v>17110</v>
      </c>
      <c r="C5582" s="17" t="s">
        <v>11</v>
      </c>
      <c r="D5582" s="17" t="s">
        <v>80</v>
      </c>
      <c r="E5582" s="17" t="s">
        <v>20</v>
      </c>
      <c r="F5582" s="16" t="s">
        <v>17111</v>
      </c>
    </row>
    <row r="5583" spans="1:6" x14ac:dyDescent="0.25">
      <c r="A5583" s="16" t="s">
        <v>17112</v>
      </c>
      <c r="B5583" s="17" t="s">
        <v>17113</v>
      </c>
      <c r="C5583" s="17" t="s">
        <v>11</v>
      </c>
      <c r="D5583" s="17" t="s">
        <v>26</v>
      </c>
      <c r="E5583" s="17" t="s">
        <v>20</v>
      </c>
      <c r="F5583" s="16" t="s">
        <v>17114</v>
      </c>
    </row>
    <row r="5584" spans="1:6" x14ac:dyDescent="0.25">
      <c r="A5584" s="16" t="s">
        <v>17115</v>
      </c>
      <c r="B5584" s="17" t="s">
        <v>17116</v>
      </c>
      <c r="C5584" s="17" t="s">
        <v>11</v>
      </c>
      <c r="D5584" s="17" t="s">
        <v>80</v>
      </c>
      <c r="E5584" s="17" t="s">
        <v>20</v>
      </c>
      <c r="F5584" s="16" t="s">
        <v>17117</v>
      </c>
    </row>
    <row r="5585" spans="1:6" x14ac:dyDescent="0.25">
      <c r="A5585" s="16" t="s">
        <v>17118</v>
      </c>
      <c r="B5585" s="17" t="s">
        <v>17119</v>
      </c>
      <c r="C5585" s="17" t="s">
        <v>1235</v>
      </c>
      <c r="D5585" s="17" t="s">
        <v>17028</v>
      </c>
      <c r="E5585" s="17" t="s">
        <v>1237</v>
      </c>
      <c r="F5585" s="16" t="s">
        <v>17120</v>
      </c>
    </row>
    <row r="5586" spans="1:6" x14ac:dyDescent="0.25">
      <c r="A5586" s="16" t="s">
        <v>17121</v>
      </c>
      <c r="B5586" s="17" t="s">
        <v>17122</v>
      </c>
      <c r="C5586" s="17" t="s">
        <v>11</v>
      </c>
      <c r="D5586" s="17" t="s">
        <v>32</v>
      </c>
      <c r="E5586" s="17" t="s">
        <v>20</v>
      </c>
      <c r="F5586" s="16" t="s">
        <v>17123</v>
      </c>
    </row>
    <row r="5587" spans="1:6" x14ac:dyDescent="0.25">
      <c r="A5587" s="16" t="s">
        <v>17124</v>
      </c>
      <c r="B5587" s="17" t="s">
        <v>17125</v>
      </c>
      <c r="C5587" s="17" t="s">
        <v>359</v>
      </c>
      <c r="D5587" s="17" t="s">
        <v>26</v>
      </c>
      <c r="E5587" s="17" t="s">
        <v>20</v>
      </c>
      <c r="F5587" s="16" t="s">
        <v>17126</v>
      </c>
    </row>
    <row r="5588" spans="1:6" x14ac:dyDescent="0.25">
      <c r="A5588" s="16" t="s">
        <v>17127</v>
      </c>
      <c r="B5588" s="17" t="s">
        <v>17128</v>
      </c>
      <c r="C5588" s="17" t="s">
        <v>11</v>
      </c>
      <c r="D5588" s="17" t="s">
        <v>80</v>
      </c>
      <c r="E5588" s="17" t="s">
        <v>20</v>
      </c>
      <c r="F5588" s="16" t="s">
        <v>17129</v>
      </c>
    </row>
    <row r="5589" spans="1:6" x14ac:dyDescent="0.25">
      <c r="A5589" s="16" t="s">
        <v>17130</v>
      </c>
      <c r="B5589" s="17" t="s">
        <v>17131</v>
      </c>
      <c r="C5589" s="17" t="s">
        <v>11</v>
      </c>
      <c r="D5589" s="17" t="s">
        <v>182</v>
      </c>
      <c r="E5589" s="17" t="s">
        <v>20</v>
      </c>
      <c r="F5589" s="16" t="s">
        <v>17132</v>
      </c>
    </row>
    <row r="5590" spans="1:6" x14ac:dyDescent="0.25">
      <c r="A5590" s="16" t="s">
        <v>17133</v>
      </c>
      <c r="B5590" s="17" t="s">
        <v>17134</v>
      </c>
      <c r="C5590" s="17" t="s">
        <v>11</v>
      </c>
      <c r="D5590" s="17" t="s">
        <v>32</v>
      </c>
      <c r="E5590" s="17" t="s">
        <v>20</v>
      </c>
      <c r="F5590" s="16" t="s">
        <v>17135</v>
      </c>
    </row>
    <row r="5591" spans="1:6" x14ac:dyDescent="0.25">
      <c r="A5591" s="16" t="s">
        <v>17136</v>
      </c>
      <c r="B5591" s="17" t="s">
        <v>17137</v>
      </c>
      <c r="C5591" s="17" t="s">
        <v>11</v>
      </c>
      <c r="D5591" s="17" t="s">
        <v>32</v>
      </c>
      <c r="E5591" s="17" t="s">
        <v>20</v>
      </c>
      <c r="F5591" s="16" t="s">
        <v>17138</v>
      </c>
    </row>
    <row r="5592" spans="1:6" x14ac:dyDescent="0.25">
      <c r="A5592" s="16" t="s">
        <v>17139</v>
      </c>
      <c r="B5592" s="17" t="s">
        <v>17140</v>
      </c>
      <c r="C5592" s="17" t="s">
        <v>11</v>
      </c>
      <c r="D5592" s="17" t="s">
        <v>3346</v>
      </c>
      <c r="E5592" s="17" t="s">
        <v>20</v>
      </c>
      <c r="F5592" s="16" t="s">
        <v>17141</v>
      </c>
    </row>
    <row r="5593" spans="1:6" x14ac:dyDescent="0.25">
      <c r="A5593" s="16" t="s">
        <v>17142</v>
      </c>
      <c r="B5593" s="17" t="s">
        <v>17143</v>
      </c>
      <c r="C5593" s="17" t="s">
        <v>11</v>
      </c>
      <c r="D5593" s="17" t="s">
        <v>74</v>
      </c>
      <c r="E5593" s="17" t="s">
        <v>20</v>
      </c>
      <c r="F5593" s="16" t="s">
        <v>17144</v>
      </c>
    </row>
    <row r="5594" spans="1:6" x14ac:dyDescent="0.25">
      <c r="A5594" s="16" t="s">
        <v>17145</v>
      </c>
      <c r="B5594" s="17" t="s">
        <v>17146</v>
      </c>
      <c r="C5594" s="17" t="s">
        <v>11</v>
      </c>
      <c r="D5594" s="17" t="s">
        <v>32</v>
      </c>
      <c r="E5594" s="17" t="s">
        <v>20</v>
      </c>
      <c r="F5594" s="16" t="s">
        <v>17147</v>
      </c>
    </row>
    <row r="5595" spans="1:6" x14ac:dyDescent="0.25">
      <c r="A5595" s="16" t="s">
        <v>17148</v>
      </c>
      <c r="B5595" s="17" t="s">
        <v>17149</v>
      </c>
      <c r="C5595" s="17" t="s">
        <v>11</v>
      </c>
      <c r="D5595" s="17" t="s">
        <v>148</v>
      </c>
      <c r="E5595" s="17" t="s">
        <v>20</v>
      </c>
      <c r="F5595" s="16" t="s">
        <v>17150</v>
      </c>
    </row>
    <row r="5596" spans="1:6" x14ac:dyDescent="0.25">
      <c r="A5596" s="16" t="s">
        <v>17151</v>
      </c>
      <c r="B5596" s="17" t="s">
        <v>17152</v>
      </c>
      <c r="C5596" s="17" t="s">
        <v>11</v>
      </c>
      <c r="D5596" s="17" t="s">
        <v>26</v>
      </c>
      <c r="E5596" s="17" t="s">
        <v>20</v>
      </c>
      <c r="F5596" s="16" t="s">
        <v>17153</v>
      </c>
    </row>
    <row r="5597" spans="1:6" x14ac:dyDescent="0.25">
      <c r="A5597" s="16" t="s">
        <v>17154</v>
      </c>
      <c r="B5597" s="17" t="s">
        <v>17155</v>
      </c>
      <c r="C5597" s="17" t="s">
        <v>11</v>
      </c>
      <c r="D5597" s="17" t="s">
        <v>32</v>
      </c>
      <c r="E5597" s="17" t="s">
        <v>20</v>
      </c>
      <c r="F5597" s="16" t="s">
        <v>17156</v>
      </c>
    </row>
    <row r="5598" spans="1:6" x14ac:dyDescent="0.25">
      <c r="A5598" s="16" t="s">
        <v>17157</v>
      </c>
      <c r="B5598" s="17" t="s">
        <v>17158</v>
      </c>
      <c r="C5598" s="17" t="s">
        <v>11</v>
      </c>
      <c r="D5598" s="17" t="s">
        <v>12</v>
      </c>
      <c r="E5598" s="17" t="s">
        <v>13</v>
      </c>
      <c r="F5598" s="16" t="s">
        <v>17159</v>
      </c>
    </row>
    <row r="5599" spans="1:6" x14ac:dyDescent="0.25">
      <c r="A5599" s="16" t="s">
        <v>17160</v>
      </c>
      <c r="B5599" s="17" t="s">
        <v>17161</v>
      </c>
      <c r="C5599" s="17" t="s">
        <v>11</v>
      </c>
      <c r="D5599" s="17" t="s">
        <v>89</v>
      </c>
      <c r="E5599" s="17" t="s">
        <v>20</v>
      </c>
      <c r="F5599" s="16" t="s">
        <v>17162</v>
      </c>
    </row>
    <row r="5600" spans="1:6" x14ac:dyDescent="0.25">
      <c r="A5600" s="16" t="s">
        <v>17163</v>
      </c>
      <c r="B5600" s="17" t="s">
        <v>17164</v>
      </c>
      <c r="C5600" s="17" t="s">
        <v>11</v>
      </c>
      <c r="D5600" s="17" t="s">
        <v>32</v>
      </c>
      <c r="E5600" s="17" t="s">
        <v>20</v>
      </c>
      <c r="F5600" s="16" t="s">
        <v>17165</v>
      </c>
    </row>
    <row r="5601" spans="1:6" x14ac:dyDescent="0.25">
      <c r="A5601" s="16" t="s">
        <v>17166</v>
      </c>
      <c r="B5601" s="17" t="s">
        <v>17167</v>
      </c>
      <c r="C5601" s="17" t="s">
        <v>11</v>
      </c>
      <c r="D5601" s="17" t="s">
        <v>74</v>
      </c>
      <c r="E5601" s="17" t="s">
        <v>20</v>
      </c>
      <c r="F5601" s="16" t="s">
        <v>17168</v>
      </c>
    </row>
    <row r="5602" spans="1:6" x14ac:dyDescent="0.25">
      <c r="A5602" s="16" t="s">
        <v>17169</v>
      </c>
      <c r="B5602" s="17" t="s">
        <v>17170</v>
      </c>
      <c r="C5602" s="17" t="s">
        <v>11</v>
      </c>
      <c r="D5602" s="17" t="s">
        <v>32</v>
      </c>
      <c r="E5602" s="17" t="s">
        <v>20</v>
      </c>
      <c r="F5602" s="16" t="s">
        <v>17171</v>
      </c>
    </row>
    <row r="5603" spans="1:6" x14ac:dyDescent="0.25">
      <c r="A5603" s="16" t="s">
        <v>17172</v>
      </c>
      <c r="B5603" s="17" t="s">
        <v>17173</v>
      </c>
      <c r="C5603" s="17" t="s">
        <v>11</v>
      </c>
      <c r="D5603" s="17" t="s">
        <v>80</v>
      </c>
      <c r="E5603" s="17" t="s">
        <v>20</v>
      </c>
      <c r="F5603" s="16" t="s">
        <v>17174</v>
      </c>
    </row>
    <row r="5604" spans="1:6" x14ac:dyDescent="0.25">
      <c r="A5604" s="16" t="s">
        <v>17175</v>
      </c>
      <c r="B5604" s="17" t="s">
        <v>17176</v>
      </c>
      <c r="C5604" s="17" t="s">
        <v>11</v>
      </c>
      <c r="D5604" s="17" t="s">
        <v>74</v>
      </c>
      <c r="E5604" s="17" t="s">
        <v>20</v>
      </c>
      <c r="F5604" s="16" t="s">
        <v>17177</v>
      </c>
    </row>
    <row r="5605" spans="1:6" x14ac:dyDescent="0.25">
      <c r="A5605" s="16" t="s">
        <v>17178</v>
      </c>
      <c r="B5605" s="17" t="s">
        <v>17179</v>
      </c>
      <c r="C5605" s="17" t="s">
        <v>11</v>
      </c>
      <c r="D5605" s="17" t="s">
        <v>32</v>
      </c>
      <c r="E5605" s="17" t="s">
        <v>20</v>
      </c>
      <c r="F5605" s="16" t="s">
        <v>17180</v>
      </c>
    </row>
    <row r="5606" spans="1:6" x14ac:dyDescent="0.25">
      <c r="A5606" s="16" t="s">
        <v>17181</v>
      </c>
      <c r="B5606" s="17" t="s">
        <v>17182</v>
      </c>
      <c r="C5606" s="17" t="s">
        <v>11</v>
      </c>
      <c r="D5606" s="17" t="s">
        <v>74</v>
      </c>
      <c r="E5606" s="17" t="s">
        <v>20</v>
      </c>
      <c r="F5606" s="16" t="s">
        <v>17183</v>
      </c>
    </row>
    <row r="5607" spans="1:6" x14ac:dyDescent="0.25">
      <c r="A5607" s="16" t="s">
        <v>17184</v>
      </c>
      <c r="B5607" s="17" t="s">
        <v>17185</v>
      </c>
      <c r="C5607" s="17" t="s">
        <v>11</v>
      </c>
      <c r="D5607" s="17" t="s">
        <v>26</v>
      </c>
      <c r="E5607" s="17" t="s">
        <v>20</v>
      </c>
      <c r="F5607" s="16" t="s">
        <v>17186</v>
      </c>
    </row>
    <row r="5608" spans="1:6" x14ac:dyDescent="0.25">
      <c r="A5608" s="16" t="s">
        <v>17187</v>
      </c>
      <c r="B5608" s="17" t="s">
        <v>17188</v>
      </c>
      <c r="C5608" s="17" t="s">
        <v>11</v>
      </c>
      <c r="D5608" s="17" t="s">
        <v>83</v>
      </c>
      <c r="E5608" s="17" t="s">
        <v>20</v>
      </c>
      <c r="F5608" s="16" t="s">
        <v>17189</v>
      </c>
    </row>
    <row r="5609" spans="1:6" x14ac:dyDescent="0.25">
      <c r="A5609" s="16" t="s">
        <v>17190</v>
      </c>
      <c r="B5609" s="17" t="s">
        <v>17191</v>
      </c>
      <c r="C5609" s="17" t="s">
        <v>11</v>
      </c>
      <c r="D5609" s="17" t="s">
        <v>148</v>
      </c>
      <c r="E5609" s="17" t="s">
        <v>20</v>
      </c>
      <c r="F5609" s="16" t="s">
        <v>17192</v>
      </c>
    </row>
    <row r="5610" spans="1:6" x14ac:dyDescent="0.25">
      <c r="A5610" s="16" t="s">
        <v>17193</v>
      </c>
      <c r="B5610" s="17" t="s">
        <v>17194</v>
      </c>
      <c r="C5610" s="17" t="s">
        <v>11</v>
      </c>
      <c r="D5610" s="17" t="s">
        <v>32</v>
      </c>
      <c r="E5610" s="17" t="s">
        <v>20</v>
      </c>
      <c r="F5610" s="16" t="s">
        <v>17195</v>
      </c>
    </row>
    <row r="5611" spans="1:6" x14ac:dyDescent="0.25">
      <c r="A5611" s="16" t="s">
        <v>17196</v>
      </c>
      <c r="B5611" s="17" t="s">
        <v>17197</v>
      </c>
      <c r="C5611" s="17" t="s">
        <v>11</v>
      </c>
      <c r="D5611" s="17" t="s">
        <v>89</v>
      </c>
      <c r="E5611" s="17" t="s">
        <v>20</v>
      </c>
      <c r="F5611" s="16" t="s">
        <v>17198</v>
      </c>
    </row>
    <row r="5612" spans="1:6" x14ac:dyDescent="0.25">
      <c r="A5612" s="16" t="s">
        <v>17199</v>
      </c>
      <c r="B5612" s="17" t="s">
        <v>17200</v>
      </c>
      <c r="C5612" s="17" t="s">
        <v>11</v>
      </c>
      <c r="D5612" s="17" t="s">
        <v>80</v>
      </c>
      <c r="E5612" s="17" t="s">
        <v>20</v>
      </c>
      <c r="F5612" s="16" t="s">
        <v>17201</v>
      </c>
    </row>
    <row r="5613" spans="1:6" x14ac:dyDescent="0.25">
      <c r="A5613" s="16" t="s">
        <v>17202</v>
      </c>
      <c r="B5613" s="17" t="s">
        <v>17203</v>
      </c>
      <c r="C5613" s="17" t="s">
        <v>11</v>
      </c>
      <c r="D5613" s="17" t="s">
        <v>148</v>
      </c>
      <c r="E5613" s="17" t="s">
        <v>20</v>
      </c>
      <c r="F5613" s="16" t="s">
        <v>17204</v>
      </c>
    </row>
    <row r="5614" spans="1:6" x14ac:dyDescent="0.25">
      <c r="A5614" s="16" t="s">
        <v>17205</v>
      </c>
      <c r="B5614" s="17" t="s">
        <v>17206</v>
      </c>
      <c r="C5614" s="17" t="s">
        <v>11</v>
      </c>
      <c r="D5614" s="17" t="s">
        <v>32</v>
      </c>
      <c r="E5614" s="17" t="s">
        <v>20</v>
      </c>
      <c r="F5614" s="16" t="s">
        <v>17207</v>
      </c>
    </row>
    <row r="5615" spans="1:6" x14ac:dyDescent="0.25">
      <c r="A5615" s="16" t="s">
        <v>17208</v>
      </c>
      <c r="B5615" s="17" t="s">
        <v>17209</v>
      </c>
      <c r="C5615" s="17" t="s">
        <v>11</v>
      </c>
      <c r="D5615" s="17" t="s">
        <v>89</v>
      </c>
      <c r="E5615" s="17" t="s">
        <v>20</v>
      </c>
      <c r="F5615" s="16" t="s">
        <v>17210</v>
      </c>
    </row>
    <row r="5616" spans="1:6" x14ac:dyDescent="0.25">
      <c r="A5616" s="16" t="s">
        <v>17211</v>
      </c>
      <c r="B5616" s="17" t="s">
        <v>17212</v>
      </c>
      <c r="C5616" s="17" t="s">
        <v>11</v>
      </c>
      <c r="D5616" s="17" t="s">
        <v>32</v>
      </c>
      <c r="E5616" s="17" t="s">
        <v>20</v>
      </c>
      <c r="F5616" s="16" t="s">
        <v>17213</v>
      </c>
    </row>
    <row r="5617" spans="1:6" x14ac:dyDescent="0.25">
      <c r="A5617" s="16" t="s">
        <v>17214</v>
      </c>
      <c r="B5617" s="17" t="s">
        <v>17215</v>
      </c>
      <c r="C5617" s="17" t="s">
        <v>11</v>
      </c>
      <c r="D5617" s="17" t="s">
        <v>32</v>
      </c>
      <c r="E5617" s="17" t="s">
        <v>20</v>
      </c>
      <c r="F5617" s="16" t="s">
        <v>17216</v>
      </c>
    </row>
    <row r="5618" spans="1:6" x14ac:dyDescent="0.25">
      <c r="A5618" s="16" t="s">
        <v>17217</v>
      </c>
      <c r="B5618" s="17" t="s">
        <v>17218</v>
      </c>
      <c r="C5618" s="17" t="s">
        <v>11</v>
      </c>
      <c r="D5618" s="17" t="s">
        <v>32</v>
      </c>
      <c r="E5618" s="17" t="s">
        <v>20</v>
      </c>
      <c r="F5618" s="16" t="s">
        <v>17219</v>
      </c>
    </row>
    <row r="5619" spans="1:6" x14ac:dyDescent="0.25">
      <c r="A5619" s="16" t="s">
        <v>17220</v>
      </c>
      <c r="B5619" s="17" t="s">
        <v>17221</v>
      </c>
      <c r="C5619" s="17" t="s">
        <v>11</v>
      </c>
      <c r="D5619" s="17" t="s">
        <v>32</v>
      </c>
      <c r="E5619" s="17" t="s">
        <v>20</v>
      </c>
      <c r="F5619" s="16" t="s">
        <v>17222</v>
      </c>
    </row>
    <row r="5620" spans="1:6" x14ac:dyDescent="0.25">
      <c r="A5620" s="16" t="s">
        <v>17223</v>
      </c>
      <c r="B5620" s="17" t="s">
        <v>17224</v>
      </c>
      <c r="C5620" s="17" t="s">
        <v>11</v>
      </c>
      <c r="D5620" s="17" t="s">
        <v>32</v>
      </c>
      <c r="E5620" s="17" t="s">
        <v>20</v>
      </c>
      <c r="F5620" s="16" t="s">
        <v>17225</v>
      </c>
    </row>
    <row r="5621" spans="1:6" x14ac:dyDescent="0.25">
      <c r="A5621" s="16" t="s">
        <v>17226</v>
      </c>
      <c r="B5621" s="17" t="s">
        <v>17227</v>
      </c>
      <c r="C5621" s="17" t="s">
        <v>11</v>
      </c>
      <c r="D5621" s="17" t="s">
        <v>32</v>
      </c>
      <c r="E5621" s="17" t="s">
        <v>20</v>
      </c>
      <c r="F5621" s="16" t="s">
        <v>17228</v>
      </c>
    </row>
    <row r="5622" spans="1:6" x14ac:dyDescent="0.25">
      <c r="A5622" s="16" t="s">
        <v>17229</v>
      </c>
      <c r="B5622" s="17" t="s">
        <v>17230</v>
      </c>
      <c r="C5622" s="17" t="s">
        <v>11</v>
      </c>
      <c r="D5622" s="17" t="s">
        <v>1337</v>
      </c>
      <c r="E5622" s="17" t="s">
        <v>1299</v>
      </c>
      <c r="F5622" s="16" t="s">
        <v>17231</v>
      </c>
    </row>
    <row r="5623" spans="1:6" x14ac:dyDescent="0.25">
      <c r="A5623" s="16" t="s">
        <v>17232</v>
      </c>
      <c r="B5623" s="17" t="s">
        <v>17233</v>
      </c>
      <c r="C5623" s="17" t="s">
        <v>11</v>
      </c>
      <c r="D5623" s="17" t="s">
        <v>26</v>
      </c>
      <c r="E5623" s="17" t="s">
        <v>20</v>
      </c>
      <c r="F5623" s="16" t="s">
        <v>17234</v>
      </c>
    </row>
    <row r="5624" spans="1:6" x14ac:dyDescent="0.25">
      <c r="A5624" s="16" t="s">
        <v>17235</v>
      </c>
      <c r="B5624" s="17" t="s">
        <v>17236</v>
      </c>
      <c r="C5624" s="17" t="s">
        <v>11</v>
      </c>
      <c r="D5624" s="17" t="s">
        <v>148</v>
      </c>
      <c r="E5624" s="17" t="s">
        <v>20</v>
      </c>
      <c r="F5624" s="16" t="s">
        <v>17237</v>
      </c>
    </row>
    <row r="5625" spans="1:6" x14ac:dyDescent="0.25">
      <c r="A5625" s="16" t="s">
        <v>17238</v>
      </c>
      <c r="B5625" s="17" t="s">
        <v>17239</v>
      </c>
      <c r="C5625" s="17" t="s">
        <v>11</v>
      </c>
      <c r="D5625" s="17" t="s">
        <v>80</v>
      </c>
      <c r="E5625" s="17" t="s">
        <v>20</v>
      </c>
      <c r="F5625" s="16" t="s">
        <v>17240</v>
      </c>
    </row>
    <row r="5626" spans="1:6" x14ac:dyDescent="0.25">
      <c r="A5626" s="16" t="s">
        <v>17241</v>
      </c>
      <c r="B5626" s="17" t="s">
        <v>17242</v>
      </c>
      <c r="C5626" s="17" t="s">
        <v>11</v>
      </c>
      <c r="D5626" s="17" t="s">
        <v>12</v>
      </c>
      <c r="E5626" s="17" t="s">
        <v>13</v>
      </c>
      <c r="F5626" s="16" t="s">
        <v>17243</v>
      </c>
    </row>
    <row r="5627" spans="1:6" x14ac:dyDescent="0.25">
      <c r="A5627" s="16" t="s">
        <v>17244</v>
      </c>
      <c r="B5627" s="17" t="s">
        <v>17245</v>
      </c>
      <c r="C5627" s="17" t="s">
        <v>11</v>
      </c>
      <c r="D5627" s="17" t="s">
        <v>83</v>
      </c>
      <c r="E5627" s="17" t="s">
        <v>20</v>
      </c>
      <c r="F5627" s="16" t="s">
        <v>17246</v>
      </c>
    </row>
    <row r="5628" spans="1:6" x14ac:dyDescent="0.25">
      <c r="A5628" s="16" t="s">
        <v>17247</v>
      </c>
      <c r="B5628" s="17" t="s">
        <v>17248</v>
      </c>
      <c r="C5628" s="17" t="s">
        <v>11</v>
      </c>
      <c r="D5628" s="17" t="s">
        <v>26</v>
      </c>
      <c r="E5628" s="17" t="s">
        <v>20</v>
      </c>
      <c r="F5628" s="16" t="s">
        <v>17249</v>
      </c>
    </row>
    <row r="5629" spans="1:6" x14ac:dyDescent="0.25">
      <c r="A5629" s="16" t="s">
        <v>17250</v>
      </c>
      <c r="B5629" s="17" t="s">
        <v>17251</v>
      </c>
      <c r="C5629" s="17" t="s">
        <v>11</v>
      </c>
      <c r="D5629" s="17" t="s">
        <v>12</v>
      </c>
      <c r="E5629" s="17" t="s">
        <v>13</v>
      </c>
      <c r="F5629" s="16" t="s">
        <v>17252</v>
      </c>
    </row>
    <row r="5630" spans="1:6" x14ac:dyDescent="0.25">
      <c r="A5630" s="16" t="s">
        <v>17253</v>
      </c>
      <c r="B5630" s="17" t="s">
        <v>17254</v>
      </c>
      <c r="C5630" s="17" t="s">
        <v>11</v>
      </c>
      <c r="D5630" s="17" t="s">
        <v>80</v>
      </c>
      <c r="E5630" s="17" t="s">
        <v>20</v>
      </c>
      <c r="F5630" s="16" t="s">
        <v>17255</v>
      </c>
    </row>
    <row r="5631" spans="1:6" x14ac:dyDescent="0.25">
      <c r="A5631" s="16" t="s">
        <v>17256</v>
      </c>
      <c r="B5631" s="17" t="s">
        <v>17257</v>
      </c>
      <c r="C5631" s="17" t="s">
        <v>11</v>
      </c>
      <c r="D5631" s="17" t="s">
        <v>59</v>
      </c>
      <c r="E5631" s="17" t="s">
        <v>13</v>
      </c>
      <c r="F5631" s="16" t="s">
        <v>17258</v>
      </c>
    </row>
    <row r="5632" spans="1:6" x14ac:dyDescent="0.25">
      <c r="A5632" s="16" t="s">
        <v>17259</v>
      </c>
      <c r="B5632" s="17" t="s">
        <v>17260</v>
      </c>
      <c r="C5632" s="17" t="s">
        <v>11</v>
      </c>
      <c r="D5632" s="17" t="s">
        <v>32</v>
      </c>
      <c r="E5632" s="17" t="s">
        <v>20</v>
      </c>
      <c r="F5632" s="16" t="s">
        <v>17261</v>
      </c>
    </row>
    <row r="5633" spans="1:6" x14ac:dyDescent="0.25">
      <c r="A5633" s="16" t="s">
        <v>17262</v>
      </c>
      <c r="B5633" s="17" t="s">
        <v>17263</v>
      </c>
      <c r="C5633" s="17" t="s">
        <v>11</v>
      </c>
      <c r="D5633" s="17" t="s">
        <v>1318</v>
      </c>
      <c r="E5633" s="17" t="s">
        <v>20</v>
      </c>
      <c r="F5633" s="16" t="s">
        <v>17264</v>
      </c>
    </row>
    <row r="5634" spans="1:6" x14ac:dyDescent="0.25">
      <c r="A5634" s="16" t="s">
        <v>17265</v>
      </c>
      <c r="B5634" s="17" t="s">
        <v>17266</v>
      </c>
      <c r="C5634" s="17" t="s">
        <v>11</v>
      </c>
      <c r="D5634" s="17" t="s">
        <v>32</v>
      </c>
      <c r="E5634" s="17" t="s">
        <v>20</v>
      </c>
      <c r="F5634" s="16" t="s">
        <v>17267</v>
      </c>
    </row>
    <row r="5635" spans="1:6" x14ac:dyDescent="0.25">
      <c r="A5635" s="16" t="s">
        <v>17268</v>
      </c>
      <c r="B5635" s="17" t="s">
        <v>17269</v>
      </c>
      <c r="C5635" s="17" t="s">
        <v>11</v>
      </c>
      <c r="D5635" s="17" t="s">
        <v>12</v>
      </c>
      <c r="E5635" s="17" t="s">
        <v>13</v>
      </c>
      <c r="F5635" s="16" t="s">
        <v>17270</v>
      </c>
    </row>
    <row r="5636" spans="1:6" x14ac:dyDescent="0.25">
      <c r="A5636" s="16" t="s">
        <v>17271</v>
      </c>
      <c r="B5636" s="17" t="s">
        <v>17272</v>
      </c>
      <c r="C5636" s="17" t="s">
        <v>11</v>
      </c>
      <c r="D5636" s="17" t="s">
        <v>12</v>
      </c>
      <c r="E5636" s="17" t="s">
        <v>13</v>
      </c>
      <c r="F5636" s="16" t="s">
        <v>17273</v>
      </c>
    </row>
    <row r="5637" spans="1:6" x14ac:dyDescent="0.25">
      <c r="A5637" s="16" t="s">
        <v>17274</v>
      </c>
      <c r="B5637" s="17" t="s">
        <v>17275</v>
      </c>
      <c r="C5637" s="17" t="s">
        <v>11</v>
      </c>
      <c r="D5637" s="17" t="s">
        <v>12</v>
      </c>
      <c r="E5637" s="17" t="s">
        <v>13</v>
      </c>
      <c r="F5637" s="16" t="s">
        <v>17276</v>
      </c>
    </row>
    <row r="5638" spans="1:6" x14ac:dyDescent="0.25">
      <c r="A5638" s="16" t="s">
        <v>17277</v>
      </c>
      <c r="B5638" s="17" t="s">
        <v>17278</v>
      </c>
      <c r="C5638" s="17" t="s">
        <v>11</v>
      </c>
      <c r="D5638" s="17" t="s">
        <v>12</v>
      </c>
      <c r="E5638" s="17" t="s">
        <v>13</v>
      </c>
      <c r="F5638" s="16" t="s">
        <v>17279</v>
      </c>
    </row>
    <row r="5639" spans="1:6" x14ac:dyDescent="0.25">
      <c r="A5639" s="16" t="s">
        <v>17280</v>
      </c>
      <c r="B5639" s="17" t="s">
        <v>17281</v>
      </c>
      <c r="C5639" s="17" t="s">
        <v>11</v>
      </c>
      <c r="D5639" s="17" t="s">
        <v>12</v>
      </c>
      <c r="E5639" s="17" t="s">
        <v>13</v>
      </c>
      <c r="F5639" s="16" t="s">
        <v>17282</v>
      </c>
    </row>
    <row r="5640" spans="1:6" x14ac:dyDescent="0.25">
      <c r="A5640" s="16" t="s">
        <v>17283</v>
      </c>
      <c r="B5640" s="17" t="s">
        <v>17284</v>
      </c>
      <c r="C5640" s="17" t="s">
        <v>11</v>
      </c>
      <c r="D5640" s="17" t="s">
        <v>12</v>
      </c>
      <c r="E5640" s="17" t="s">
        <v>13</v>
      </c>
      <c r="F5640" s="16" t="s">
        <v>17285</v>
      </c>
    </row>
    <row r="5641" spans="1:6" x14ac:dyDescent="0.25">
      <c r="A5641" s="16" t="s">
        <v>17286</v>
      </c>
      <c r="B5641" s="17" t="s">
        <v>17287</v>
      </c>
      <c r="C5641" s="17" t="s">
        <v>11</v>
      </c>
      <c r="D5641" s="17" t="s">
        <v>233</v>
      </c>
      <c r="E5641" s="17" t="s">
        <v>20</v>
      </c>
      <c r="F5641" s="16" t="s">
        <v>17288</v>
      </c>
    </row>
    <row r="5642" spans="1:6" x14ac:dyDescent="0.25">
      <c r="A5642" s="16" t="s">
        <v>17289</v>
      </c>
      <c r="B5642" s="17" t="s">
        <v>17290</v>
      </c>
      <c r="C5642" s="17" t="s">
        <v>11</v>
      </c>
      <c r="D5642" s="17" t="s">
        <v>12</v>
      </c>
      <c r="E5642" s="17" t="s">
        <v>13</v>
      </c>
      <c r="F5642" s="16" t="s">
        <v>17291</v>
      </c>
    </row>
    <row r="5643" spans="1:6" x14ac:dyDescent="0.25">
      <c r="A5643" s="16" t="s">
        <v>17292</v>
      </c>
      <c r="B5643" s="17" t="s">
        <v>17293</v>
      </c>
      <c r="C5643" s="17" t="s">
        <v>11</v>
      </c>
      <c r="D5643" s="17" t="s">
        <v>250</v>
      </c>
      <c r="E5643" s="17" t="s">
        <v>20</v>
      </c>
      <c r="F5643" s="16" t="s">
        <v>17294</v>
      </c>
    </row>
    <row r="5644" spans="1:6" x14ac:dyDescent="0.25">
      <c r="A5644" s="16" t="s">
        <v>17295</v>
      </c>
      <c r="B5644" s="17" t="s">
        <v>17296</v>
      </c>
      <c r="C5644" s="17" t="s">
        <v>11</v>
      </c>
      <c r="D5644" s="17" t="s">
        <v>12</v>
      </c>
      <c r="E5644" s="17" t="s">
        <v>13</v>
      </c>
      <c r="F5644" s="16" t="s">
        <v>17297</v>
      </c>
    </row>
    <row r="5645" spans="1:6" x14ac:dyDescent="0.25">
      <c r="A5645" s="16" t="s">
        <v>17298</v>
      </c>
      <c r="B5645" s="17" t="s">
        <v>17299</v>
      </c>
      <c r="C5645" s="17" t="s">
        <v>11</v>
      </c>
      <c r="D5645" s="17" t="s">
        <v>12</v>
      </c>
      <c r="E5645" s="17" t="s">
        <v>13</v>
      </c>
      <c r="F5645" s="16" t="s">
        <v>17300</v>
      </c>
    </row>
    <row r="5646" spans="1:6" x14ac:dyDescent="0.25">
      <c r="A5646" s="16" t="s">
        <v>17301</v>
      </c>
      <c r="B5646" s="17" t="s">
        <v>17302</v>
      </c>
      <c r="C5646" s="17" t="s">
        <v>11</v>
      </c>
      <c r="D5646" s="17" t="s">
        <v>12</v>
      </c>
      <c r="E5646" s="17" t="s">
        <v>13</v>
      </c>
      <c r="F5646" s="16" t="s">
        <v>17303</v>
      </c>
    </row>
    <row r="5647" spans="1:6" x14ac:dyDescent="0.25">
      <c r="A5647" s="16" t="s">
        <v>17304</v>
      </c>
      <c r="B5647" s="17" t="s">
        <v>17305</v>
      </c>
      <c r="C5647" s="17" t="s">
        <v>11</v>
      </c>
      <c r="D5647" s="17" t="s">
        <v>12</v>
      </c>
      <c r="E5647" s="17" t="s">
        <v>13</v>
      </c>
      <c r="F5647" s="16" t="s">
        <v>17306</v>
      </c>
    </row>
    <row r="5648" spans="1:6" x14ac:dyDescent="0.25">
      <c r="A5648" s="16" t="s">
        <v>17307</v>
      </c>
      <c r="B5648" s="17" t="s">
        <v>17308</v>
      </c>
      <c r="C5648" s="17" t="s">
        <v>11</v>
      </c>
      <c r="D5648" s="17" t="s">
        <v>12</v>
      </c>
      <c r="E5648" s="17" t="s">
        <v>13</v>
      </c>
      <c r="F5648" s="16" t="s">
        <v>17309</v>
      </c>
    </row>
    <row r="5649" spans="1:6" x14ac:dyDescent="0.25">
      <c r="A5649" s="16" t="s">
        <v>17310</v>
      </c>
      <c r="B5649" s="17" t="s">
        <v>17311</v>
      </c>
      <c r="C5649" s="17" t="s">
        <v>11</v>
      </c>
      <c r="D5649" s="17" t="s">
        <v>12</v>
      </c>
      <c r="E5649" s="17" t="s">
        <v>13</v>
      </c>
      <c r="F5649" s="16" t="s">
        <v>17312</v>
      </c>
    </row>
    <row r="5650" spans="1:6" x14ac:dyDescent="0.25">
      <c r="A5650" s="16" t="s">
        <v>17313</v>
      </c>
      <c r="B5650" s="17" t="s">
        <v>17314</v>
      </c>
      <c r="C5650" s="17" t="s">
        <v>11</v>
      </c>
      <c r="D5650" s="17" t="s">
        <v>12</v>
      </c>
      <c r="E5650" s="17" t="s">
        <v>13</v>
      </c>
      <c r="F5650" s="16" t="s">
        <v>17315</v>
      </c>
    </row>
    <row r="5651" spans="1:6" x14ac:dyDescent="0.25">
      <c r="A5651" s="16" t="s">
        <v>17316</v>
      </c>
      <c r="B5651" s="17" t="s">
        <v>17317</v>
      </c>
      <c r="C5651" s="17" t="s">
        <v>11</v>
      </c>
      <c r="D5651" s="17" t="s">
        <v>250</v>
      </c>
      <c r="E5651" s="17" t="s">
        <v>20</v>
      </c>
      <c r="F5651" s="16" t="s">
        <v>17318</v>
      </c>
    </row>
    <row r="5652" spans="1:6" x14ac:dyDescent="0.25">
      <c r="A5652" s="16" t="s">
        <v>17319</v>
      </c>
      <c r="B5652" s="17" t="s">
        <v>17320</v>
      </c>
      <c r="C5652" s="17" t="s">
        <v>11</v>
      </c>
      <c r="D5652" s="17" t="s">
        <v>32</v>
      </c>
      <c r="E5652" s="17" t="s">
        <v>20</v>
      </c>
      <c r="F5652" s="16" t="s">
        <v>17321</v>
      </c>
    </row>
    <row r="5653" spans="1:6" x14ac:dyDescent="0.25">
      <c r="A5653" s="16" t="s">
        <v>17322</v>
      </c>
      <c r="B5653" s="17" t="s">
        <v>17323</v>
      </c>
      <c r="C5653" s="17" t="s">
        <v>11</v>
      </c>
      <c r="D5653" s="17" t="s">
        <v>12</v>
      </c>
      <c r="E5653" s="17" t="s">
        <v>13</v>
      </c>
      <c r="F5653" s="16" t="s">
        <v>17324</v>
      </c>
    </row>
    <row r="5654" spans="1:6" x14ac:dyDescent="0.25">
      <c r="A5654" s="16" t="s">
        <v>17325</v>
      </c>
      <c r="B5654" s="17" t="s">
        <v>17326</v>
      </c>
      <c r="C5654" s="17" t="s">
        <v>11</v>
      </c>
      <c r="D5654" s="17" t="s">
        <v>12</v>
      </c>
      <c r="E5654" s="17" t="s">
        <v>13</v>
      </c>
      <c r="F5654" s="16" t="s">
        <v>17327</v>
      </c>
    </row>
    <row r="5655" spans="1:6" x14ac:dyDescent="0.25">
      <c r="A5655" s="16" t="s">
        <v>17328</v>
      </c>
      <c r="B5655" s="17" t="s">
        <v>17329</v>
      </c>
      <c r="C5655" s="17" t="s">
        <v>11</v>
      </c>
      <c r="D5655" s="17" t="s">
        <v>12</v>
      </c>
      <c r="E5655" s="17" t="s">
        <v>13</v>
      </c>
      <c r="F5655" s="16" t="s">
        <v>17330</v>
      </c>
    </row>
    <row r="5656" spans="1:6" x14ac:dyDescent="0.25">
      <c r="A5656" s="16" t="s">
        <v>17331</v>
      </c>
      <c r="B5656" s="17" t="s">
        <v>17332</v>
      </c>
      <c r="C5656" s="17" t="s">
        <v>11</v>
      </c>
      <c r="D5656" s="17" t="s">
        <v>12</v>
      </c>
      <c r="E5656" s="17" t="s">
        <v>13</v>
      </c>
      <c r="F5656" s="16" t="s">
        <v>17333</v>
      </c>
    </row>
    <row r="5657" spans="1:6" x14ac:dyDescent="0.25">
      <c r="A5657" s="16" t="s">
        <v>17334</v>
      </c>
      <c r="B5657" s="17" t="s">
        <v>17335</v>
      </c>
      <c r="C5657" s="17" t="s">
        <v>11</v>
      </c>
      <c r="D5657" s="17" t="s">
        <v>12</v>
      </c>
      <c r="E5657" s="17" t="s">
        <v>13</v>
      </c>
      <c r="F5657" s="16" t="s">
        <v>17336</v>
      </c>
    </row>
    <row r="5658" spans="1:6" x14ac:dyDescent="0.25">
      <c r="A5658" s="16" t="s">
        <v>17337</v>
      </c>
      <c r="B5658" s="17" t="s">
        <v>17338</v>
      </c>
      <c r="C5658" s="17" t="s">
        <v>11</v>
      </c>
      <c r="D5658" s="17" t="s">
        <v>12</v>
      </c>
      <c r="E5658" s="17" t="s">
        <v>13</v>
      </c>
      <c r="F5658" s="16" t="s">
        <v>17339</v>
      </c>
    </row>
    <row r="5659" spans="1:6" x14ac:dyDescent="0.25">
      <c r="A5659" s="16" t="s">
        <v>17340</v>
      </c>
      <c r="B5659" s="17" t="s">
        <v>17341</v>
      </c>
      <c r="C5659" s="17" t="s">
        <v>11</v>
      </c>
      <c r="D5659" s="17" t="s">
        <v>12</v>
      </c>
      <c r="E5659" s="17" t="s">
        <v>13</v>
      </c>
      <c r="F5659" s="16" t="s">
        <v>17342</v>
      </c>
    </row>
    <row r="5660" spans="1:6" x14ac:dyDescent="0.25">
      <c r="A5660" s="16" t="s">
        <v>17343</v>
      </c>
      <c r="B5660" s="17" t="s">
        <v>17344</v>
      </c>
      <c r="C5660" s="17" t="s">
        <v>11</v>
      </c>
      <c r="D5660" s="17" t="s">
        <v>32</v>
      </c>
      <c r="E5660" s="17" t="s">
        <v>20</v>
      </c>
      <c r="F5660" s="16" t="s">
        <v>17345</v>
      </c>
    </row>
    <row r="5661" spans="1:6" x14ac:dyDescent="0.25">
      <c r="A5661" s="16" t="s">
        <v>17346</v>
      </c>
      <c r="B5661" s="17" t="s">
        <v>17347</v>
      </c>
      <c r="C5661" s="17" t="s">
        <v>11</v>
      </c>
      <c r="D5661" s="17" t="s">
        <v>59</v>
      </c>
      <c r="E5661" s="17" t="s">
        <v>13</v>
      </c>
      <c r="F5661" s="16" t="s">
        <v>17348</v>
      </c>
    </row>
    <row r="5662" spans="1:6" x14ac:dyDescent="0.25">
      <c r="A5662" s="16" t="s">
        <v>17349</v>
      </c>
      <c r="B5662" s="17" t="s">
        <v>17350</v>
      </c>
      <c r="C5662" s="17" t="s">
        <v>11</v>
      </c>
      <c r="D5662" s="17" t="s">
        <v>12</v>
      </c>
      <c r="E5662" s="17" t="s">
        <v>13</v>
      </c>
      <c r="F5662" s="16" t="s">
        <v>17351</v>
      </c>
    </row>
    <row r="5663" spans="1:6" x14ac:dyDescent="0.25">
      <c r="A5663" s="16" t="s">
        <v>17352</v>
      </c>
      <c r="B5663" s="17" t="s">
        <v>17353</v>
      </c>
      <c r="C5663" s="17" t="s">
        <v>11</v>
      </c>
      <c r="D5663" s="17" t="s">
        <v>74</v>
      </c>
      <c r="E5663" s="17" t="s">
        <v>20</v>
      </c>
      <c r="F5663" s="16" t="s">
        <v>17354</v>
      </c>
    </row>
    <row r="5664" spans="1:6" x14ac:dyDescent="0.25">
      <c r="A5664" s="16" t="s">
        <v>17355</v>
      </c>
      <c r="B5664" s="17" t="s">
        <v>17356</v>
      </c>
      <c r="C5664" s="17" t="s">
        <v>11</v>
      </c>
      <c r="D5664" s="17" t="s">
        <v>32</v>
      </c>
      <c r="E5664" s="17" t="s">
        <v>20</v>
      </c>
      <c r="F5664" s="16" t="s">
        <v>17357</v>
      </c>
    </row>
    <row r="5665" spans="1:6" x14ac:dyDescent="0.25">
      <c r="A5665" s="16" t="s">
        <v>17358</v>
      </c>
      <c r="B5665" s="17" t="s">
        <v>17359</v>
      </c>
      <c r="C5665" s="17" t="s">
        <v>11</v>
      </c>
      <c r="D5665" s="17" t="s">
        <v>74</v>
      </c>
      <c r="E5665" s="17" t="s">
        <v>20</v>
      </c>
      <c r="F5665" s="16" t="s">
        <v>17360</v>
      </c>
    </row>
    <row r="5666" spans="1:6" x14ac:dyDescent="0.25">
      <c r="A5666" s="16" t="s">
        <v>17361</v>
      </c>
      <c r="B5666" s="17" t="s">
        <v>17362</v>
      </c>
      <c r="C5666" s="17" t="s">
        <v>11</v>
      </c>
      <c r="D5666" s="17" t="s">
        <v>32</v>
      </c>
      <c r="E5666" s="17" t="s">
        <v>20</v>
      </c>
      <c r="F5666" s="16" t="s">
        <v>17363</v>
      </c>
    </row>
    <row r="5667" spans="1:6" x14ac:dyDescent="0.25">
      <c r="A5667" s="16" t="s">
        <v>17364</v>
      </c>
      <c r="B5667" s="17" t="s">
        <v>17365</v>
      </c>
      <c r="C5667" s="17" t="s">
        <v>11</v>
      </c>
      <c r="D5667" s="17" t="s">
        <v>12</v>
      </c>
      <c r="E5667" s="17" t="s">
        <v>13</v>
      </c>
      <c r="F5667" s="16" t="s">
        <v>17366</v>
      </c>
    </row>
    <row r="5668" spans="1:6" x14ac:dyDescent="0.25">
      <c r="A5668" s="16" t="s">
        <v>17367</v>
      </c>
      <c r="B5668" s="17" t="s">
        <v>17368</v>
      </c>
      <c r="C5668" s="17" t="s">
        <v>11</v>
      </c>
      <c r="D5668" s="17" t="s">
        <v>68</v>
      </c>
      <c r="E5668" s="17" t="s">
        <v>20</v>
      </c>
      <c r="F5668" s="16" t="s">
        <v>17369</v>
      </c>
    </row>
    <row r="5669" spans="1:6" x14ac:dyDescent="0.25">
      <c r="A5669" s="16" t="s">
        <v>17370</v>
      </c>
      <c r="B5669" s="17" t="s">
        <v>17371</v>
      </c>
      <c r="C5669" s="17" t="s">
        <v>11</v>
      </c>
      <c r="D5669" s="17" t="s">
        <v>32</v>
      </c>
      <c r="E5669" s="17" t="s">
        <v>20</v>
      </c>
      <c r="F5669" s="16" t="s">
        <v>17372</v>
      </c>
    </row>
    <row r="5670" spans="1:6" x14ac:dyDescent="0.25">
      <c r="A5670" s="16" t="s">
        <v>17373</v>
      </c>
      <c r="B5670" s="17" t="s">
        <v>17374</v>
      </c>
      <c r="C5670" s="17" t="s">
        <v>11</v>
      </c>
      <c r="D5670" s="17" t="s">
        <v>80</v>
      </c>
      <c r="E5670" s="17" t="s">
        <v>20</v>
      </c>
      <c r="F5670" s="16" t="s">
        <v>17375</v>
      </c>
    </row>
    <row r="5671" spans="1:6" x14ac:dyDescent="0.25">
      <c r="A5671" s="16" t="s">
        <v>17376</v>
      </c>
      <c r="B5671" s="17" t="s">
        <v>17377</v>
      </c>
      <c r="C5671" s="17" t="s">
        <v>11</v>
      </c>
      <c r="D5671" s="17" t="s">
        <v>80</v>
      </c>
      <c r="E5671" s="17" t="s">
        <v>20</v>
      </c>
      <c r="F5671" s="16" t="s">
        <v>17378</v>
      </c>
    </row>
    <row r="5672" spans="1:6" x14ac:dyDescent="0.25">
      <c r="A5672" s="16" t="s">
        <v>17379</v>
      </c>
      <c r="B5672" s="17" t="s">
        <v>17380</v>
      </c>
      <c r="C5672" s="17" t="s">
        <v>11</v>
      </c>
      <c r="D5672" s="17" t="s">
        <v>32</v>
      </c>
      <c r="E5672" s="17" t="s">
        <v>20</v>
      </c>
      <c r="F5672" s="16" t="s">
        <v>17381</v>
      </c>
    </row>
    <row r="5673" spans="1:6" x14ac:dyDescent="0.25">
      <c r="A5673" s="16" t="s">
        <v>17382</v>
      </c>
      <c r="B5673" s="17" t="s">
        <v>17383</v>
      </c>
      <c r="C5673" s="17" t="s">
        <v>11</v>
      </c>
      <c r="D5673" s="17" t="s">
        <v>74</v>
      </c>
      <c r="E5673" s="17" t="s">
        <v>20</v>
      </c>
      <c r="F5673" s="16" t="s">
        <v>17384</v>
      </c>
    </row>
    <row r="5674" spans="1:6" x14ac:dyDescent="0.25">
      <c r="A5674" s="16" t="s">
        <v>17385</v>
      </c>
      <c r="B5674" s="17" t="s">
        <v>17386</v>
      </c>
      <c r="C5674" s="17" t="s">
        <v>11</v>
      </c>
      <c r="D5674" s="17" t="s">
        <v>32</v>
      </c>
      <c r="E5674" s="17" t="s">
        <v>20</v>
      </c>
      <c r="F5674" s="16" t="s">
        <v>17387</v>
      </c>
    </row>
    <row r="5675" spans="1:6" x14ac:dyDescent="0.25">
      <c r="A5675" s="16" t="s">
        <v>17388</v>
      </c>
      <c r="B5675" s="17" t="s">
        <v>17389</v>
      </c>
      <c r="C5675" s="17" t="s">
        <v>11</v>
      </c>
      <c r="D5675" s="17" t="s">
        <v>182</v>
      </c>
      <c r="E5675" s="17" t="s">
        <v>20</v>
      </c>
      <c r="F5675" s="16" t="s">
        <v>17390</v>
      </c>
    </row>
    <row r="5676" spans="1:6" x14ac:dyDescent="0.25">
      <c r="A5676" s="16" t="s">
        <v>17391</v>
      </c>
      <c r="B5676" s="17" t="s">
        <v>17392</v>
      </c>
      <c r="C5676" s="17" t="s">
        <v>1235</v>
      </c>
      <c r="D5676" s="17" t="s">
        <v>4374</v>
      </c>
      <c r="E5676" s="17" t="s">
        <v>1237</v>
      </c>
      <c r="F5676" s="16" t="s">
        <v>17393</v>
      </c>
    </row>
    <row r="5677" spans="1:6" x14ac:dyDescent="0.25">
      <c r="A5677" s="16" t="s">
        <v>17394</v>
      </c>
      <c r="B5677" s="17" t="s">
        <v>17395</v>
      </c>
      <c r="C5677" s="17" t="s">
        <v>11</v>
      </c>
      <c r="D5677" s="17" t="s">
        <v>26</v>
      </c>
      <c r="E5677" s="17" t="s">
        <v>20</v>
      </c>
      <c r="F5677" s="16" t="s">
        <v>17396</v>
      </c>
    </row>
    <row r="5678" spans="1:6" x14ac:dyDescent="0.25">
      <c r="A5678" s="16" t="s">
        <v>17397</v>
      </c>
      <c r="B5678" s="17" t="s">
        <v>17398</v>
      </c>
      <c r="C5678" s="17" t="s">
        <v>11</v>
      </c>
      <c r="D5678" s="17" t="s">
        <v>32</v>
      </c>
      <c r="E5678" s="17" t="s">
        <v>20</v>
      </c>
      <c r="F5678" s="16" t="s">
        <v>17399</v>
      </c>
    </row>
    <row r="5679" spans="1:6" x14ac:dyDescent="0.25">
      <c r="A5679" s="16" t="s">
        <v>17400</v>
      </c>
      <c r="B5679" s="17" t="s">
        <v>17401</v>
      </c>
      <c r="C5679" s="17" t="s">
        <v>11</v>
      </c>
      <c r="D5679" s="17" t="s">
        <v>233</v>
      </c>
      <c r="E5679" s="17" t="s">
        <v>20</v>
      </c>
      <c r="F5679" s="16" t="s">
        <v>17402</v>
      </c>
    </row>
    <row r="5680" spans="1:6" x14ac:dyDescent="0.25">
      <c r="A5680" s="16" t="s">
        <v>17403</v>
      </c>
      <c r="B5680" s="17" t="s">
        <v>17404</v>
      </c>
      <c r="C5680" s="17" t="s">
        <v>11</v>
      </c>
      <c r="D5680" s="17" t="s">
        <v>74</v>
      </c>
      <c r="E5680" s="17" t="s">
        <v>20</v>
      </c>
      <c r="F5680" s="16" t="s">
        <v>17405</v>
      </c>
    </row>
    <row r="5681" spans="1:6" x14ac:dyDescent="0.25">
      <c r="A5681" s="16" t="s">
        <v>17406</v>
      </c>
      <c r="B5681" s="17" t="s">
        <v>17407</v>
      </c>
      <c r="C5681" s="17" t="s">
        <v>11</v>
      </c>
      <c r="D5681" s="17" t="s">
        <v>83</v>
      </c>
      <c r="E5681" s="17" t="s">
        <v>20</v>
      </c>
      <c r="F5681" s="16" t="s">
        <v>17408</v>
      </c>
    </row>
    <row r="5682" spans="1:6" x14ac:dyDescent="0.25">
      <c r="A5682" s="16" t="s">
        <v>17409</v>
      </c>
      <c r="B5682" s="17" t="s">
        <v>17410</v>
      </c>
      <c r="C5682" s="17" t="s">
        <v>11</v>
      </c>
      <c r="D5682" s="17" t="s">
        <v>32</v>
      </c>
      <c r="E5682" s="17" t="s">
        <v>20</v>
      </c>
      <c r="F5682" s="16" t="s">
        <v>17411</v>
      </c>
    </row>
    <row r="5683" spans="1:6" x14ac:dyDescent="0.25">
      <c r="A5683" s="16" t="s">
        <v>17412</v>
      </c>
      <c r="B5683" s="17" t="s">
        <v>17413</v>
      </c>
      <c r="C5683" s="17" t="s">
        <v>11</v>
      </c>
      <c r="D5683" s="17" t="s">
        <v>74</v>
      </c>
      <c r="E5683" s="17" t="s">
        <v>20</v>
      </c>
      <c r="F5683" s="16" t="s">
        <v>17414</v>
      </c>
    </row>
    <row r="5684" spans="1:6" x14ac:dyDescent="0.25">
      <c r="A5684" s="16" t="s">
        <v>17415</v>
      </c>
      <c r="B5684" s="17" t="s">
        <v>17416</v>
      </c>
      <c r="C5684" s="17" t="s">
        <v>11</v>
      </c>
      <c r="D5684" s="17" t="s">
        <v>74</v>
      </c>
      <c r="E5684" s="17" t="s">
        <v>20</v>
      </c>
      <c r="F5684" s="16" t="s">
        <v>17417</v>
      </c>
    </row>
    <row r="5685" spans="1:6" x14ac:dyDescent="0.25">
      <c r="A5685" s="16" t="s">
        <v>17418</v>
      </c>
      <c r="B5685" s="17" t="s">
        <v>17419</v>
      </c>
      <c r="C5685" s="17" t="s">
        <v>11</v>
      </c>
      <c r="D5685" s="17" t="s">
        <v>570</v>
      </c>
      <c r="E5685" s="17" t="s">
        <v>20</v>
      </c>
      <c r="F5685" s="16" t="s">
        <v>17420</v>
      </c>
    </row>
    <row r="5686" spans="1:6" x14ac:dyDescent="0.25">
      <c r="A5686" s="16" t="s">
        <v>17421</v>
      </c>
      <c r="B5686" s="17" t="s">
        <v>17422</v>
      </c>
      <c r="C5686" s="17" t="s">
        <v>11</v>
      </c>
      <c r="D5686" s="17" t="s">
        <v>32</v>
      </c>
      <c r="E5686" s="17" t="s">
        <v>20</v>
      </c>
      <c r="F5686" s="16" t="s">
        <v>17423</v>
      </c>
    </row>
    <row r="5687" spans="1:6" x14ac:dyDescent="0.25">
      <c r="A5687" s="16" t="s">
        <v>17424</v>
      </c>
      <c r="B5687" s="17" t="s">
        <v>17425</v>
      </c>
      <c r="C5687" s="17" t="s">
        <v>11</v>
      </c>
      <c r="D5687" s="17" t="s">
        <v>811</v>
      </c>
      <c r="E5687" s="17" t="s">
        <v>20</v>
      </c>
      <c r="F5687" s="16" t="s">
        <v>17426</v>
      </c>
    </row>
    <row r="5688" spans="1:6" x14ac:dyDescent="0.25">
      <c r="A5688" s="16" t="s">
        <v>17427</v>
      </c>
      <c r="B5688" s="17" t="s">
        <v>17428</v>
      </c>
      <c r="C5688" s="17" t="s">
        <v>11</v>
      </c>
      <c r="D5688" s="17" t="s">
        <v>186</v>
      </c>
      <c r="E5688" s="17" t="s">
        <v>20</v>
      </c>
      <c r="F5688" s="16" t="s">
        <v>17429</v>
      </c>
    </row>
    <row r="5689" spans="1:6" x14ac:dyDescent="0.25">
      <c r="A5689" s="16" t="s">
        <v>17430</v>
      </c>
      <c r="B5689" s="17" t="s">
        <v>17431</v>
      </c>
      <c r="C5689" s="17" t="s">
        <v>11</v>
      </c>
      <c r="D5689" s="17" t="s">
        <v>32</v>
      </c>
      <c r="E5689" s="17" t="s">
        <v>20</v>
      </c>
      <c r="F5689" s="16" t="s">
        <v>17432</v>
      </c>
    </row>
    <row r="5690" spans="1:6" x14ac:dyDescent="0.25">
      <c r="A5690" s="16" t="s">
        <v>17433</v>
      </c>
      <c r="B5690" s="17" t="s">
        <v>17434</v>
      </c>
      <c r="C5690" s="17" t="s">
        <v>11</v>
      </c>
      <c r="D5690" s="17" t="s">
        <v>32</v>
      </c>
      <c r="E5690" s="17" t="s">
        <v>20</v>
      </c>
      <c r="F5690" s="16" t="s">
        <v>17435</v>
      </c>
    </row>
    <row r="5691" spans="1:6" x14ac:dyDescent="0.25">
      <c r="A5691" s="16" t="s">
        <v>17436</v>
      </c>
      <c r="B5691" s="17" t="s">
        <v>17437</v>
      </c>
      <c r="C5691" s="17" t="s">
        <v>11</v>
      </c>
      <c r="D5691" s="17" t="s">
        <v>80</v>
      </c>
      <c r="E5691" s="17" t="s">
        <v>20</v>
      </c>
      <c r="F5691" s="16" t="s">
        <v>17438</v>
      </c>
    </row>
    <row r="5692" spans="1:6" x14ac:dyDescent="0.25">
      <c r="A5692" s="16" t="s">
        <v>17439</v>
      </c>
      <c r="B5692" s="17" t="s">
        <v>17440</v>
      </c>
      <c r="C5692" s="17" t="s">
        <v>11</v>
      </c>
      <c r="D5692" s="17" t="s">
        <v>32</v>
      </c>
      <c r="E5692" s="17" t="s">
        <v>20</v>
      </c>
      <c r="F5692" s="16" t="s">
        <v>17441</v>
      </c>
    </row>
    <row r="5693" spans="1:6" x14ac:dyDescent="0.25">
      <c r="A5693" s="16" t="s">
        <v>17442</v>
      </c>
      <c r="B5693" s="17" t="s">
        <v>17443</v>
      </c>
      <c r="C5693" s="17" t="s">
        <v>11</v>
      </c>
      <c r="D5693" s="17" t="s">
        <v>32</v>
      </c>
      <c r="E5693" s="17" t="s">
        <v>20</v>
      </c>
      <c r="F5693" s="16" t="s">
        <v>17444</v>
      </c>
    </row>
    <row r="5694" spans="1:6" x14ac:dyDescent="0.25">
      <c r="A5694" s="16" t="s">
        <v>17445</v>
      </c>
      <c r="B5694" s="17" t="s">
        <v>17446</v>
      </c>
      <c r="C5694" s="17" t="s">
        <v>11</v>
      </c>
      <c r="D5694" s="17" t="s">
        <v>12</v>
      </c>
      <c r="E5694" s="17" t="s">
        <v>13</v>
      </c>
      <c r="F5694" s="16" t="s">
        <v>17447</v>
      </c>
    </row>
    <row r="5695" spans="1:6" x14ac:dyDescent="0.25">
      <c r="A5695" s="16" t="s">
        <v>17448</v>
      </c>
      <c r="B5695" s="17" t="s">
        <v>17449</v>
      </c>
      <c r="C5695" s="17" t="s">
        <v>11</v>
      </c>
      <c r="D5695" s="17" t="s">
        <v>12</v>
      </c>
      <c r="E5695" s="17" t="s">
        <v>13</v>
      </c>
      <c r="F5695" s="16" t="s">
        <v>17450</v>
      </c>
    </row>
    <row r="5696" spans="1:6" x14ac:dyDescent="0.25">
      <c r="A5696" s="16" t="s">
        <v>17451</v>
      </c>
      <c r="B5696" s="17" t="s">
        <v>17452</v>
      </c>
      <c r="C5696" s="17" t="s">
        <v>11</v>
      </c>
      <c r="D5696" s="17" t="s">
        <v>32</v>
      </c>
      <c r="E5696" s="17" t="s">
        <v>20</v>
      </c>
      <c r="F5696" s="16" t="s">
        <v>17453</v>
      </c>
    </row>
    <row r="5697" spans="1:6" x14ac:dyDescent="0.25">
      <c r="A5697" s="16" t="s">
        <v>17454</v>
      </c>
      <c r="B5697" s="17" t="s">
        <v>17455</v>
      </c>
      <c r="C5697" s="17" t="s">
        <v>11</v>
      </c>
      <c r="D5697" s="17" t="s">
        <v>12</v>
      </c>
      <c r="E5697" s="17" t="s">
        <v>13</v>
      </c>
      <c r="F5697" s="16" t="s">
        <v>17456</v>
      </c>
    </row>
    <row r="5698" spans="1:6" x14ac:dyDescent="0.25">
      <c r="A5698" s="16" t="s">
        <v>17457</v>
      </c>
      <c r="B5698" s="17" t="s">
        <v>17458</v>
      </c>
      <c r="C5698" s="17" t="s">
        <v>11</v>
      </c>
      <c r="D5698" s="17" t="s">
        <v>32</v>
      </c>
      <c r="E5698" s="17" t="s">
        <v>20</v>
      </c>
      <c r="F5698" s="16" t="s">
        <v>17459</v>
      </c>
    </row>
    <row r="5699" spans="1:6" x14ac:dyDescent="0.25">
      <c r="A5699" s="16" t="s">
        <v>17460</v>
      </c>
      <c r="B5699" s="17" t="s">
        <v>17461</v>
      </c>
      <c r="C5699" s="17" t="s">
        <v>11</v>
      </c>
      <c r="D5699" s="17" t="s">
        <v>12</v>
      </c>
      <c r="E5699" s="17" t="s">
        <v>13</v>
      </c>
      <c r="F5699" s="16" t="s">
        <v>17462</v>
      </c>
    </row>
    <row r="5700" spans="1:6" x14ac:dyDescent="0.25">
      <c r="A5700" s="16" t="s">
        <v>17463</v>
      </c>
      <c r="B5700" s="17" t="s">
        <v>17464</v>
      </c>
      <c r="C5700" s="17" t="s">
        <v>11</v>
      </c>
      <c r="D5700" s="17" t="s">
        <v>12</v>
      </c>
      <c r="E5700" s="17" t="s">
        <v>13</v>
      </c>
      <c r="F5700" s="16" t="s">
        <v>17465</v>
      </c>
    </row>
    <row r="5701" spans="1:6" x14ac:dyDescent="0.25">
      <c r="A5701" s="16" t="s">
        <v>17466</v>
      </c>
      <c r="B5701" s="17" t="s">
        <v>17467</v>
      </c>
      <c r="C5701" s="17" t="s">
        <v>11</v>
      </c>
      <c r="D5701" s="17" t="s">
        <v>12</v>
      </c>
      <c r="E5701" s="17" t="s">
        <v>13</v>
      </c>
      <c r="F5701" s="16" t="s">
        <v>17468</v>
      </c>
    </row>
    <row r="5702" spans="1:6" x14ac:dyDescent="0.25">
      <c r="A5702" s="16" t="s">
        <v>17469</v>
      </c>
      <c r="B5702" s="17" t="s">
        <v>17470</v>
      </c>
      <c r="C5702" s="17" t="s">
        <v>11</v>
      </c>
      <c r="D5702" s="17" t="s">
        <v>12</v>
      </c>
      <c r="E5702" s="17" t="s">
        <v>13</v>
      </c>
      <c r="F5702" s="16" t="s">
        <v>17471</v>
      </c>
    </row>
    <row r="5703" spans="1:6" x14ac:dyDescent="0.25">
      <c r="A5703" s="16" t="s">
        <v>17472</v>
      </c>
      <c r="B5703" s="17" t="s">
        <v>17473</v>
      </c>
      <c r="C5703" s="17" t="s">
        <v>11</v>
      </c>
      <c r="D5703" s="17" t="s">
        <v>12</v>
      </c>
      <c r="E5703" s="17" t="s">
        <v>13</v>
      </c>
      <c r="F5703" s="16" t="s">
        <v>17474</v>
      </c>
    </row>
    <row r="5704" spans="1:6" x14ac:dyDescent="0.25">
      <c r="A5704" s="16" t="s">
        <v>17475</v>
      </c>
      <c r="B5704" s="17" t="s">
        <v>17476</v>
      </c>
      <c r="C5704" s="17" t="s">
        <v>11</v>
      </c>
      <c r="D5704" s="17" t="s">
        <v>250</v>
      </c>
      <c r="E5704" s="17" t="s">
        <v>20</v>
      </c>
      <c r="F5704" s="16" t="s">
        <v>17477</v>
      </c>
    </row>
    <row r="5705" spans="1:6" x14ac:dyDescent="0.25">
      <c r="A5705" s="16" t="s">
        <v>17478</v>
      </c>
      <c r="B5705" s="17" t="s">
        <v>17479</v>
      </c>
      <c r="C5705" s="17" t="s">
        <v>11</v>
      </c>
      <c r="D5705" s="17" t="s">
        <v>12</v>
      </c>
      <c r="E5705" s="17" t="s">
        <v>13</v>
      </c>
      <c r="F5705" s="16" t="s">
        <v>17480</v>
      </c>
    </row>
    <row r="5706" spans="1:6" x14ac:dyDescent="0.25">
      <c r="A5706" s="16" t="s">
        <v>17481</v>
      </c>
      <c r="B5706" s="17" t="s">
        <v>17482</v>
      </c>
      <c r="C5706" s="17" t="s">
        <v>11</v>
      </c>
      <c r="D5706" s="17" t="s">
        <v>12</v>
      </c>
      <c r="E5706" s="17" t="s">
        <v>13</v>
      </c>
      <c r="F5706" s="16" t="s">
        <v>17483</v>
      </c>
    </row>
    <row r="5707" spans="1:6" x14ac:dyDescent="0.25">
      <c r="A5707" s="16" t="s">
        <v>17484</v>
      </c>
      <c r="B5707" s="17" t="s">
        <v>17485</v>
      </c>
      <c r="C5707" s="17" t="s">
        <v>11</v>
      </c>
      <c r="D5707" s="17" t="s">
        <v>12</v>
      </c>
      <c r="E5707" s="17" t="s">
        <v>13</v>
      </c>
      <c r="F5707" s="16" t="s">
        <v>17486</v>
      </c>
    </row>
    <row r="5708" spans="1:6" x14ac:dyDescent="0.25">
      <c r="A5708" s="16" t="s">
        <v>17487</v>
      </c>
      <c r="B5708" s="17" t="s">
        <v>17488</v>
      </c>
      <c r="C5708" s="17" t="s">
        <v>11</v>
      </c>
      <c r="D5708" s="17" t="s">
        <v>12</v>
      </c>
      <c r="E5708" s="17" t="s">
        <v>13</v>
      </c>
      <c r="F5708" s="16" t="s">
        <v>17489</v>
      </c>
    </row>
    <row r="5709" spans="1:6" x14ac:dyDescent="0.25">
      <c r="A5709" s="16" t="s">
        <v>17490</v>
      </c>
      <c r="B5709" s="17" t="s">
        <v>17491</v>
      </c>
      <c r="C5709" s="17" t="s">
        <v>11</v>
      </c>
      <c r="D5709" s="17" t="s">
        <v>12</v>
      </c>
      <c r="E5709" s="17" t="s">
        <v>13</v>
      </c>
      <c r="F5709" s="16" t="s">
        <v>17492</v>
      </c>
    </row>
    <row r="5710" spans="1:6" x14ac:dyDescent="0.25">
      <c r="A5710" s="16" t="s">
        <v>17493</v>
      </c>
      <c r="B5710" s="17" t="s">
        <v>17494</v>
      </c>
      <c r="C5710" s="17" t="s">
        <v>11</v>
      </c>
      <c r="D5710" s="17" t="s">
        <v>12</v>
      </c>
      <c r="E5710" s="17" t="s">
        <v>13</v>
      </c>
      <c r="F5710" s="16" t="s">
        <v>17495</v>
      </c>
    </row>
    <row r="5711" spans="1:6" x14ac:dyDescent="0.25">
      <c r="A5711" s="16" t="s">
        <v>17496</v>
      </c>
      <c r="B5711" s="17" t="s">
        <v>17497</v>
      </c>
      <c r="C5711" s="17" t="s">
        <v>11</v>
      </c>
      <c r="D5711" s="17" t="s">
        <v>12</v>
      </c>
      <c r="E5711" s="17" t="s">
        <v>13</v>
      </c>
      <c r="F5711" s="16" t="s">
        <v>17498</v>
      </c>
    </row>
    <row r="5712" spans="1:6" x14ac:dyDescent="0.25">
      <c r="A5712" s="16" t="s">
        <v>17499</v>
      </c>
      <c r="B5712" s="17" t="s">
        <v>17500</v>
      </c>
      <c r="C5712" s="17" t="s">
        <v>11</v>
      </c>
      <c r="D5712" s="17" t="s">
        <v>74</v>
      </c>
      <c r="E5712" s="17" t="s">
        <v>20</v>
      </c>
      <c r="F5712" s="16" t="s">
        <v>17501</v>
      </c>
    </row>
    <row r="5713" spans="1:6" x14ac:dyDescent="0.25">
      <c r="A5713" s="16" t="s">
        <v>17502</v>
      </c>
      <c r="B5713" s="17" t="s">
        <v>17503</v>
      </c>
      <c r="C5713" s="17" t="s">
        <v>11</v>
      </c>
      <c r="D5713" s="17" t="s">
        <v>12</v>
      </c>
      <c r="E5713" s="17" t="s">
        <v>13</v>
      </c>
      <c r="F5713" s="16" t="s">
        <v>17504</v>
      </c>
    </row>
    <row r="5714" spans="1:6" x14ac:dyDescent="0.25">
      <c r="A5714" s="16" t="s">
        <v>17505</v>
      </c>
      <c r="B5714" s="17" t="s">
        <v>17506</v>
      </c>
      <c r="C5714" s="17" t="s">
        <v>11</v>
      </c>
      <c r="D5714" s="17" t="s">
        <v>59</v>
      </c>
      <c r="E5714" s="17" t="s">
        <v>13</v>
      </c>
      <c r="F5714" s="16" t="s">
        <v>17507</v>
      </c>
    </row>
    <row r="5715" spans="1:6" x14ac:dyDescent="0.25">
      <c r="A5715" s="16" t="s">
        <v>17508</v>
      </c>
      <c r="B5715" s="17" t="s">
        <v>17509</v>
      </c>
      <c r="C5715" s="17" t="s">
        <v>11</v>
      </c>
      <c r="D5715" s="17" t="s">
        <v>12</v>
      </c>
      <c r="E5715" s="17" t="s">
        <v>13</v>
      </c>
      <c r="F5715" s="16" t="s">
        <v>17510</v>
      </c>
    </row>
    <row r="5716" spans="1:6" x14ac:dyDescent="0.25">
      <c r="A5716" s="16" t="s">
        <v>17511</v>
      </c>
      <c r="B5716" s="17" t="s">
        <v>17512</v>
      </c>
      <c r="C5716" s="17" t="s">
        <v>11</v>
      </c>
      <c r="D5716" s="17" t="s">
        <v>12</v>
      </c>
      <c r="E5716" s="17" t="s">
        <v>13</v>
      </c>
      <c r="F5716" s="16" t="s">
        <v>17513</v>
      </c>
    </row>
    <row r="5717" spans="1:6" x14ac:dyDescent="0.25">
      <c r="A5717" s="16" t="s">
        <v>17514</v>
      </c>
      <c r="B5717" s="17" t="s">
        <v>17515</v>
      </c>
      <c r="C5717" s="17" t="s">
        <v>11</v>
      </c>
      <c r="D5717" s="17" t="s">
        <v>12</v>
      </c>
      <c r="E5717" s="17" t="s">
        <v>13</v>
      </c>
      <c r="F5717" s="16" t="s">
        <v>17516</v>
      </c>
    </row>
    <row r="5718" spans="1:6" x14ac:dyDescent="0.25">
      <c r="A5718" s="16" t="s">
        <v>17517</v>
      </c>
      <c r="B5718" s="17" t="s">
        <v>17518</v>
      </c>
      <c r="C5718" s="17" t="s">
        <v>11</v>
      </c>
      <c r="D5718" s="17" t="s">
        <v>32</v>
      </c>
      <c r="E5718" s="17" t="s">
        <v>20</v>
      </c>
      <c r="F5718" s="16" t="s">
        <v>17519</v>
      </c>
    </row>
    <row r="5719" spans="1:6" x14ac:dyDescent="0.25">
      <c r="A5719" s="16" t="s">
        <v>17520</v>
      </c>
      <c r="B5719" s="17" t="s">
        <v>17521</v>
      </c>
      <c r="C5719" s="17" t="s">
        <v>11</v>
      </c>
      <c r="D5719" s="17" t="s">
        <v>12</v>
      </c>
      <c r="E5719" s="17" t="s">
        <v>13</v>
      </c>
      <c r="F5719" s="16" t="s">
        <v>17522</v>
      </c>
    </row>
    <row r="5720" spans="1:6" x14ac:dyDescent="0.25">
      <c r="A5720" s="16" t="s">
        <v>17523</v>
      </c>
      <c r="B5720" s="17" t="s">
        <v>17524</v>
      </c>
      <c r="C5720" s="17" t="s">
        <v>11</v>
      </c>
      <c r="D5720" s="17" t="s">
        <v>32</v>
      </c>
      <c r="E5720" s="17" t="s">
        <v>20</v>
      </c>
      <c r="F5720" s="16" t="s">
        <v>17525</v>
      </c>
    </row>
    <row r="5721" spans="1:6" x14ac:dyDescent="0.25">
      <c r="A5721" s="16" t="s">
        <v>17526</v>
      </c>
      <c r="B5721" s="17" t="s">
        <v>17527</v>
      </c>
      <c r="C5721" s="17" t="s">
        <v>11</v>
      </c>
      <c r="D5721" s="17" t="s">
        <v>83</v>
      </c>
      <c r="E5721" s="17" t="s">
        <v>20</v>
      </c>
      <c r="F5721" s="16" t="s">
        <v>17528</v>
      </c>
    </row>
    <row r="5722" spans="1:6" x14ac:dyDescent="0.25">
      <c r="A5722" s="16" t="s">
        <v>17529</v>
      </c>
      <c r="B5722" s="17" t="s">
        <v>17530</v>
      </c>
      <c r="C5722" s="17" t="s">
        <v>11</v>
      </c>
      <c r="D5722" s="17" t="s">
        <v>12</v>
      </c>
      <c r="E5722" s="17" t="s">
        <v>13</v>
      </c>
      <c r="F5722" s="16" t="s">
        <v>17531</v>
      </c>
    </row>
    <row r="5723" spans="1:6" x14ac:dyDescent="0.25">
      <c r="A5723" s="16" t="s">
        <v>17532</v>
      </c>
      <c r="B5723" s="17" t="s">
        <v>17533</v>
      </c>
      <c r="C5723" s="17" t="s">
        <v>11</v>
      </c>
      <c r="D5723" s="17" t="s">
        <v>59</v>
      </c>
      <c r="E5723" s="17" t="s">
        <v>13</v>
      </c>
      <c r="F5723" s="16" t="s">
        <v>17534</v>
      </c>
    </row>
    <row r="5724" spans="1:6" x14ac:dyDescent="0.25">
      <c r="A5724" s="16" t="s">
        <v>17535</v>
      </c>
      <c r="B5724" s="17" t="s">
        <v>17536</v>
      </c>
      <c r="C5724" s="17" t="s">
        <v>11</v>
      </c>
      <c r="D5724" s="17" t="s">
        <v>12</v>
      </c>
      <c r="E5724" s="17" t="s">
        <v>13</v>
      </c>
      <c r="F5724" s="16" t="s">
        <v>17537</v>
      </c>
    </row>
    <row r="5725" spans="1:6" x14ac:dyDescent="0.25">
      <c r="A5725" s="16" t="s">
        <v>17538</v>
      </c>
      <c r="B5725" s="17" t="s">
        <v>17539</v>
      </c>
      <c r="C5725" s="17" t="s">
        <v>11</v>
      </c>
      <c r="D5725" s="17" t="s">
        <v>32</v>
      </c>
      <c r="E5725" s="17" t="s">
        <v>20</v>
      </c>
      <c r="F5725" s="16" t="s">
        <v>17540</v>
      </c>
    </row>
    <row r="5726" spans="1:6" x14ac:dyDescent="0.25">
      <c r="A5726" s="16" t="s">
        <v>17541</v>
      </c>
      <c r="B5726" s="17" t="s">
        <v>17542</v>
      </c>
      <c r="C5726" s="17" t="s">
        <v>11</v>
      </c>
      <c r="D5726" s="17" t="s">
        <v>233</v>
      </c>
      <c r="E5726" s="17" t="s">
        <v>20</v>
      </c>
      <c r="F5726" s="16" t="s">
        <v>17543</v>
      </c>
    </row>
    <row r="5727" spans="1:6" x14ac:dyDescent="0.25">
      <c r="A5727" s="16" t="s">
        <v>17544</v>
      </c>
      <c r="B5727" s="17" t="s">
        <v>17545</v>
      </c>
      <c r="C5727" s="17" t="s">
        <v>11</v>
      </c>
      <c r="D5727" s="17" t="s">
        <v>59</v>
      </c>
      <c r="E5727" s="17" t="s">
        <v>13</v>
      </c>
      <c r="F5727" s="16" t="s">
        <v>17546</v>
      </c>
    </row>
    <row r="5728" spans="1:6" x14ac:dyDescent="0.25">
      <c r="A5728" s="16" t="s">
        <v>17547</v>
      </c>
      <c r="B5728" s="17" t="s">
        <v>17548</v>
      </c>
      <c r="C5728" s="17" t="s">
        <v>11</v>
      </c>
      <c r="D5728" s="17" t="s">
        <v>12</v>
      </c>
      <c r="E5728" s="17" t="s">
        <v>13</v>
      </c>
      <c r="F5728" s="16" t="s">
        <v>17549</v>
      </c>
    </row>
    <row r="5729" spans="1:6" x14ac:dyDescent="0.25">
      <c r="A5729" s="16" t="s">
        <v>17550</v>
      </c>
      <c r="B5729" s="17" t="s">
        <v>17551</v>
      </c>
      <c r="C5729" s="17" t="s">
        <v>11</v>
      </c>
      <c r="D5729" s="17" t="s">
        <v>12</v>
      </c>
      <c r="E5729" s="17" t="s">
        <v>13</v>
      </c>
      <c r="F5729" s="16" t="s">
        <v>17552</v>
      </c>
    </row>
    <row r="5730" spans="1:6" x14ac:dyDescent="0.25">
      <c r="A5730" s="16" t="s">
        <v>17553</v>
      </c>
      <c r="B5730" s="17" t="s">
        <v>17554</v>
      </c>
      <c r="C5730" s="17" t="s">
        <v>11</v>
      </c>
      <c r="D5730" s="17" t="s">
        <v>12</v>
      </c>
      <c r="E5730" s="17" t="s">
        <v>13</v>
      </c>
      <c r="F5730" s="16" t="s">
        <v>17555</v>
      </c>
    </row>
    <row r="5731" spans="1:6" x14ac:dyDescent="0.25">
      <c r="A5731" s="16" t="s">
        <v>17556</v>
      </c>
      <c r="B5731" s="17" t="s">
        <v>17557</v>
      </c>
      <c r="C5731" s="17" t="s">
        <v>11</v>
      </c>
      <c r="D5731" s="17" t="s">
        <v>12</v>
      </c>
      <c r="E5731" s="17" t="s">
        <v>13</v>
      </c>
      <c r="F5731" s="16" t="s">
        <v>17558</v>
      </c>
    </row>
    <row r="5732" spans="1:6" x14ac:dyDescent="0.25">
      <c r="A5732" s="16" t="s">
        <v>17559</v>
      </c>
      <c r="B5732" s="17" t="s">
        <v>17560</v>
      </c>
      <c r="C5732" s="17" t="s">
        <v>11</v>
      </c>
      <c r="D5732" s="17" t="s">
        <v>12</v>
      </c>
      <c r="E5732" s="17" t="s">
        <v>13</v>
      </c>
      <c r="F5732" s="16" t="s">
        <v>17561</v>
      </c>
    </row>
    <row r="5733" spans="1:6" x14ac:dyDescent="0.25">
      <c r="A5733" s="16" t="s">
        <v>17562</v>
      </c>
      <c r="B5733" s="17" t="s">
        <v>17563</v>
      </c>
      <c r="C5733" s="17" t="s">
        <v>11</v>
      </c>
      <c r="D5733" s="17" t="s">
        <v>12</v>
      </c>
      <c r="E5733" s="17" t="s">
        <v>13</v>
      </c>
      <c r="F5733" s="16" t="s">
        <v>17564</v>
      </c>
    </row>
    <row r="5734" spans="1:6" x14ac:dyDescent="0.25">
      <c r="A5734" s="16" t="s">
        <v>17565</v>
      </c>
      <c r="B5734" s="17" t="s">
        <v>17566</v>
      </c>
      <c r="C5734" s="17" t="s">
        <v>11</v>
      </c>
      <c r="D5734" s="17" t="s">
        <v>12</v>
      </c>
      <c r="E5734" s="17" t="s">
        <v>13</v>
      </c>
      <c r="F5734" s="16" t="s">
        <v>17567</v>
      </c>
    </row>
    <row r="5735" spans="1:6" x14ac:dyDescent="0.25">
      <c r="A5735" s="16" t="s">
        <v>17568</v>
      </c>
      <c r="B5735" s="17" t="s">
        <v>17569</v>
      </c>
      <c r="C5735" s="17" t="s">
        <v>11</v>
      </c>
      <c r="D5735" s="17" t="s">
        <v>12</v>
      </c>
      <c r="E5735" s="17" t="s">
        <v>13</v>
      </c>
      <c r="F5735" s="16" t="s">
        <v>17570</v>
      </c>
    </row>
    <row r="5736" spans="1:6" x14ac:dyDescent="0.25">
      <c r="A5736" s="16" t="s">
        <v>17571</v>
      </c>
      <c r="B5736" s="17" t="s">
        <v>17572</v>
      </c>
      <c r="C5736" s="17" t="s">
        <v>11</v>
      </c>
      <c r="D5736" s="17" t="s">
        <v>148</v>
      </c>
      <c r="E5736" s="17" t="s">
        <v>20</v>
      </c>
      <c r="F5736" s="16" t="s">
        <v>17573</v>
      </c>
    </row>
    <row r="5737" spans="1:6" x14ac:dyDescent="0.25">
      <c r="A5737" s="16" t="s">
        <v>17574</v>
      </c>
      <c r="B5737" s="17" t="s">
        <v>17575</v>
      </c>
      <c r="C5737" s="17" t="s">
        <v>11</v>
      </c>
      <c r="D5737" s="17" t="s">
        <v>12</v>
      </c>
      <c r="E5737" s="17" t="s">
        <v>13</v>
      </c>
      <c r="F5737" s="16" t="s">
        <v>17576</v>
      </c>
    </row>
    <row r="5738" spans="1:6" x14ac:dyDescent="0.25">
      <c r="A5738" s="16" t="s">
        <v>17577</v>
      </c>
      <c r="B5738" s="17" t="s">
        <v>17578</v>
      </c>
      <c r="C5738" s="17" t="s">
        <v>11</v>
      </c>
      <c r="D5738" s="17" t="s">
        <v>1318</v>
      </c>
      <c r="E5738" s="17" t="s">
        <v>20</v>
      </c>
      <c r="F5738" s="16" t="s">
        <v>17579</v>
      </c>
    </row>
    <row r="5739" spans="1:6" x14ac:dyDescent="0.25">
      <c r="A5739" s="16" t="s">
        <v>17580</v>
      </c>
      <c r="B5739" s="17" t="s">
        <v>17581</v>
      </c>
      <c r="C5739" s="17" t="s">
        <v>11</v>
      </c>
      <c r="D5739" s="17" t="s">
        <v>12</v>
      </c>
      <c r="E5739" s="17" t="s">
        <v>13</v>
      </c>
      <c r="F5739" s="16" t="s">
        <v>17582</v>
      </c>
    </row>
    <row r="5740" spans="1:6" x14ac:dyDescent="0.25">
      <c r="A5740" s="16" t="s">
        <v>17583</v>
      </c>
      <c r="B5740" s="17" t="s">
        <v>17584</v>
      </c>
      <c r="C5740" s="17" t="s">
        <v>11</v>
      </c>
      <c r="D5740" s="17" t="s">
        <v>32</v>
      </c>
      <c r="E5740" s="17" t="s">
        <v>20</v>
      </c>
      <c r="F5740" s="16" t="s">
        <v>17585</v>
      </c>
    </row>
    <row r="5741" spans="1:6" x14ac:dyDescent="0.25">
      <c r="A5741" s="16" t="s">
        <v>17586</v>
      </c>
      <c r="B5741" s="17" t="s">
        <v>17587</v>
      </c>
      <c r="C5741" s="17" t="s">
        <v>11</v>
      </c>
      <c r="D5741" s="17" t="s">
        <v>26</v>
      </c>
      <c r="E5741" s="17" t="s">
        <v>20</v>
      </c>
      <c r="F5741" s="16" t="s">
        <v>17588</v>
      </c>
    </row>
    <row r="5742" spans="1:6" x14ac:dyDescent="0.25">
      <c r="A5742" s="16" t="s">
        <v>17589</v>
      </c>
      <c r="B5742" s="17" t="s">
        <v>17590</v>
      </c>
      <c r="C5742" s="17" t="s">
        <v>11</v>
      </c>
      <c r="D5742" s="17" t="s">
        <v>12</v>
      </c>
      <c r="E5742" s="17" t="s">
        <v>13</v>
      </c>
      <c r="F5742" s="16" t="s">
        <v>17591</v>
      </c>
    </row>
    <row r="5743" spans="1:6" x14ac:dyDescent="0.25">
      <c r="A5743" s="16" t="s">
        <v>17592</v>
      </c>
      <c r="B5743" s="17" t="s">
        <v>17593</v>
      </c>
      <c r="C5743" s="17" t="s">
        <v>11</v>
      </c>
      <c r="D5743" s="17" t="s">
        <v>12</v>
      </c>
      <c r="E5743" s="17" t="s">
        <v>13</v>
      </c>
      <c r="F5743" s="16" t="s">
        <v>17594</v>
      </c>
    </row>
    <row r="5744" spans="1:6" x14ac:dyDescent="0.25">
      <c r="A5744" s="16" t="s">
        <v>17595</v>
      </c>
      <c r="B5744" s="17" t="s">
        <v>17596</v>
      </c>
      <c r="C5744" s="17" t="s">
        <v>11</v>
      </c>
      <c r="D5744" s="17" t="s">
        <v>59</v>
      </c>
      <c r="E5744" s="17" t="s">
        <v>13</v>
      </c>
      <c r="F5744" s="16" t="s">
        <v>17597</v>
      </c>
    </row>
    <row r="5745" spans="1:6" x14ac:dyDescent="0.25">
      <c r="A5745" s="16" t="s">
        <v>17598</v>
      </c>
      <c r="B5745" s="17" t="s">
        <v>17599</v>
      </c>
      <c r="C5745" s="17" t="s">
        <v>11</v>
      </c>
      <c r="D5745" s="17" t="s">
        <v>12</v>
      </c>
      <c r="E5745" s="17" t="s">
        <v>13</v>
      </c>
      <c r="F5745" s="16" t="s">
        <v>17600</v>
      </c>
    </row>
    <row r="5746" spans="1:6" x14ac:dyDescent="0.25">
      <c r="A5746" s="16" t="s">
        <v>17601</v>
      </c>
      <c r="B5746" s="17" t="s">
        <v>17602</v>
      </c>
      <c r="C5746" s="17" t="s">
        <v>11</v>
      </c>
      <c r="D5746" s="17" t="s">
        <v>83</v>
      </c>
      <c r="E5746" s="17" t="s">
        <v>20</v>
      </c>
      <c r="F5746" s="16" t="s">
        <v>17603</v>
      </c>
    </row>
    <row r="5747" spans="1:6" x14ac:dyDescent="0.25">
      <c r="A5747" s="16" t="s">
        <v>17604</v>
      </c>
      <c r="B5747" s="17" t="s">
        <v>17605</v>
      </c>
      <c r="C5747" s="17" t="s">
        <v>11</v>
      </c>
      <c r="D5747" s="17" t="s">
        <v>74</v>
      </c>
      <c r="E5747" s="17" t="s">
        <v>20</v>
      </c>
      <c r="F5747" s="16" t="s">
        <v>17606</v>
      </c>
    </row>
    <row r="5748" spans="1:6" x14ac:dyDescent="0.25">
      <c r="A5748" s="16" t="s">
        <v>17607</v>
      </c>
      <c r="B5748" s="17" t="s">
        <v>17608</v>
      </c>
      <c r="C5748" s="17" t="s">
        <v>11</v>
      </c>
      <c r="D5748" s="17" t="s">
        <v>12</v>
      </c>
      <c r="E5748" s="17" t="s">
        <v>13</v>
      </c>
      <c r="F5748" s="16" t="s">
        <v>17609</v>
      </c>
    </row>
    <row r="5749" spans="1:6" x14ac:dyDescent="0.25">
      <c r="A5749" s="16" t="s">
        <v>17610</v>
      </c>
      <c r="B5749" s="17" t="s">
        <v>17611</v>
      </c>
      <c r="C5749" s="17" t="s">
        <v>11</v>
      </c>
      <c r="D5749" s="17" t="s">
        <v>12</v>
      </c>
      <c r="E5749" s="17" t="s">
        <v>13</v>
      </c>
      <c r="F5749" s="16" t="s">
        <v>17612</v>
      </c>
    </row>
    <row r="5750" spans="1:6" x14ac:dyDescent="0.25">
      <c r="A5750" s="16" t="s">
        <v>17613</v>
      </c>
      <c r="B5750" s="17" t="s">
        <v>17614</v>
      </c>
      <c r="C5750" s="17" t="s">
        <v>11</v>
      </c>
      <c r="D5750" s="17" t="s">
        <v>59</v>
      </c>
      <c r="E5750" s="17" t="s">
        <v>13</v>
      </c>
      <c r="F5750" s="16" t="s">
        <v>17615</v>
      </c>
    </row>
    <row r="5751" spans="1:6" x14ac:dyDescent="0.25">
      <c r="A5751" s="16" t="s">
        <v>17616</v>
      </c>
      <c r="B5751" s="17" t="s">
        <v>17617</v>
      </c>
      <c r="C5751" s="17" t="s">
        <v>11</v>
      </c>
      <c r="D5751" s="17" t="s">
        <v>12</v>
      </c>
      <c r="E5751" s="17" t="s">
        <v>13</v>
      </c>
      <c r="F5751" s="16" t="s">
        <v>17618</v>
      </c>
    </row>
    <row r="5752" spans="1:6" x14ac:dyDescent="0.25">
      <c r="A5752" s="16" t="s">
        <v>17619</v>
      </c>
      <c r="B5752" s="17" t="s">
        <v>17620</v>
      </c>
      <c r="C5752" s="17" t="s">
        <v>11</v>
      </c>
      <c r="D5752" s="17" t="s">
        <v>182</v>
      </c>
      <c r="E5752" s="17" t="s">
        <v>20</v>
      </c>
      <c r="F5752" s="16" t="s">
        <v>17621</v>
      </c>
    </row>
    <row r="5753" spans="1:6" x14ac:dyDescent="0.25">
      <c r="A5753" s="16" t="s">
        <v>17622</v>
      </c>
      <c r="B5753" s="17" t="s">
        <v>17623</v>
      </c>
      <c r="C5753" s="17" t="s">
        <v>11</v>
      </c>
      <c r="D5753" s="17" t="s">
        <v>80</v>
      </c>
      <c r="E5753" s="17" t="s">
        <v>20</v>
      </c>
      <c r="F5753" s="16" t="s">
        <v>17624</v>
      </c>
    </row>
    <row r="5754" spans="1:6" x14ac:dyDescent="0.25">
      <c r="A5754" s="16" t="s">
        <v>17625</v>
      </c>
      <c r="B5754" s="17" t="s">
        <v>17626</v>
      </c>
      <c r="C5754" s="17" t="s">
        <v>11</v>
      </c>
      <c r="D5754" s="17" t="s">
        <v>12</v>
      </c>
      <c r="E5754" s="17" t="s">
        <v>13</v>
      </c>
      <c r="F5754" s="16" t="s">
        <v>17627</v>
      </c>
    </row>
    <row r="5755" spans="1:6" x14ac:dyDescent="0.25">
      <c r="A5755" s="16" t="s">
        <v>17628</v>
      </c>
      <c r="B5755" s="17" t="s">
        <v>17629</v>
      </c>
      <c r="C5755" s="17" t="s">
        <v>11</v>
      </c>
      <c r="D5755" s="17" t="s">
        <v>12</v>
      </c>
      <c r="E5755" s="17" t="s">
        <v>13</v>
      </c>
      <c r="F5755" s="16" t="s">
        <v>17630</v>
      </c>
    </row>
    <row r="5756" spans="1:6" x14ac:dyDescent="0.25">
      <c r="A5756" s="16" t="s">
        <v>17631</v>
      </c>
      <c r="B5756" s="17" t="s">
        <v>17632</v>
      </c>
      <c r="C5756" s="17" t="s">
        <v>11</v>
      </c>
      <c r="D5756" s="17" t="s">
        <v>186</v>
      </c>
      <c r="E5756" s="17" t="s">
        <v>20</v>
      </c>
      <c r="F5756" s="16" t="s">
        <v>17633</v>
      </c>
    </row>
    <row r="5757" spans="1:6" x14ac:dyDescent="0.25">
      <c r="A5757" s="16" t="s">
        <v>17634</v>
      </c>
      <c r="B5757" s="17" t="s">
        <v>17635</v>
      </c>
      <c r="C5757" s="17" t="s">
        <v>11</v>
      </c>
      <c r="D5757" s="17" t="s">
        <v>12</v>
      </c>
      <c r="E5757" s="17" t="s">
        <v>13</v>
      </c>
      <c r="F5757" s="16" t="s">
        <v>17636</v>
      </c>
    </row>
    <row r="5758" spans="1:6" x14ac:dyDescent="0.25">
      <c r="A5758" s="16" t="s">
        <v>17637</v>
      </c>
      <c r="B5758" s="17" t="s">
        <v>17638</v>
      </c>
      <c r="C5758" s="17" t="s">
        <v>11</v>
      </c>
      <c r="D5758" s="17" t="s">
        <v>12</v>
      </c>
      <c r="E5758" s="17" t="s">
        <v>13</v>
      </c>
      <c r="F5758" s="16" t="s">
        <v>17639</v>
      </c>
    </row>
    <row r="5759" spans="1:6" x14ac:dyDescent="0.25">
      <c r="A5759" s="16" t="s">
        <v>17640</v>
      </c>
      <c r="B5759" s="17" t="s">
        <v>17641</v>
      </c>
      <c r="C5759" s="17" t="s">
        <v>11</v>
      </c>
      <c r="D5759" s="17" t="s">
        <v>32</v>
      </c>
      <c r="E5759" s="17" t="s">
        <v>20</v>
      </c>
      <c r="F5759" s="16" t="s">
        <v>17642</v>
      </c>
    </row>
    <row r="5760" spans="1:6" x14ac:dyDescent="0.25">
      <c r="A5760" s="16" t="s">
        <v>17643</v>
      </c>
      <c r="B5760" s="17" t="s">
        <v>17644</v>
      </c>
      <c r="C5760" s="17" t="s">
        <v>11</v>
      </c>
      <c r="D5760" s="17" t="s">
        <v>12</v>
      </c>
      <c r="E5760" s="17" t="s">
        <v>13</v>
      </c>
      <c r="F5760" s="16" t="s">
        <v>17645</v>
      </c>
    </row>
    <row r="5761" spans="1:6" x14ac:dyDescent="0.25">
      <c r="A5761" s="16" t="s">
        <v>17646</v>
      </c>
      <c r="B5761" s="17" t="s">
        <v>17647</v>
      </c>
      <c r="C5761" s="17" t="s">
        <v>11</v>
      </c>
      <c r="D5761" s="17" t="s">
        <v>12</v>
      </c>
      <c r="E5761" s="17" t="s">
        <v>13</v>
      </c>
      <c r="F5761" s="16" t="s">
        <v>17648</v>
      </c>
    </row>
    <row r="5762" spans="1:6" x14ac:dyDescent="0.25">
      <c r="A5762" s="16" t="s">
        <v>17649</v>
      </c>
      <c r="B5762" s="17" t="s">
        <v>17650</v>
      </c>
      <c r="C5762" s="17" t="s">
        <v>11</v>
      </c>
      <c r="D5762" s="17" t="s">
        <v>12</v>
      </c>
      <c r="E5762" s="17" t="s">
        <v>13</v>
      </c>
      <c r="F5762" s="16" t="s">
        <v>17651</v>
      </c>
    </row>
    <row r="5763" spans="1:6" x14ac:dyDescent="0.25">
      <c r="A5763" s="16" t="s">
        <v>17652</v>
      </c>
      <c r="B5763" s="17" t="s">
        <v>17653</v>
      </c>
      <c r="C5763" s="17" t="s">
        <v>11</v>
      </c>
      <c r="D5763" s="17" t="s">
        <v>12</v>
      </c>
      <c r="E5763" s="17" t="s">
        <v>13</v>
      </c>
      <c r="F5763" s="16" t="s">
        <v>17654</v>
      </c>
    </row>
    <row r="5764" spans="1:6" x14ac:dyDescent="0.25">
      <c r="A5764" s="16" t="s">
        <v>17655</v>
      </c>
      <c r="B5764" s="17" t="s">
        <v>17656</v>
      </c>
      <c r="C5764" s="17" t="s">
        <v>11</v>
      </c>
      <c r="D5764" s="17" t="s">
        <v>32</v>
      </c>
      <c r="E5764" s="17" t="s">
        <v>20</v>
      </c>
      <c r="F5764" s="16" t="s">
        <v>17657</v>
      </c>
    </row>
    <row r="5765" spans="1:6" x14ac:dyDescent="0.25">
      <c r="A5765" s="16" t="s">
        <v>17658</v>
      </c>
      <c r="B5765" s="17" t="s">
        <v>17659</v>
      </c>
      <c r="C5765" s="17" t="s">
        <v>11</v>
      </c>
      <c r="D5765" s="17" t="s">
        <v>80</v>
      </c>
      <c r="E5765" s="17" t="s">
        <v>20</v>
      </c>
      <c r="F5765" s="16" t="s">
        <v>17660</v>
      </c>
    </row>
    <row r="5766" spans="1:6" x14ac:dyDescent="0.25">
      <c r="A5766" s="16" t="s">
        <v>17661</v>
      </c>
      <c r="B5766" s="17" t="s">
        <v>17662</v>
      </c>
      <c r="C5766" s="17" t="s">
        <v>11</v>
      </c>
      <c r="D5766" s="17" t="s">
        <v>12</v>
      </c>
      <c r="E5766" s="17" t="s">
        <v>13</v>
      </c>
      <c r="F5766" s="16" t="s">
        <v>17663</v>
      </c>
    </row>
    <row r="5767" spans="1:6" x14ac:dyDescent="0.25">
      <c r="A5767" s="16" t="s">
        <v>17664</v>
      </c>
      <c r="B5767" s="17" t="s">
        <v>17665</v>
      </c>
      <c r="C5767" s="17" t="s">
        <v>11</v>
      </c>
      <c r="D5767" s="17" t="s">
        <v>12</v>
      </c>
      <c r="E5767" s="17" t="s">
        <v>13</v>
      </c>
      <c r="F5767" s="16" t="s">
        <v>17666</v>
      </c>
    </row>
    <row r="5768" spans="1:6" x14ac:dyDescent="0.25">
      <c r="A5768" s="16" t="s">
        <v>17667</v>
      </c>
      <c r="B5768" s="17" t="s">
        <v>17668</v>
      </c>
      <c r="C5768" s="17" t="s">
        <v>11</v>
      </c>
      <c r="D5768" s="17" t="s">
        <v>32</v>
      </c>
      <c r="E5768" s="17" t="s">
        <v>20</v>
      </c>
      <c r="F5768" s="16" t="s">
        <v>17669</v>
      </c>
    </row>
    <row r="5769" spans="1:6" x14ac:dyDescent="0.25">
      <c r="A5769" s="16" t="s">
        <v>17670</v>
      </c>
      <c r="B5769" s="17" t="s">
        <v>17671</v>
      </c>
      <c r="C5769" s="17" t="s">
        <v>11</v>
      </c>
      <c r="D5769" s="17" t="s">
        <v>32</v>
      </c>
      <c r="E5769" s="17" t="s">
        <v>20</v>
      </c>
      <c r="F5769" s="16" t="s">
        <v>17672</v>
      </c>
    </row>
    <row r="5770" spans="1:6" x14ac:dyDescent="0.25">
      <c r="A5770" s="16" t="s">
        <v>17673</v>
      </c>
      <c r="B5770" s="17" t="s">
        <v>17674</v>
      </c>
      <c r="C5770" s="17" t="s">
        <v>11</v>
      </c>
      <c r="D5770" s="17" t="s">
        <v>12</v>
      </c>
      <c r="E5770" s="17" t="s">
        <v>13</v>
      </c>
      <c r="F5770" s="16" t="s">
        <v>17675</v>
      </c>
    </row>
    <row r="5771" spans="1:6" x14ac:dyDescent="0.25">
      <c r="A5771" s="16" t="s">
        <v>17676</v>
      </c>
      <c r="B5771" s="17" t="s">
        <v>17677</v>
      </c>
      <c r="C5771" s="17" t="s">
        <v>11</v>
      </c>
      <c r="D5771" s="17" t="s">
        <v>74</v>
      </c>
      <c r="E5771" s="17" t="s">
        <v>20</v>
      </c>
      <c r="F5771" s="16" t="s">
        <v>17678</v>
      </c>
    </row>
    <row r="5772" spans="1:6" x14ac:dyDescent="0.25">
      <c r="A5772" s="16" t="s">
        <v>17679</v>
      </c>
      <c r="B5772" s="17" t="s">
        <v>17680</v>
      </c>
      <c r="C5772" s="17" t="s">
        <v>11</v>
      </c>
      <c r="D5772" s="17" t="s">
        <v>649</v>
      </c>
      <c r="E5772" s="17" t="s">
        <v>20</v>
      </c>
      <c r="F5772" s="16" t="s">
        <v>17681</v>
      </c>
    </row>
    <row r="5773" spans="1:6" x14ac:dyDescent="0.25">
      <c r="A5773" s="16" t="s">
        <v>17682</v>
      </c>
      <c r="B5773" s="17" t="s">
        <v>17683</v>
      </c>
      <c r="C5773" s="17" t="s">
        <v>11</v>
      </c>
      <c r="D5773" s="17" t="s">
        <v>250</v>
      </c>
      <c r="E5773" s="17" t="s">
        <v>20</v>
      </c>
      <c r="F5773" s="16" t="s">
        <v>17684</v>
      </c>
    </row>
    <row r="5774" spans="1:6" x14ac:dyDescent="0.25">
      <c r="A5774" s="16" t="s">
        <v>17685</v>
      </c>
      <c r="B5774" s="17" t="s">
        <v>17686</v>
      </c>
      <c r="C5774" s="17" t="s">
        <v>11</v>
      </c>
      <c r="D5774" s="17" t="s">
        <v>32</v>
      </c>
      <c r="E5774" s="17" t="s">
        <v>20</v>
      </c>
      <c r="F5774" s="16" t="s">
        <v>17687</v>
      </c>
    </row>
    <row r="5775" spans="1:6" x14ac:dyDescent="0.25">
      <c r="A5775" s="16" t="s">
        <v>17688</v>
      </c>
      <c r="B5775" s="17" t="s">
        <v>17689</v>
      </c>
      <c r="C5775" s="17" t="s">
        <v>11</v>
      </c>
      <c r="D5775" s="17" t="s">
        <v>26</v>
      </c>
      <c r="E5775" s="17" t="s">
        <v>20</v>
      </c>
      <c r="F5775" s="16" t="s">
        <v>17690</v>
      </c>
    </row>
    <row r="5776" spans="1:6" x14ac:dyDescent="0.25">
      <c r="A5776" s="16" t="s">
        <v>17691</v>
      </c>
      <c r="B5776" s="17" t="s">
        <v>17692</v>
      </c>
      <c r="C5776" s="17" t="s">
        <v>11</v>
      </c>
      <c r="D5776" s="17" t="s">
        <v>74</v>
      </c>
      <c r="E5776" s="17" t="s">
        <v>20</v>
      </c>
      <c r="F5776" s="16" t="s">
        <v>17693</v>
      </c>
    </row>
    <row r="5777" spans="1:6" x14ac:dyDescent="0.25">
      <c r="A5777" s="16" t="s">
        <v>17694</v>
      </c>
      <c r="B5777" s="17" t="s">
        <v>17695</v>
      </c>
      <c r="C5777" s="17" t="s">
        <v>11</v>
      </c>
      <c r="D5777" s="17" t="s">
        <v>74</v>
      </c>
      <c r="E5777" s="17" t="s">
        <v>20</v>
      </c>
      <c r="F5777" s="16" t="s">
        <v>17696</v>
      </c>
    </row>
    <row r="5778" spans="1:6" x14ac:dyDescent="0.25">
      <c r="A5778" s="16" t="s">
        <v>17697</v>
      </c>
      <c r="B5778" s="17" t="s">
        <v>17698</v>
      </c>
      <c r="C5778" s="17" t="s">
        <v>11</v>
      </c>
      <c r="D5778" s="17" t="s">
        <v>250</v>
      </c>
      <c r="E5778" s="17" t="s">
        <v>20</v>
      </c>
      <c r="F5778" s="16" t="s">
        <v>17699</v>
      </c>
    </row>
    <row r="5779" spans="1:6" x14ac:dyDescent="0.25">
      <c r="A5779" s="16" t="s">
        <v>17700</v>
      </c>
      <c r="B5779" s="17" t="s">
        <v>17701</v>
      </c>
      <c r="C5779" s="17" t="s">
        <v>11</v>
      </c>
      <c r="D5779" s="17" t="s">
        <v>32</v>
      </c>
      <c r="E5779" s="17" t="s">
        <v>20</v>
      </c>
      <c r="F5779" s="16" t="s">
        <v>17702</v>
      </c>
    </row>
    <row r="5780" spans="1:6" x14ac:dyDescent="0.25">
      <c r="A5780" s="16" t="s">
        <v>17703</v>
      </c>
      <c r="B5780" s="17" t="s">
        <v>17704</v>
      </c>
      <c r="C5780" s="17" t="s">
        <v>11</v>
      </c>
      <c r="D5780" s="17" t="s">
        <v>32</v>
      </c>
      <c r="E5780" s="17" t="s">
        <v>20</v>
      </c>
      <c r="F5780" s="16" t="s">
        <v>17705</v>
      </c>
    </row>
    <row r="5781" spans="1:6" x14ac:dyDescent="0.25">
      <c r="A5781" s="16" t="s">
        <v>17706</v>
      </c>
      <c r="B5781" s="17" t="s">
        <v>17707</v>
      </c>
      <c r="C5781" s="17" t="s">
        <v>11</v>
      </c>
      <c r="D5781" s="17" t="s">
        <v>250</v>
      </c>
      <c r="E5781" s="17" t="s">
        <v>20</v>
      </c>
      <c r="F5781" s="16" t="s">
        <v>17708</v>
      </c>
    </row>
    <row r="5782" spans="1:6" x14ac:dyDescent="0.25">
      <c r="A5782" s="16" t="s">
        <v>17709</v>
      </c>
      <c r="B5782" s="17" t="s">
        <v>17710</v>
      </c>
      <c r="C5782" s="17" t="s">
        <v>11</v>
      </c>
      <c r="D5782" s="17" t="s">
        <v>32</v>
      </c>
      <c r="E5782" s="17" t="s">
        <v>20</v>
      </c>
      <c r="F5782" s="16" t="s">
        <v>17711</v>
      </c>
    </row>
    <row r="5783" spans="1:6" x14ac:dyDescent="0.25">
      <c r="A5783" s="16" t="s">
        <v>17712</v>
      </c>
      <c r="B5783" s="17" t="s">
        <v>17713</v>
      </c>
      <c r="C5783" s="17" t="s">
        <v>11</v>
      </c>
      <c r="D5783" s="17" t="s">
        <v>649</v>
      </c>
      <c r="E5783" s="17" t="s">
        <v>20</v>
      </c>
      <c r="F5783" s="16" t="s">
        <v>17714</v>
      </c>
    </row>
    <row r="5784" spans="1:6" x14ac:dyDescent="0.25">
      <c r="A5784" s="16" t="s">
        <v>17715</v>
      </c>
      <c r="B5784" s="17" t="s">
        <v>17716</v>
      </c>
      <c r="C5784" s="17" t="s">
        <v>11</v>
      </c>
      <c r="D5784" s="17" t="s">
        <v>148</v>
      </c>
      <c r="E5784" s="17" t="s">
        <v>20</v>
      </c>
      <c r="F5784" s="16" t="s">
        <v>17717</v>
      </c>
    </row>
    <row r="5785" spans="1:6" x14ac:dyDescent="0.25">
      <c r="A5785" s="16" t="s">
        <v>17718</v>
      </c>
      <c r="B5785" s="17" t="s">
        <v>17719</v>
      </c>
      <c r="C5785" s="17" t="s">
        <v>11</v>
      </c>
      <c r="D5785" s="17" t="s">
        <v>186</v>
      </c>
      <c r="E5785" s="17" t="s">
        <v>20</v>
      </c>
      <c r="F5785" s="16" t="s">
        <v>17720</v>
      </c>
    </row>
    <row r="5786" spans="1:6" x14ac:dyDescent="0.25">
      <c r="A5786" s="16" t="s">
        <v>17721</v>
      </c>
      <c r="B5786" s="17" t="s">
        <v>17722</v>
      </c>
      <c r="C5786" s="17" t="s">
        <v>11</v>
      </c>
      <c r="D5786" s="17" t="s">
        <v>182</v>
      </c>
      <c r="E5786" s="17" t="s">
        <v>20</v>
      </c>
      <c r="F5786" s="16" t="s">
        <v>17723</v>
      </c>
    </row>
    <row r="5787" spans="1:6" x14ac:dyDescent="0.25">
      <c r="A5787" s="16" t="s">
        <v>17724</v>
      </c>
      <c r="B5787" s="17" t="s">
        <v>17725</v>
      </c>
      <c r="C5787" s="17" t="s">
        <v>11</v>
      </c>
      <c r="D5787" s="17" t="s">
        <v>80</v>
      </c>
      <c r="E5787" s="17" t="s">
        <v>20</v>
      </c>
      <c r="F5787" s="16" t="s">
        <v>17726</v>
      </c>
    </row>
    <row r="5788" spans="1:6" x14ac:dyDescent="0.25">
      <c r="A5788" s="16" t="s">
        <v>17727</v>
      </c>
      <c r="B5788" s="17" t="s">
        <v>17728</v>
      </c>
      <c r="C5788" s="17" t="s">
        <v>11</v>
      </c>
      <c r="D5788" s="17" t="s">
        <v>32</v>
      </c>
      <c r="E5788" s="17" t="s">
        <v>20</v>
      </c>
      <c r="F5788" s="16" t="s">
        <v>17729</v>
      </c>
    </row>
    <row r="5789" spans="1:6" x14ac:dyDescent="0.25">
      <c r="A5789" s="16" t="s">
        <v>17730</v>
      </c>
      <c r="B5789" s="17" t="s">
        <v>17731</v>
      </c>
      <c r="C5789" s="17" t="s">
        <v>11</v>
      </c>
      <c r="D5789" s="17" t="s">
        <v>32</v>
      </c>
      <c r="E5789" s="17" t="s">
        <v>20</v>
      </c>
      <c r="F5789" s="16" t="s">
        <v>17732</v>
      </c>
    </row>
    <row r="5790" spans="1:6" x14ac:dyDescent="0.25">
      <c r="A5790" s="16" t="s">
        <v>17733</v>
      </c>
      <c r="B5790" s="17" t="s">
        <v>17734</v>
      </c>
      <c r="C5790" s="17" t="s">
        <v>11</v>
      </c>
      <c r="D5790" s="17" t="s">
        <v>148</v>
      </c>
      <c r="E5790" s="17" t="s">
        <v>20</v>
      </c>
      <c r="F5790" s="16" t="s">
        <v>17735</v>
      </c>
    </row>
    <row r="5791" spans="1:6" x14ac:dyDescent="0.25">
      <c r="A5791" s="16" t="s">
        <v>17736</v>
      </c>
      <c r="B5791" s="17" t="s">
        <v>17737</v>
      </c>
      <c r="C5791" s="17" t="s">
        <v>11</v>
      </c>
      <c r="D5791" s="17" t="s">
        <v>26</v>
      </c>
      <c r="E5791" s="17" t="s">
        <v>20</v>
      </c>
      <c r="F5791" s="16" t="s">
        <v>17738</v>
      </c>
    </row>
    <row r="5792" spans="1:6" x14ac:dyDescent="0.25">
      <c r="A5792" s="16" t="s">
        <v>17739</v>
      </c>
      <c r="B5792" s="17" t="s">
        <v>17740</v>
      </c>
      <c r="C5792" s="17" t="s">
        <v>11</v>
      </c>
      <c r="D5792" s="17" t="s">
        <v>26</v>
      </c>
      <c r="E5792" s="17" t="s">
        <v>20</v>
      </c>
      <c r="F5792" s="16" t="s">
        <v>17741</v>
      </c>
    </row>
    <row r="5793" spans="1:6" x14ac:dyDescent="0.25">
      <c r="A5793" s="16" t="s">
        <v>17742</v>
      </c>
      <c r="B5793" s="17" t="s">
        <v>17743</v>
      </c>
      <c r="C5793" s="17" t="s">
        <v>11</v>
      </c>
      <c r="D5793" s="17" t="s">
        <v>182</v>
      </c>
      <c r="E5793" s="17" t="s">
        <v>20</v>
      </c>
      <c r="F5793" s="16" t="s">
        <v>17744</v>
      </c>
    </row>
    <row r="5794" spans="1:6" x14ac:dyDescent="0.25">
      <c r="A5794" s="16" t="s">
        <v>17745</v>
      </c>
      <c r="B5794" s="17" t="s">
        <v>17746</v>
      </c>
      <c r="C5794" s="17" t="s">
        <v>11</v>
      </c>
      <c r="D5794" s="17" t="s">
        <v>32</v>
      </c>
      <c r="E5794" s="17" t="s">
        <v>20</v>
      </c>
      <c r="F5794" s="16" t="s">
        <v>17747</v>
      </c>
    </row>
    <row r="5795" spans="1:6" x14ac:dyDescent="0.25">
      <c r="A5795" s="16" t="s">
        <v>17748</v>
      </c>
      <c r="B5795" s="17" t="s">
        <v>17749</v>
      </c>
      <c r="C5795" s="17" t="s">
        <v>11</v>
      </c>
      <c r="D5795" s="17" t="s">
        <v>32</v>
      </c>
      <c r="E5795" s="17" t="s">
        <v>20</v>
      </c>
      <c r="F5795" s="16" t="s">
        <v>17750</v>
      </c>
    </row>
    <row r="5796" spans="1:6" x14ac:dyDescent="0.25">
      <c r="A5796" s="16" t="s">
        <v>17751</v>
      </c>
      <c r="B5796" s="17" t="s">
        <v>17752</v>
      </c>
      <c r="C5796" s="17" t="s">
        <v>11</v>
      </c>
      <c r="D5796" s="17" t="s">
        <v>26</v>
      </c>
      <c r="E5796" s="17" t="s">
        <v>20</v>
      </c>
      <c r="F5796" s="16" t="s">
        <v>17753</v>
      </c>
    </row>
    <row r="5797" spans="1:6" x14ac:dyDescent="0.25">
      <c r="A5797" s="16" t="s">
        <v>17754</v>
      </c>
      <c r="B5797" s="17" t="s">
        <v>17755</v>
      </c>
      <c r="C5797" s="17" t="s">
        <v>11</v>
      </c>
      <c r="D5797" s="17" t="s">
        <v>12</v>
      </c>
      <c r="E5797" s="17" t="s">
        <v>13</v>
      </c>
      <c r="F5797" s="16" t="s">
        <v>17756</v>
      </c>
    </row>
    <row r="5798" spans="1:6" x14ac:dyDescent="0.25">
      <c r="A5798" s="16" t="s">
        <v>17757</v>
      </c>
      <c r="B5798" s="17" t="s">
        <v>17758</v>
      </c>
      <c r="C5798" s="17" t="s">
        <v>11</v>
      </c>
      <c r="D5798" s="17" t="s">
        <v>12</v>
      </c>
      <c r="E5798" s="17" t="s">
        <v>13</v>
      </c>
      <c r="F5798" s="16" t="s">
        <v>17759</v>
      </c>
    </row>
    <row r="5799" spans="1:6" x14ac:dyDescent="0.25">
      <c r="A5799" s="16" t="s">
        <v>17760</v>
      </c>
      <c r="B5799" s="17" t="s">
        <v>17761</v>
      </c>
      <c r="C5799" s="17" t="s">
        <v>11</v>
      </c>
      <c r="D5799" s="17" t="s">
        <v>12</v>
      </c>
      <c r="E5799" s="17" t="s">
        <v>13</v>
      </c>
      <c r="F5799" s="16" t="s">
        <v>17762</v>
      </c>
    </row>
    <row r="5800" spans="1:6" x14ac:dyDescent="0.25">
      <c r="A5800" s="16" t="s">
        <v>17763</v>
      </c>
      <c r="B5800" s="17" t="s">
        <v>17764</v>
      </c>
      <c r="C5800" s="17" t="s">
        <v>11</v>
      </c>
      <c r="D5800" s="17" t="s">
        <v>19</v>
      </c>
      <c r="E5800" s="17" t="s">
        <v>20</v>
      </c>
      <c r="F5800" s="16" t="s">
        <v>17765</v>
      </c>
    </row>
    <row r="5801" spans="1:6" x14ac:dyDescent="0.25">
      <c r="A5801" s="16" t="s">
        <v>17766</v>
      </c>
      <c r="B5801" s="17" t="s">
        <v>17767</v>
      </c>
      <c r="C5801" s="17" t="s">
        <v>11</v>
      </c>
      <c r="D5801" s="17" t="s">
        <v>12</v>
      </c>
      <c r="E5801" s="17" t="s">
        <v>13</v>
      </c>
      <c r="F5801" s="16" t="s">
        <v>17768</v>
      </c>
    </row>
    <row r="5802" spans="1:6" x14ac:dyDescent="0.25">
      <c r="A5802" s="16" t="s">
        <v>17769</v>
      </c>
      <c r="B5802" s="17" t="s">
        <v>17770</v>
      </c>
      <c r="C5802" s="17" t="s">
        <v>11</v>
      </c>
      <c r="D5802" s="17" t="s">
        <v>291</v>
      </c>
      <c r="E5802" s="17" t="s">
        <v>20</v>
      </c>
      <c r="F5802" s="16" t="s">
        <v>17771</v>
      </c>
    </row>
    <row r="5803" spans="1:6" x14ac:dyDescent="0.25">
      <c r="A5803" s="16" t="s">
        <v>17772</v>
      </c>
      <c r="B5803" s="17" t="s">
        <v>17773</v>
      </c>
      <c r="C5803" s="17" t="s">
        <v>11</v>
      </c>
      <c r="D5803" s="17" t="s">
        <v>12</v>
      </c>
      <c r="E5803" s="17" t="s">
        <v>13</v>
      </c>
      <c r="F5803" s="16" t="s">
        <v>17774</v>
      </c>
    </row>
    <row r="5804" spans="1:6" x14ac:dyDescent="0.25">
      <c r="A5804" s="16" t="s">
        <v>17775</v>
      </c>
      <c r="B5804" s="17" t="s">
        <v>17776</v>
      </c>
      <c r="C5804" s="17" t="s">
        <v>11</v>
      </c>
      <c r="D5804" s="17" t="s">
        <v>59</v>
      </c>
      <c r="E5804" s="17" t="s">
        <v>13</v>
      </c>
      <c r="F5804" s="16" t="s">
        <v>17777</v>
      </c>
    </row>
    <row r="5805" spans="1:6" x14ac:dyDescent="0.25">
      <c r="A5805" s="16" t="s">
        <v>17778</v>
      </c>
      <c r="B5805" s="17" t="s">
        <v>17779</v>
      </c>
      <c r="C5805" s="17" t="s">
        <v>11</v>
      </c>
      <c r="D5805" s="17" t="s">
        <v>12</v>
      </c>
      <c r="E5805" s="17" t="s">
        <v>13</v>
      </c>
      <c r="F5805" s="16" t="s">
        <v>17780</v>
      </c>
    </row>
    <row r="5806" spans="1:6" x14ac:dyDescent="0.25">
      <c r="A5806" s="16" t="s">
        <v>17781</v>
      </c>
      <c r="B5806" s="17" t="s">
        <v>17782</v>
      </c>
      <c r="C5806" s="17" t="s">
        <v>11</v>
      </c>
      <c r="D5806" s="17" t="s">
        <v>12</v>
      </c>
      <c r="E5806" s="17" t="s">
        <v>13</v>
      </c>
      <c r="F5806" s="16" t="s">
        <v>17783</v>
      </c>
    </row>
    <row r="5807" spans="1:6" x14ac:dyDescent="0.25">
      <c r="A5807" s="16" t="s">
        <v>17784</v>
      </c>
      <c r="B5807" s="17" t="s">
        <v>17785</v>
      </c>
      <c r="C5807" s="17" t="s">
        <v>11</v>
      </c>
      <c r="D5807" s="17" t="s">
        <v>186</v>
      </c>
      <c r="E5807" s="17" t="s">
        <v>20</v>
      </c>
      <c r="F5807" s="16" t="s">
        <v>17786</v>
      </c>
    </row>
    <row r="5808" spans="1:6" x14ac:dyDescent="0.25">
      <c r="A5808" s="16" t="s">
        <v>17787</v>
      </c>
      <c r="B5808" s="17" t="s">
        <v>17788</v>
      </c>
      <c r="C5808" s="17" t="s">
        <v>11</v>
      </c>
      <c r="D5808" s="17" t="s">
        <v>12</v>
      </c>
      <c r="E5808" s="17" t="s">
        <v>13</v>
      </c>
      <c r="F5808" s="16" t="s">
        <v>17789</v>
      </c>
    </row>
    <row r="5809" spans="1:6" x14ac:dyDescent="0.25">
      <c r="A5809" s="16" t="s">
        <v>17790</v>
      </c>
      <c r="B5809" s="17" t="s">
        <v>17791</v>
      </c>
      <c r="C5809" s="17" t="s">
        <v>11</v>
      </c>
      <c r="D5809" s="17" t="s">
        <v>12</v>
      </c>
      <c r="E5809" s="17" t="s">
        <v>13</v>
      </c>
      <c r="F5809" s="16" t="s">
        <v>17792</v>
      </c>
    </row>
    <row r="5810" spans="1:6" x14ac:dyDescent="0.25">
      <c r="A5810" s="16" t="s">
        <v>17793</v>
      </c>
      <c r="B5810" s="17" t="s">
        <v>17794</v>
      </c>
      <c r="C5810" s="17" t="s">
        <v>11</v>
      </c>
      <c r="D5810" s="17" t="s">
        <v>59</v>
      </c>
      <c r="E5810" s="17" t="s">
        <v>13</v>
      </c>
      <c r="F5810" s="16" t="s">
        <v>17795</v>
      </c>
    </row>
    <row r="5811" spans="1:6" x14ac:dyDescent="0.25">
      <c r="A5811" s="16" t="s">
        <v>17796</v>
      </c>
      <c r="B5811" s="17" t="s">
        <v>17797</v>
      </c>
      <c r="C5811" s="17" t="s">
        <v>11</v>
      </c>
      <c r="D5811" s="17" t="s">
        <v>12</v>
      </c>
      <c r="E5811" s="17" t="s">
        <v>13</v>
      </c>
      <c r="F5811" s="16" t="s">
        <v>17798</v>
      </c>
    </row>
    <row r="5812" spans="1:6" x14ac:dyDescent="0.25">
      <c r="A5812" s="16" t="s">
        <v>17799</v>
      </c>
      <c r="B5812" s="17" t="s">
        <v>17800</v>
      </c>
      <c r="C5812" s="17" t="s">
        <v>11</v>
      </c>
      <c r="D5812" s="17" t="s">
        <v>12</v>
      </c>
      <c r="E5812" s="17" t="s">
        <v>13</v>
      </c>
      <c r="F5812" s="16" t="s">
        <v>17801</v>
      </c>
    </row>
    <row r="5813" spans="1:6" x14ac:dyDescent="0.25">
      <c r="A5813" s="16" t="s">
        <v>17802</v>
      </c>
      <c r="B5813" s="17" t="s">
        <v>17803</v>
      </c>
      <c r="C5813" s="17" t="s">
        <v>11</v>
      </c>
      <c r="D5813" s="17" t="s">
        <v>12</v>
      </c>
      <c r="E5813" s="17" t="s">
        <v>13</v>
      </c>
      <c r="F5813" s="16" t="s">
        <v>17804</v>
      </c>
    </row>
    <row r="5814" spans="1:6" x14ac:dyDescent="0.25">
      <c r="A5814" s="16" t="s">
        <v>17805</v>
      </c>
      <c r="B5814" s="17" t="s">
        <v>17806</v>
      </c>
      <c r="C5814" s="17" t="s">
        <v>11</v>
      </c>
      <c r="D5814" s="17" t="s">
        <v>80</v>
      </c>
      <c r="E5814" s="17" t="s">
        <v>20</v>
      </c>
      <c r="F5814" s="16" t="s">
        <v>17807</v>
      </c>
    </row>
    <row r="5815" spans="1:6" x14ac:dyDescent="0.25">
      <c r="A5815" s="16" t="s">
        <v>17808</v>
      </c>
      <c r="B5815" s="17" t="s">
        <v>17809</v>
      </c>
      <c r="C5815" s="17" t="s">
        <v>11</v>
      </c>
      <c r="D5815" s="17" t="s">
        <v>12</v>
      </c>
      <c r="E5815" s="17" t="s">
        <v>13</v>
      </c>
      <c r="F5815" s="16" t="s">
        <v>17810</v>
      </c>
    </row>
    <row r="5816" spans="1:6" x14ac:dyDescent="0.25">
      <c r="A5816" s="16" t="s">
        <v>17811</v>
      </c>
      <c r="B5816" s="17" t="s">
        <v>17812</v>
      </c>
      <c r="C5816" s="17" t="s">
        <v>11</v>
      </c>
      <c r="D5816" s="17" t="s">
        <v>32</v>
      </c>
      <c r="E5816" s="17" t="s">
        <v>20</v>
      </c>
      <c r="F5816" s="16" t="s">
        <v>17813</v>
      </c>
    </row>
    <row r="5817" spans="1:6" x14ac:dyDescent="0.25">
      <c r="A5817" s="16" t="s">
        <v>17814</v>
      </c>
      <c r="B5817" s="17" t="s">
        <v>17815</v>
      </c>
      <c r="C5817" s="17" t="s">
        <v>11</v>
      </c>
      <c r="D5817" s="17" t="s">
        <v>74</v>
      </c>
      <c r="E5817" s="17" t="s">
        <v>20</v>
      </c>
      <c r="F5817" s="16" t="s">
        <v>17816</v>
      </c>
    </row>
    <row r="5818" spans="1:6" x14ac:dyDescent="0.25">
      <c r="A5818" s="16" t="s">
        <v>17817</v>
      </c>
      <c r="B5818" s="17" t="s">
        <v>17818</v>
      </c>
      <c r="C5818" s="17" t="s">
        <v>11</v>
      </c>
      <c r="D5818" s="17" t="s">
        <v>250</v>
      </c>
      <c r="E5818" s="17" t="s">
        <v>20</v>
      </c>
      <c r="F5818" s="16" t="s">
        <v>17819</v>
      </c>
    </row>
    <row r="5819" spans="1:6" x14ac:dyDescent="0.25">
      <c r="A5819" s="16" t="s">
        <v>17820</v>
      </c>
      <c r="B5819" s="17" t="s">
        <v>17821</v>
      </c>
      <c r="C5819" s="17" t="s">
        <v>11</v>
      </c>
      <c r="D5819" s="17" t="s">
        <v>32</v>
      </c>
      <c r="E5819" s="17" t="s">
        <v>20</v>
      </c>
      <c r="F5819" s="16" t="s">
        <v>17822</v>
      </c>
    </row>
    <row r="5820" spans="1:6" x14ac:dyDescent="0.25">
      <c r="A5820" s="16" t="s">
        <v>17823</v>
      </c>
      <c r="B5820" s="17" t="s">
        <v>17824</v>
      </c>
      <c r="C5820" s="17" t="s">
        <v>11</v>
      </c>
      <c r="D5820" s="17" t="s">
        <v>26</v>
      </c>
      <c r="E5820" s="17" t="s">
        <v>20</v>
      </c>
      <c r="F5820" s="16" t="s">
        <v>17825</v>
      </c>
    </row>
    <row r="5821" spans="1:6" x14ac:dyDescent="0.25">
      <c r="A5821" s="16" t="s">
        <v>17826</v>
      </c>
      <c r="B5821" s="17" t="s">
        <v>17827</v>
      </c>
      <c r="C5821" s="17" t="s">
        <v>11</v>
      </c>
      <c r="D5821" s="17" t="s">
        <v>12</v>
      </c>
      <c r="E5821" s="17" t="s">
        <v>13</v>
      </c>
      <c r="F5821" s="16" t="s">
        <v>17828</v>
      </c>
    </row>
    <row r="5822" spans="1:6" x14ac:dyDescent="0.25">
      <c r="A5822" s="16" t="s">
        <v>17829</v>
      </c>
      <c r="B5822" s="17" t="s">
        <v>17830</v>
      </c>
      <c r="C5822" s="17" t="s">
        <v>11</v>
      </c>
      <c r="D5822" s="17" t="s">
        <v>12</v>
      </c>
      <c r="E5822" s="17" t="s">
        <v>13</v>
      </c>
      <c r="F5822" s="16" t="s">
        <v>17831</v>
      </c>
    </row>
    <row r="5823" spans="1:6" x14ac:dyDescent="0.25">
      <c r="A5823" s="16" t="s">
        <v>17832</v>
      </c>
      <c r="B5823" s="17" t="s">
        <v>17833</v>
      </c>
      <c r="C5823" s="17" t="s">
        <v>11</v>
      </c>
      <c r="D5823" s="17" t="s">
        <v>12</v>
      </c>
      <c r="E5823" s="17" t="s">
        <v>13</v>
      </c>
      <c r="F5823" s="16" t="s">
        <v>17834</v>
      </c>
    </row>
    <row r="5824" spans="1:6" x14ac:dyDescent="0.25">
      <c r="A5824" s="16" t="s">
        <v>17835</v>
      </c>
      <c r="B5824" s="17" t="s">
        <v>17836</v>
      </c>
      <c r="C5824" s="17" t="s">
        <v>11</v>
      </c>
      <c r="D5824" s="17" t="s">
        <v>12</v>
      </c>
      <c r="E5824" s="17" t="s">
        <v>13</v>
      </c>
      <c r="F5824" s="16" t="s">
        <v>17837</v>
      </c>
    </row>
    <row r="5825" spans="1:6" x14ac:dyDescent="0.25">
      <c r="A5825" s="16" t="s">
        <v>17838</v>
      </c>
      <c r="B5825" s="17" t="s">
        <v>17839</v>
      </c>
      <c r="C5825" s="17" t="s">
        <v>11</v>
      </c>
      <c r="D5825" s="17" t="s">
        <v>148</v>
      </c>
      <c r="E5825" s="17" t="s">
        <v>20</v>
      </c>
      <c r="F5825" s="16" t="s">
        <v>17840</v>
      </c>
    </row>
    <row r="5826" spans="1:6" x14ac:dyDescent="0.25">
      <c r="A5826" s="16" t="s">
        <v>17841</v>
      </c>
      <c r="B5826" s="17" t="s">
        <v>17842</v>
      </c>
      <c r="C5826" s="17" t="s">
        <v>11</v>
      </c>
      <c r="D5826" s="17" t="s">
        <v>32</v>
      </c>
      <c r="E5826" s="17" t="s">
        <v>20</v>
      </c>
      <c r="F5826" s="16" t="s">
        <v>17843</v>
      </c>
    </row>
    <row r="5827" spans="1:6" x14ac:dyDescent="0.25">
      <c r="A5827" s="16" t="s">
        <v>17844</v>
      </c>
      <c r="B5827" s="17" t="s">
        <v>17845</v>
      </c>
      <c r="C5827" s="17" t="s">
        <v>11</v>
      </c>
      <c r="D5827" s="17" t="s">
        <v>182</v>
      </c>
      <c r="E5827" s="17" t="s">
        <v>20</v>
      </c>
      <c r="F5827" s="16" t="s">
        <v>17846</v>
      </c>
    </row>
    <row r="5828" spans="1:6" x14ac:dyDescent="0.25">
      <c r="A5828" s="16" t="s">
        <v>17847</v>
      </c>
      <c r="B5828" s="17" t="s">
        <v>17848</v>
      </c>
      <c r="C5828" s="17" t="s">
        <v>11</v>
      </c>
      <c r="D5828" s="17" t="s">
        <v>12</v>
      </c>
      <c r="E5828" s="17" t="s">
        <v>13</v>
      </c>
      <c r="F5828" s="16" t="s">
        <v>17849</v>
      </c>
    </row>
    <row r="5829" spans="1:6" x14ac:dyDescent="0.25">
      <c r="A5829" s="16" t="s">
        <v>17850</v>
      </c>
      <c r="B5829" s="17" t="s">
        <v>17851</v>
      </c>
      <c r="C5829" s="17" t="s">
        <v>11</v>
      </c>
      <c r="D5829" s="17" t="s">
        <v>12</v>
      </c>
      <c r="E5829" s="17" t="s">
        <v>13</v>
      </c>
      <c r="F5829" s="16" t="s">
        <v>17852</v>
      </c>
    </row>
    <row r="5830" spans="1:6" x14ac:dyDescent="0.25">
      <c r="A5830" s="16" t="s">
        <v>17853</v>
      </c>
      <c r="B5830" s="17" t="s">
        <v>17854</v>
      </c>
      <c r="C5830" s="17" t="s">
        <v>11</v>
      </c>
      <c r="D5830" s="17" t="s">
        <v>505</v>
      </c>
      <c r="E5830" s="17" t="s">
        <v>13</v>
      </c>
      <c r="F5830" s="16" t="s">
        <v>17855</v>
      </c>
    </row>
    <row r="5831" spans="1:6" x14ac:dyDescent="0.25">
      <c r="A5831" s="16" t="s">
        <v>17856</v>
      </c>
      <c r="B5831" s="17" t="s">
        <v>17857</v>
      </c>
      <c r="C5831" s="17" t="s">
        <v>11</v>
      </c>
      <c r="D5831" s="17" t="s">
        <v>32</v>
      </c>
      <c r="E5831" s="17" t="s">
        <v>20</v>
      </c>
      <c r="F5831" s="16" t="s">
        <v>17858</v>
      </c>
    </row>
    <row r="5832" spans="1:6" x14ac:dyDescent="0.25">
      <c r="A5832" s="16" t="s">
        <v>17859</v>
      </c>
      <c r="B5832" s="17" t="s">
        <v>17860</v>
      </c>
      <c r="C5832" s="17" t="s">
        <v>11</v>
      </c>
      <c r="D5832" s="17" t="s">
        <v>80</v>
      </c>
      <c r="E5832" s="17" t="s">
        <v>20</v>
      </c>
      <c r="F5832" s="16" t="s">
        <v>17861</v>
      </c>
    </row>
    <row r="5833" spans="1:6" x14ac:dyDescent="0.25">
      <c r="A5833" s="16" t="s">
        <v>17862</v>
      </c>
      <c r="B5833" s="17" t="s">
        <v>17863</v>
      </c>
      <c r="C5833" s="17" t="s">
        <v>11</v>
      </c>
      <c r="D5833" s="17" t="s">
        <v>32</v>
      </c>
      <c r="E5833" s="17" t="s">
        <v>20</v>
      </c>
      <c r="F5833" s="16" t="s">
        <v>17864</v>
      </c>
    </row>
    <row r="5834" spans="1:6" x14ac:dyDescent="0.25">
      <c r="A5834" s="16" t="s">
        <v>17865</v>
      </c>
      <c r="B5834" s="17" t="s">
        <v>17866</v>
      </c>
      <c r="C5834" s="17" t="s">
        <v>11</v>
      </c>
      <c r="D5834" s="17" t="s">
        <v>83</v>
      </c>
      <c r="E5834" s="17" t="s">
        <v>20</v>
      </c>
      <c r="F5834" s="16" t="s">
        <v>17867</v>
      </c>
    </row>
    <row r="5835" spans="1:6" x14ac:dyDescent="0.25">
      <c r="A5835" s="16" t="s">
        <v>17868</v>
      </c>
      <c r="B5835" s="17" t="s">
        <v>17869</v>
      </c>
      <c r="C5835" s="17" t="s">
        <v>11</v>
      </c>
      <c r="D5835" s="17" t="s">
        <v>12</v>
      </c>
      <c r="E5835" s="17" t="s">
        <v>13</v>
      </c>
      <c r="F5835" s="16" t="s">
        <v>17870</v>
      </c>
    </row>
    <row r="5836" spans="1:6" x14ac:dyDescent="0.25">
      <c r="A5836" s="16" t="s">
        <v>17871</v>
      </c>
      <c r="B5836" s="17" t="s">
        <v>17872</v>
      </c>
      <c r="C5836" s="17" t="s">
        <v>11</v>
      </c>
      <c r="D5836" s="17" t="s">
        <v>250</v>
      </c>
      <c r="E5836" s="17" t="s">
        <v>20</v>
      </c>
      <c r="F5836" s="16" t="s">
        <v>17873</v>
      </c>
    </row>
    <row r="5837" spans="1:6" x14ac:dyDescent="0.25">
      <c r="A5837" s="16" t="s">
        <v>17874</v>
      </c>
      <c r="B5837" s="17" t="s">
        <v>17875</v>
      </c>
      <c r="C5837" s="17" t="s">
        <v>11</v>
      </c>
      <c r="D5837" s="17" t="s">
        <v>32</v>
      </c>
      <c r="E5837" s="17" t="s">
        <v>20</v>
      </c>
      <c r="F5837" s="16" t="s">
        <v>17876</v>
      </c>
    </row>
    <row r="5838" spans="1:6" x14ac:dyDescent="0.25">
      <c r="A5838" s="16" t="s">
        <v>17877</v>
      </c>
      <c r="B5838" s="17" t="s">
        <v>17878</v>
      </c>
      <c r="C5838" s="17" t="s">
        <v>11</v>
      </c>
      <c r="D5838" s="17" t="s">
        <v>12</v>
      </c>
      <c r="E5838" s="17" t="s">
        <v>13</v>
      </c>
      <c r="F5838" s="16" t="s">
        <v>17879</v>
      </c>
    </row>
    <row r="5839" spans="1:6" x14ac:dyDescent="0.25">
      <c r="A5839" s="16" t="s">
        <v>17880</v>
      </c>
      <c r="B5839" s="17" t="s">
        <v>17881</v>
      </c>
      <c r="C5839" s="17" t="s">
        <v>11</v>
      </c>
      <c r="D5839" s="17" t="s">
        <v>12</v>
      </c>
      <c r="E5839" s="17" t="s">
        <v>13</v>
      </c>
      <c r="F5839" s="16" t="s">
        <v>17882</v>
      </c>
    </row>
    <row r="5840" spans="1:6" x14ac:dyDescent="0.25">
      <c r="A5840" s="16" t="s">
        <v>17883</v>
      </c>
      <c r="B5840" s="17" t="s">
        <v>17884</v>
      </c>
      <c r="C5840" s="17" t="s">
        <v>11</v>
      </c>
      <c r="D5840" s="17" t="s">
        <v>12</v>
      </c>
      <c r="E5840" s="17" t="s">
        <v>13</v>
      </c>
      <c r="F5840" s="16" t="s">
        <v>17885</v>
      </c>
    </row>
    <row r="5841" spans="1:6" x14ac:dyDescent="0.25">
      <c r="A5841" s="16" t="s">
        <v>17886</v>
      </c>
      <c r="B5841" s="17" t="s">
        <v>17887</v>
      </c>
      <c r="C5841" s="17" t="s">
        <v>11</v>
      </c>
      <c r="D5841" s="17" t="s">
        <v>12</v>
      </c>
      <c r="E5841" s="17" t="s">
        <v>13</v>
      </c>
      <c r="F5841" s="16" t="s">
        <v>17888</v>
      </c>
    </row>
    <row r="5842" spans="1:6" x14ac:dyDescent="0.25">
      <c r="A5842" s="16" t="s">
        <v>17889</v>
      </c>
      <c r="B5842" s="17" t="s">
        <v>17890</v>
      </c>
      <c r="C5842" s="17" t="s">
        <v>359</v>
      </c>
      <c r="D5842" s="17" t="s">
        <v>32</v>
      </c>
      <c r="E5842" s="17" t="s">
        <v>20</v>
      </c>
      <c r="F5842" s="16" t="s">
        <v>17891</v>
      </c>
    </row>
    <row r="5843" spans="1:6" x14ac:dyDescent="0.25">
      <c r="A5843" s="16" t="s">
        <v>17892</v>
      </c>
      <c r="B5843" s="17" t="s">
        <v>17893</v>
      </c>
      <c r="C5843" s="17" t="s">
        <v>11</v>
      </c>
      <c r="D5843" s="17" t="s">
        <v>12</v>
      </c>
      <c r="E5843" s="17" t="s">
        <v>13</v>
      </c>
      <c r="F5843" s="16" t="s">
        <v>17894</v>
      </c>
    </row>
    <row r="5844" spans="1:6" x14ac:dyDescent="0.25">
      <c r="A5844" s="16" t="s">
        <v>17895</v>
      </c>
      <c r="B5844" s="17" t="s">
        <v>17896</v>
      </c>
      <c r="C5844" s="17" t="s">
        <v>11</v>
      </c>
      <c r="D5844" s="17" t="s">
        <v>32</v>
      </c>
      <c r="E5844" s="17" t="s">
        <v>20</v>
      </c>
      <c r="F5844" s="16" t="s">
        <v>17897</v>
      </c>
    </row>
    <row r="5845" spans="1:6" x14ac:dyDescent="0.25">
      <c r="A5845" s="16" t="s">
        <v>17898</v>
      </c>
      <c r="B5845" s="17" t="s">
        <v>17899</v>
      </c>
      <c r="C5845" s="17" t="s">
        <v>11</v>
      </c>
      <c r="D5845" s="17" t="s">
        <v>182</v>
      </c>
      <c r="E5845" s="17" t="s">
        <v>20</v>
      </c>
      <c r="F5845" s="16" t="s">
        <v>17900</v>
      </c>
    </row>
    <row r="5846" spans="1:6" x14ac:dyDescent="0.25">
      <c r="A5846" s="16" t="s">
        <v>17901</v>
      </c>
      <c r="B5846" s="17" t="s">
        <v>17902</v>
      </c>
      <c r="C5846" s="17" t="s">
        <v>11</v>
      </c>
      <c r="D5846" s="17" t="s">
        <v>233</v>
      </c>
      <c r="E5846" s="17" t="s">
        <v>20</v>
      </c>
      <c r="F5846" s="16" t="s">
        <v>17903</v>
      </c>
    </row>
    <row r="5847" spans="1:6" x14ac:dyDescent="0.25">
      <c r="A5847" s="16" t="s">
        <v>17904</v>
      </c>
      <c r="B5847" s="17" t="s">
        <v>17905</v>
      </c>
      <c r="C5847" s="17" t="s">
        <v>11</v>
      </c>
      <c r="D5847" s="17" t="s">
        <v>12</v>
      </c>
      <c r="E5847" s="17" t="s">
        <v>13</v>
      </c>
      <c r="F5847" s="16" t="s">
        <v>17906</v>
      </c>
    </row>
    <row r="5848" spans="1:6" x14ac:dyDescent="0.25">
      <c r="A5848" s="16" t="s">
        <v>17907</v>
      </c>
      <c r="B5848" s="17" t="s">
        <v>17908</v>
      </c>
      <c r="C5848" s="17" t="s">
        <v>11</v>
      </c>
      <c r="D5848" s="17" t="s">
        <v>32</v>
      </c>
      <c r="E5848" s="17" t="s">
        <v>20</v>
      </c>
      <c r="F5848" s="16" t="s">
        <v>17909</v>
      </c>
    </row>
    <row r="5849" spans="1:6" x14ac:dyDescent="0.25">
      <c r="A5849" s="16" t="s">
        <v>17910</v>
      </c>
      <c r="B5849" s="17" t="s">
        <v>17911</v>
      </c>
      <c r="C5849" s="17" t="s">
        <v>11</v>
      </c>
      <c r="D5849" s="17" t="s">
        <v>32</v>
      </c>
      <c r="E5849" s="17" t="s">
        <v>20</v>
      </c>
      <c r="F5849" s="16" t="s">
        <v>17912</v>
      </c>
    </row>
    <row r="5850" spans="1:6" x14ac:dyDescent="0.25">
      <c r="A5850" s="16" t="s">
        <v>17913</v>
      </c>
      <c r="B5850" s="17" t="s">
        <v>17914</v>
      </c>
      <c r="C5850" s="17" t="s">
        <v>11</v>
      </c>
      <c r="D5850" s="17" t="s">
        <v>59</v>
      </c>
      <c r="E5850" s="17" t="s">
        <v>13</v>
      </c>
      <c r="F5850" s="16" t="s">
        <v>17915</v>
      </c>
    </row>
    <row r="5851" spans="1:6" x14ac:dyDescent="0.25">
      <c r="A5851" s="16" t="s">
        <v>17916</v>
      </c>
      <c r="B5851" s="17" t="s">
        <v>17917</v>
      </c>
      <c r="C5851" s="17" t="s">
        <v>11</v>
      </c>
      <c r="D5851" s="17" t="s">
        <v>12</v>
      </c>
      <c r="E5851" s="17" t="s">
        <v>13</v>
      </c>
      <c r="F5851" s="16" t="s">
        <v>17918</v>
      </c>
    </row>
    <row r="5852" spans="1:6" x14ac:dyDescent="0.25">
      <c r="A5852" s="16" t="s">
        <v>17919</v>
      </c>
      <c r="B5852" s="17" t="s">
        <v>17920</v>
      </c>
      <c r="C5852" s="17" t="s">
        <v>11</v>
      </c>
      <c r="D5852" s="17" t="s">
        <v>74</v>
      </c>
      <c r="E5852" s="17" t="s">
        <v>20</v>
      </c>
      <c r="F5852" s="16" t="s">
        <v>17921</v>
      </c>
    </row>
    <row r="5853" spans="1:6" x14ac:dyDescent="0.25">
      <c r="A5853" s="16" t="s">
        <v>17922</v>
      </c>
      <c r="B5853" s="17" t="s">
        <v>17923</v>
      </c>
      <c r="C5853" s="17" t="s">
        <v>11</v>
      </c>
      <c r="D5853" s="17" t="s">
        <v>250</v>
      </c>
      <c r="E5853" s="17" t="s">
        <v>20</v>
      </c>
      <c r="F5853" s="16" t="s">
        <v>17924</v>
      </c>
    </row>
    <row r="5854" spans="1:6" x14ac:dyDescent="0.25">
      <c r="A5854" s="16" t="s">
        <v>17925</v>
      </c>
      <c r="B5854" s="17" t="s">
        <v>17926</v>
      </c>
      <c r="C5854" s="17" t="s">
        <v>11</v>
      </c>
      <c r="D5854" s="17" t="s">
        <v>59</v>
      </c>
      <c r="E5854" s="17" t="s">
        <v>13</v>
      </c>
      <c r="F5854" s="16" t="s">
        <v>17927</v>
      </c>
    </row>
    <row r="5855" spans="1:6" x14ac:dyDescent="0.25">
      <c r="A5855" s="16" t="s">
        <v>17928</v>
      </c>
      <c r="B5855" s="17" t="s">
        <v>17929</v>
      </c>
      <c r="C5855" s="17" t="s">
        <v>11</v>
      </c>
      <c r="D5855" s="17" t="s">
        <v>26</v>
      </c>
      <c r="E5855" s="17" t="s">
        <v>20</v>
      </c>
      <c r="F5855" s="16" t="s">
        <v>17930</v>
      </c>
    </row>
    <row r="5856" spans="1:6" x14ac:dyDescent="0.25">
      <c r="A5856" s="16" t="s">
        <v>17931</v>
      </c>
      <c r="B5856" s="17" t="s">
        <v>17932</v>
      </c>
      <c r="C5856" s="17" t="s">
        <v>11</v>
      </c>
      <c r="D5856" s="17" t="s">
        <v>12</v>
      </c>
      <c r="E5856" s="17" t="s">
        <v>13</v>
      </c>
      <c r="F5856" s="16" t="s">
        <v>17933</v>
      </c>
    </row>
    <row r="5857" spans="1:6" x14ac:dyDescent="0.25">
      <c r="A5857" s="16" t="s">
        <v>17934</v>
      </c>
      <c r="B5857" s="17" t="s">
        <v>17935</v>
      </c>
      <c r="C5857" s="17" t="s">
        <v>11</v>
      </c>
      <c r="D5857" s="17" t="s">
        <v>12</v>
      </c>
      <c r="E5857" s="17" t="s">
        <v>13</v>
      </c>
      <c r="F5857" s="16" t="s">
        <v>17936</v>
      </c>
    </row>
    <row r="5858" spans="1:6" x14ac:dyDescent="0.25">
      <c r="A5858" s="16" t="s">
        <v>17937</v>
      </c>
      <c r="B5858" s="17" t="s">
        <v>17938</v>
      </c>
      <c r="C5858" s="17" t="s">
        <v>11</v>
      </c>
      <c r="D5858" s="17" t="s">
        <v>26</v>
      </c>
      <c r="E5858" s="17" t="s">
        <v>20</v>
      </c>
      <c r="F5858" s="16" t="s">
        <v>17939</v>
      </c>
    </row>
    <row r="5859" spans="1:6" x14ac:dyDescent="0.25">
      <c r="A5859" s="16" t="s">
        <v>17940</v>
      </c>
      <c r="B5859" s="17" t="s">
        <v>17941</v>
      </c>
      <c r="C5859" s="17" t="s">
        <v>11</v>
      </c>
      <c r="D5859" s="17" t="s">
        <v>32</v>
      </c>
      <c r="E5859" s="17" t="s">
        <v>20</v>
      </c>
      <c r="F5859" s="16" t="s">
        <v>17942</v>
      </c>
    </row>
    <row r="5860" spans="1:6" x14ac:dyDescent="0.25">
      <c r="A5860" s="16" t="s">
        <v>17943</v>
      </c>
      <c r="B5860" s="17" t="s">
        <v>17944</v>
      </c>
      <c r="C5860" s="17" t="s">
        <v>11</v>
      </c>
      <c r="D5860" s="17" t="s">
        <v>32</v>
      </c>
      <c r="E5860" s="17" t="s">
        <v>20</v>
      </c>
      <c r="F5860" s="16" t="s">
        <v>17945</v>
      </c>
    </row>
    <row r="5861" spans="1:6" x14ac:dyDescent="0.25">
      <c r="A5861" s="16" t="s">
        <v>17946</v>
      </c>
      <c r="B5861" s="17" t="s">
        <v>17947</v>
      </c>
      <c r="C5861" s="17" t="s">
        <v>11</v>
      </c>
      <c r="D5861" s="17" t="s">
        <v>80</v>
      </c>
      <c r="E5861" s="17" t="s">
        <v>20</v>
      </c>
      <c r="F5861" s="16" t="s">
        <v>17948</v>
      </c>
    </row>
    <row r="5862" spans="1:6" x14ac:dyDescent="0.25">
      <c r="A5862" s="16" t="s">
        <v>17949</v>
      </c>
      <c r="B5862" s="17" t="s">
        <v>17950</v>
      </c>
      <c r="C5862" s="17" t="s">
        <v>11</v>
      </c>
      <c r="D5862" s="17" t="s">
        <v>74</v>
      </c>
      <c r="E5862" s="17" t="s">
        <v>20</v>
      </c>
      <c r="F5862" s="16" t="s">
        <v>17951</v>
      </c>
    </row>
    <row r="5863" spans="1:6" x14ac:dyDescent="0.25">
      <c r="A5863" s="16" t="s">
        <v>17952</v>
      </c>
      <c r="B5863" s="17" t="s">
        <v>17953</v>
      </c>
      <c r="C5863" s="17" t="s">
        <v>11</v>
      </c>
      <c r="D5863" s="17" t="s">
        <v>148</v>
      </c>
      <c r="E5863" s="17" t="s">
        <v>20</v>
      </c>
      <c r="F5863" s="16" t="s">
        <v>17954</v>
      </c>
    </row>
    <row r="5864" spans="1:6" x14ac:dyDescent="0.25">
      <c r="A5864" s="16" t="s">
        <v>17955</v>
      </c>
      <c r="B5864" s="17" t="s">
        <v>17956</v>
      </c>
      <c r="C5864" s="17" t="s">
        <v>11</v>
      </c>
      <c r="D5864" s="17" t="s">
        <v>32</v>
      </c>
      <c r="E5864" s="17" t="s">
        <v>20</v>
      </c>
      <c r="F5864" s="16" t="s">
        <v>17957</v>
      </c>
    </row>
    <row r="5865" spans="1:6" x14ac:dyDescent="0.25">
      <c r="A5865" s="16" t="s">
        <v>17958</v>
      </c>
      <c r="B5865" s="17" t="s">
        <v>17959</v>
      </c>
      <c r="C5865" s="17" t="s">
        <v>11</v>
      </c>
      <c r="D5865" s="17" t="s">
        <v>83</v>
      </c>
      <c r="E5865" s="17" t="s">
        <v>20</v>
      </c>
      <c r="F5865" s="16" t="s">
        <v>17960</v>
      </c>
    </row>
    <row r="5866" spans="1:6" x14ac:dyDescent="0.25">
      <c r="A5866" s="16" t="s">
        <v>17961</v>
      </c>
      <c r="B5866" s="17" t="s">
        <v>17962</v>
      </c>
      <c r="C5866" s="17" t="s">
        <v>11</v>
      </c>
      <c r="D5866" s="17" t="s">
        <v>148</v>
      </c>
      <c r="E5866" s="17" t="s">
        <v>20</v>
      </c>
      <c r="F5866" s="16" t="s">
        <v>17963</v>
      </c>
    </row>
    <row r="5867" spans="1:6" x14ac:dyDescent="0.25">
      <c r="A5867" s="16" t="s">
        <v>17964</v>
      </c>
      <c r="B5867" s="17" t="s">
        <v>17965</v>
      </c>
      <c r="C5867" s="17" t="s">
        <v>11</v>
      </c>
      <c r="D5867" s="17" t="s">
        <v>32</v>
      </c>
      <c r="E5867" s="17" t="s">
        <v>20</v>
      </c>
      <c r="F5867" s="16" t="s">
        <v>17966</v>
      </c>
    </row>
    <row r="5868" spans="1:6" x14ac:dyDescent="0.25">
      <c r="A5868" s="16" t="s">
        <v>17967</v>
      </c>
      <c r="B5868" s="17" t="s">
        <v>17968</v>
      </c>
      <c r="C5868" s="17" t="s">
        <v>11</v>
      </c>
      <c r="D5868" s="17" t="s">
        <v>83</v>
      </c>
      <c r="E5868" s="17" t="s">
        <v>20</v>
      </c>
      <c r="F5868" s="16" t="s">
        <v>17969</v>
      </c>
    </row>
    <row r="5869" spans="1:6" x14ac:dyDescent="0.25">
      <c r="A5869" s="16" t="s">
        <v>17970</v>
      </c>
      <c r="B5869" s="17" t="s">
        <v>17971</v>
      </c>
      <c r="C5869" s="17" t="s">
        <v>11</v>
      </c>
      <c r="D5869" s="17" t="s">
        <v>32</v>
      </c>
      <c r="E5869" s="17" t="s">
        <v>20</v>
      </c>
      <c r="F5869" s="16" t="s">
        <v>17972</v>
      </c>
    </row>
    <row r="5870" spans="1:6" x14ac:dyDescent="0.25">
      <c r="A5870" s="16" t="s">
        <v>17973</v>
      </c>
      <c r="B5870" s="17" t="s">
        <v>17974</v>
      </c>
      <c r="C5870" s="17" t="s">
        <v>11</v>
      </c>
      <c r="D5870" s="17" t="s">
        <v>83</v>
      </c>
      <c r="E5870" s="17" t="s">
        <v>20</v>
      </c>
      <c r="F5870" s="16" t="s">
        <v>17975</v>
      </c>
    </row>
    <row r="5871" spans="1:6" x14ac:dyDescent="0.25">
      <c r="A5871" s="16" t="s">
        <v>17976</v>
      </c>
      <c r="B5871" s="17" t="s">
        <v>17977</v>
      </c>
      <c r="C5871" s="17" t="s">
        <v>11</v>
      </c>
      <c r="D5871" s="17" t="s">
        <v>74</v>
      </c>
      <c r="E5871" s="17" t="s">
        <v>20</v>
      </c>
      <c r="F5871" s="16" t="s">
        <v>17978</v>
      </c>
    </row>
    <row r="5872" spans="1:6" x14ac:dyDescent="0.25">
      <c r="A5872" s="16" t="s">
        <v>17979</v>
      </c>
      <c r="B5872" s="17" t="s">
        <v>17980</v>
      </c>
      <c r="C5872" s="17" t="s">
        <v>11</v>
      </c>
      <c r="D5872" s="17" t="s">
        <v>32</v>
      </c>
      <c r="E5872" s="17" t="s">
        <v>20</v>
      </c>
      <c r="F5872" s="16" t="s">
        <v>17981</v>
      </c>
    </row>
    <row r="5873" spans="1:6" x14ac:dyDescent="0.25">
      <c r="A5873" s="16" t="s">
        <v>17982</v>
      </c>
      <c r="B5873" s="17" t="s">
        <v>17983</v>
      </c>
      <c r="C5873" s="17" t="s">
        <v>11</v>
      </c>
      <c r="D5873" s="17" t="s">
        <v>32</v>
      </c>
      <c r="E5873" s="17" t="s">
        <v>20</v>
      </c>
      <c r="F5873" s="16" t="s">
        <v>17984</v>
      </c>
    </row>
    <row r="5874" spans="1:6" x14ac:dyDescent="0.25">
      <c r="A5874" s="16" t="s">
        <v>17985</v>
      </c>
      <c r="B5874" s="17" t="s">
        <v>17986</v>
      </c>
      <c r="C5874" s="17" t="s">
        <v>11</v>
      </c>
      <c r="D5874" s="17" t="s">
        <v>83</v>
      </c>
      <c r="E5874" s="17" t="s">
        <v>20</v>
      </c>
      <c r="F5874" s="16" t="s">
        <v>17987</v>
      </c>
    </row>
    <row r="5875" spans="1:6" x14ac:dyDescent="0.25">
      <c r="A5875" s="16" t="s">
        <v>17988</v>
      </c>
      <c r="B5875" s="17" t="s">
        <v>17989</v>
      </c>
      <c r="C5875" s="17" t="s">
        <v>11</v>
      </c>
      <c r="D5875" s="17" t="s">
        <v>80</v>
      </c>
      <c r="E5875" s="17" t="s">
        <v>20</v>
      </c>
      <c r="F5875" s="16" t="s">
        <v>17990</v>
      </c>
    </row>
    <row r="5876" spans="1:6" x14ac:dyDescent="0.25">
      <c r="A5876" s="16" t="s">
        <v>17991</v>
      </c>
      <c r="B5876" s="17" t="s">
        <v>17992</v>
      </c>
      <c r="C5876" s="17" t="s">
        <v>359</v>
      </c>
      <c r="D5876" s="17" t="s">
        <v>32</v>
      </c>
      <c r="E5876" s="17" t="s">
        <v>20</v>
      </c>
      <c r="F5876" s="16" t="s">
        <v>17993</v>
      </c>
    </row>
    <row r="5877" spans="1:6" x14ac:dyDescent="0.25">
      <c r="A5877" s="16" t="s">
        <v>17994</v>
      </c>
      <c r="B5877" s="17" t="s">
        <v>17995</v>
      </c>
      <c r="C5877" s="17" t="s">
        <v>11</v>
      </c>
      <c r="D5877" s="17" t="s">
        <v>83</v>
      </c>
      <c r="E5877" s="17" t="s">
        <v>20</v>
      </c>
      <c r="F5877" s="16" t="s">
        <v>17996</v>
      </c>
    </row>
    <row r="5878" spans="1:6" x14ac:dyDescent="0.25">
      <c r="A5878" s="16" t="s">
        <v>17997</v>
      </c>
      <c r="B5878" s="17" t="s">
        <v>17998</v>
      </c>
      <c r="C5878" s="17" t="s">
        <v>11</v>
      </c>
      <c r="D5878" s="17" t="s">
        <v>83</v>
      </c>
      <c r="E5878" s="17" t="s">
        <v>20</v>
      </c>
      <c r="F5878" s="16" t="s">
        <v>17999</v>
      </c>
    </row>
    <row r="5879" spans="1:6" x14ac:dyDescent="0.25">
      <c r="A5879" s="16" t="s">
        <v>18000</v>
      </c>
      <c r="B5879" s="17" t="s">
        <v>18001</v>
      </c>
      <c r="C5879" s="17" t="s">
        <v>11</v>
      </c>
      <c r="D5879" s="17" t="s">
        <v>32</v>
      </c>
      <c r="E5879" s="17" t="s">
        <v>20</v>
      </c>
      <c r="F5879" s="16" t="s">
        <v>18002</v>
      </c>
    </row>
    <row r="5880" spans="1:6" x14ac:dyDescent="0.25">
      <c r="A5880" s="16" t="s">
        <v>18003</v>
      </c>
      <c r="B5880" s="17" t="s">
        <v>18004</v>
      </c>
      <c r="C5880" s="17" t="s">
        <v>11</v>
      </c>
      <c r="D5880" s="17" t="s">
        <v>32</v>
      </c>
      <c r="E5880" s="17" t="s">
        <v>20</v>
      </c>
      <c r="F5880" s="16" t="s">
        <v>18005</v>
      </c>
    </row>
    <row r="5881" spans="1:6" x14ac:dyDescent="0.25">
      <c r="A5881" s="16" t="s">
        <v>18006</v>
      </c>
      <c r="B5881" s="17" t="s">
        <v>18007</v>
      </c>
      <c r="C5881" s="17" t="s">
        <v>11</v>
      </c>
      <c r="D5881" s="17" t="s">
        <v>148</v>
      </c>
      <c r="E5881" s="17" t="s">
        <v>20</v>
      </c>
      <c r="F5881" s="16" t="s">
        <v>18008</v>
      </c>
    </row>
    <row r="5882" spans="1:6" x14ac:dyDescent="0.25">
      <c r="A5882" s="16" t="s">
        <v>18009</v>
      </c>
      <c r="B5882" s="17" t="s">
        <v>18010</v>
      </c>
      <c r="C5882" s="17" t="s">
        <v>11</v>
      </c>
      <c r="D5882" s="17" t="s">
        <v>32</v>
      </c>
      <c r="E5882" s="17" t="s">
        <v>20</v>
      </c>
      <c r="F5882" s="16" t="s">
        <v>18011</v>
      </c>
    </row>
    <row r="5883" spans="1:6" x14ac:dyDescent="0.25">
      <c r="A5883" s="16" t="s">
        <v>18012</v>
      </c>
      <c r="B5883" s="17" t="s">
        <v>18013</v>
      </c>
      <c r="C5883" s="17" t="s">
        <v>11</v>
      </c>
      <c r="D5883" s="17" t="s">
        <v>544</v>
      </c>
      <c r="E5883" s="17" t="s">
        <v>20</v>
      </c>
      <c r="F5883" s="16" t="s">
        <v>18014</v>
      </c>
    </row>
    <row r="5884" spans="1:6" x14ac:dyDescent="0.25">
      <c r="A5884" s="16" t="s">
        <v>18015</v>
      </c>
      <c r="B5884" s="17" t="s">
        <v>18016</v>
      </c>
      <c r="C5884" s="17" t="s">
        <v>11</v>
      </c>
      <c r="D5884" s="17" t="s">
        <v>83</v>
      </c>
      <c r="E5884" s="17" t="s">
        <v>20</v>
      </c>
      <c r="F5884" s="16" t="s">
        <v>18017</v>
      </c>
    </row>
    <row r="5885" spans="1:6" x14ac:dyDescent="0.25">
      <c r="A5885" s="16" t="s">
        <v>18018</v>
      </c>
      <c r="B5885" s="17" t="s">
        <v>18019</v>
      </c>
      <c r="C5885" s="17" t="s">
        <v>11</v>
      </c>
      <c r="D5885" s="17" t="s">
        <v>83</v>
      </c>
      <c r="E5885" s="17" t="s">
        <v>20</v>
      </c>
      <c r="F5885" s="16" t="s">
        <v>18020</v>
      </c>
    </row>
    <row r="5886" spans="1:6" x14ac:dyDescent="0.25">
      <c r="A5886" s="16" t="s">
        <v>18021</v>
      </c>
      <c r="B5886" s="17" t="s">
        <v>18022</v>
      </c>
      <c r="C5886" s="17" t="s">
        <v>11</v>
      </c>
      <c r="D5886" s="17" t="s">
        <v>83</v>
      </c>
      <c r="E5886" s="17" t="s">
        <v>20</v>
      </c>
      <c r="F5886" s="16" t="s">
        <v>18023</v>
      </c>
    </row>
    <row r="5887" spans="1:6" x14ac:dyDescent="0.25">
      <c r="A5887" s="16" t="s">
        <v>18024</v>
      </c>
      <c r="B5887" s="17" t="s">
        <v>18025</v>
      </c>
      <c r="C5887" s="17" t="s">
        <v>11</v>
      </c>
      <c r="D5887" s="17" t="s">
        <v>26</v>
      </c>
      <c r="E5887" s="17" t="s">
        <v>20</v>
      </c>
      <c r="F5887" s="16" t="s">
        <v>18026</v>
      </c>
    </row>
    <row r="5888" spans="1:6" x14ac:dyDescent="0.25">
      <c r="A5888" s="16" t="s">
        <v>18027</v>
      </c>
      <c r="B5888" s="17" t="s">
        <v>18028</v>
      </c>
      <c r="C5888" s="17" t="s">
        <v>11</v>
      </c>
      <c r="D5888" s="17" t="s">
        <v>19</v>
      </c>
      <c r="E5888" s="17" t="s">
        <v>20</v>
      </c>
      <c r="F5888" s="16" t="s">
        <v>18029</v>
      </c>
    </row>
    <row r="5889" spans="1:6" x14ac:dyDescent="0.25">
      <c r="A5889" s="16" t="s">
        <v>18030</v>
      </c>
      <c r="B5889" s="17" t="s">
        <v>18031</v>
      </c>
      <c r="C5889" s="17" t="s">
        <v>11</v>
      </c>
      <c r="D5889" s="17" t="s">
        <v>83</v>
      </c>
      <c r="E5889" s="17" t="s">
        <v>20</v>
      </c>
      <c r="F5889" s="16" t="s">
        <v>18032</v>
      </c>
    </row>
    <row r="5890" spans="1:6" x14ac:dyDescent="0.25">
      <c r="A5890" s="16" t="s">
        <v>18033</v>
      </c>
      <c r="B5890" s="17" t="s">
        <v>18034</v>
      </c>
      <c r="C5890" s="17" t="s">
        <v>11</v>
      </c>
      <c r="D5890" s="17" t="s">
        <v>32</v>
      </c>
      <c r="E5890" s="17" t="s">
        <v>20</v>
      </c>
      <c r="F5890" s="16" t="s">
        <v>18035</v>
      </c>
    </row>
    <row r="5891" spans="1:6" x14ac:dyDescent="0.25">
      <c r="A5891" s="16" t="s">
        <v>18036</v>
      </c>
      <c r="B5891" s="17" t="s">
        <v>18037</v>
      </c>
      <c r="C5891" s="17" t="s">
        <v>11</v>
      </c>
      <c r="D5891" s="17" t="s">
        <v>12</v>
      </c>
      <c r="E5891" s="17" t="s">
        <v>13</v>
      </c>
      <c r="F5891" s="16" t="s">
        <v>18038</v>
      </c>
    </row>
    <row r="5892" spans="1:6" x14ac:dyDescent="0.25">
      <c r="A5892" s="16" t="s">
        <v>18039</v>
      </c>
      <c r="B5892" s="17" t="s">
        <v>18040</v>
      </c>
      <c r="C5892" s="17" t="s">
        <v>11</v>
      </c>
      <c r="D5892" s="17" t="s">
        <v>32</v>
      </c>
      <c r="E5892" s="17" t="s">
        <v>20</v>
      </c>
      <c r="F5892" s="16" t="s">
        <v>18041</v>
      </c>
    </row>
    <row r="5893" spans="1:6" x14ac:dyDescent="0.25">
      <c r="A5893" s="16" t="s">
        <v>18042</v>
      </c>
      <c r="B5893" s="17" t="s">
        <v>18043</v>
      </c>
      <c r="C5893" s="17" t="s">
        <v>11</v>
      </c>
      <c r="D5893" s="17" t="s">
        <v>80</v>
      </c>
      <c r="E5893" s="17" t="s">
        <v>20</v>
      </c>
      <c r="F5893" s="16" t="s">
        <v>18044</v>
      </c>
    </row>
    <row r="5894" spans="1:6" x14ac:dyDescent="0.25">
      <c r="A5894" s="16" t="s">
        <v>18045</v>
      </c>
      <c r="B5894" s="17" t="s">
        <v>18046</v>
      </c>
      <c r="C5894" s="17" t="s">
        <v>11</v>
      </c>
      <c r="D5894" s="17" t="s">
        <v>32</v>
      </c>
      <c r="E5894" s="17" t="s">
        <v>20</v>
      </c>
      <c r="F5894" s="16" t="s">
        <v>18047</v>
      </c>
    </row>
    <row r="5895" spans="1:6" x14ac:dyDescent="0.25">
      <c r="A5895" s="16" t="s">
        <v>18048</v>
      </c>
      <c r="B5895" s="17" t="s">
        <v>18049</v>
      </c>
      <c r="C5895" s="17" t="s">
        <v>11</v>
      </c>
      <c r="D5895" s="17" t="s">
        <v>32</v>
      </c>
      <c r="E5895" s="17" t="s">
        <v>20</v>
      </c>
      <c r="F5895" s="16" t="s">
        <v>18050</v>
      </c>
    </row>
    <row r="5896" spans="1:6" x14ac:dyDescent="0.25">
      <c r="A5896" s="16" t="s">
        <v>18051</v>
      </c>
      <c r="B5896" s="17" t="s">
        <v>18052</v>
      </c>
      <c r="C5896" s="17" t="s">
        <v>11</v>
      </c>
      <c r="D5896" s="17" t="s">
        <v>32</v>
      </c>
      <c r="E5896" s="17" t="s">
        <v>20</v>
      </c>
      <c r="F5896" s="16" t="s">
        <v>18053</v>
      </c>
    </row>
    <row r="5897" spans="1:6" x14ac:dyDescent="0.25">
      <c r="A5897" s="16" t="s">
        <v>18054</v>
      </c>
      <c r="B5897" s="17" t="s">
        <v>18055</v>
      </c>
      <c r="C5897" s="17" t="s">
        <v>11</v>
      </c>
      <c r="D5897" s="17" t="s">
        <v>83</v>
      </c>
      <c r="E5897" s="17" t="s">
        <v>20</v>
      </c>
      <c r="F5897" s="16" t="s">
        <v>18056</v>
      </c>
    </row>
    <row r="5898" spans="1:6" x14ac:dyDescent="0.25">
      <c r="A5898" s="16" t="s">
        <v>18057</v>
      </c>
      <c r="B5898" s="17" t="s">
        <v>18058</v>
      </c>
      <c r="C5898" s="17" t="s">
        <v>11</v>
      </c>
      <c r="D5898" s="17" t="s">
        <v>32</v>
      </c>
      <c r="E5898" s="17" t="s">
        <v>20</v>
      </c>
      <c r="F5898" s="16" t="s">
        <v>18059</v>
      </c>
    </row>
    <row r="5899" spans="1:6" x14ac:dyDescent="0.25">
      <c r="A5899" s="16" t="s">
        <v>18060</v>
      </c>
      <c r="B5899" s="17" t="s">
        <v>18061</v>
      </c>
      <c r="C5899" s="17" t="s">
        <v>11</v>
      </c>
      <c r="D5899" s="17" t="s">
        <v>32</v>
      </c>
      <c r="E5899" s="17" t="s">
        <v>20</v>
      </c>
      <c r="F5899" s="16" t="s">
        <v>18062</v>
      </c>
    </row>
    <row r="5900" spans="1:6" x14ac:dyDescent="0.25">
      <c r="A5900" s="16" t="s">
        <v>18063</v>
      </c>
      <c r="B5900" s="17" t="s">
        <v>18064</v>
      </c>
      <c r="C5900" s="17" t="s">
        <v>11</v>
      </c>
      <c r="D5900" s="17" t="s">
        <v>12</v>
      </c>
      <c r="E5900" s="17" t="s">
        <v>13</v>
      </c>
      <c r="F5900" s="16" t="s">
        <v>18065</v>
      </c>
    </row>
    <row r="5901" spans="1:6" x14ac:dyDescent="0.25">
      <c r="A5901" s="16" t="s">
        <v>18066</v>
      </c>
      <c r="B5901" s="17" t="s">
        <v>18067</v>
      </c>
      <c r="C5901" s="17" t="s">
        <v>11</v>
      </c>
      <c r="D5901" s="17" t="s">
        <v>12</v>
      </c>
      <c r="E5901" s="17" t="s">
        <v>13</v>
      </c>
      <c r="F5901" s="16" t="s">
        <v>18068</v>
      </c>
    </row>
    <row r="5902" spans="1:6" x14ac:dyDescent="0.25">
      <c r="A5902" s="16" t="s">
        <v>18069</v>
      </c>
      <c r="B5902" s="17" t="s">
        <v>18070</v>
      </c>
      <c r="C5902" s="17" t="s">
        <v>11</v>
      </c>
      <c r="D5902" s="17" t="s">
        <v>12</v>
      </c>
      <c r="E5902" s="17" t="s">
        <v>13</v>
      </c>
      <c r="F5902" s="16" t="s">
        <v>18071</v>
      </c>
    </row>
    <row r="5903" spans="1:6" x14ac:dyDescent="0.25">
      <c r="A5903" s="16" t="s">
        <v>18072</v>
      </c>
      <c r="B5903" s="17" t="s">
        <v>18073</v>
      </c>
      <c r="C5903" s="17" t="s">
        <v>11</v>
      </c>
      <c r="D5903" s="17" t="s">
        <v>83</v>
      </c>
      <c r="E5903" s="17" t="s">
        <v>20</v>
      </c>
      <c r="F5903" s="16" t="s">
        <v>18074</v>
      </c>
    </row>
    <row r="5904" spans="1:6" x14ac:dyDescent="0.25">
      <c r="A5904" s="16" t="s">
        <v>18075</v>
      </c>
      <c r="B5904" s="17" t="s">
        <v>18076</v>
      </c>
      <c r="C5904" s="17" t="s">
        <v>11</v>
      </c>
      <c r="D5904" s="17" t="s">
        <v>83</v>
      </c>
      <c r="E5904" s="17" t="s">
        <v>20</v>
      </c>
      <c r="F5904" s="16" t="s">
        <v>18077</v>
      </c>
    </row>
    <row r="5905" spans="1:6" x14ac:dyDescent="0.25">
      <c r="A5905" s="16" t="s">
        <v>18078</v>
      </c>
      <c r="B5905" s="17" t="s">
        <v>18079</v>
      </c>
      <c r="C5905" s="17" t="s">
        <v>11</v>
      </c>
      <c r="D5905" s="17" t="s">
        <v>12</v>
      </c>
      <c r="E5905" s="17" t="s">
        <v>13</v>
      </c>
      <c r="F5905" s="16" t="s">
        <v>18080</v>
      </c>
    </row>
    <row r="5906" spans="1:6" x14ac:dyDescent="0.25">
      <c r="A5906" s="16" t="s">
        <v>18081</v>
      </c>
      <c r="B5906" s="17" t="s">
        <v>18082</v>
      </c>
      <c r="C5906" s="17" t="s">
        <v>11</v>
      </c>
      <c r="D5906" s="17" t="s">
        <v>2320</v>
      </c>
      <c r="E5906" s="17" t="s">
        <v>13</v>
      </c>
      <c r="F5906" s="16" t="s">
        <v>18083</v>
      </c>
    </row>
    <row r="5907" spans="1:6" x14ac:dyDescent="0.25">
      <c r="A5907" s="16" t="s">
        <v>18084</v>
      </c>
      <c r="B5907" s="17" t="s">
        <v>18085</v>
      </c>
      <c r="C5907" s="17" t="s">
        <v>11</v>
      </c>
      <c r="D5907" s="17" t="s">
        <v>811</v>
      </c>
      <c r="E5907" s="17" t="s">
        <v>20</v>
      </c>
      <c r="F5907" s="16" t="s">
        <v>18086</v>
      </c>
    </row>
    <row r="5908" spans="1:6" x14ac:dyDescent="0.25">
      <c r="A5908" s="16" t="s">
        <v>18087</v>
      </c>
      <c r="B5908" s="17" t="s">
        <v>18088</v>
      </c>
      <c r="C5908" s="17" t="s">
        <v>11</v>
      </c>
      <c r="D5908" s="17" t="s">
        <v>12</v>
      </c>
      <c r="E5908" s="17" t="s">
        <v>13</v>
      </c>
      <c r="F5908" s="16" t="s">
        <v>18089</v>
      </c>
    </row>
    <row r="5909" spans="1:6" x14ac:dyDescent="0.25">
      <c r="A5909" s="16" t="s">
        <v>18090</v>
      </c>
      <c r="B5909" s="17" t="s">
        <v>18091</v>
      </c>
      <c r="C5909" s="17" t="s">
        <v>11</v>
      </c>
      <c r="D5909" s="17" t="s">
        <v>32</v>
      </c>
      <c r="E5909" s="17" t="s">
        <v>20</v>
      </c>
      <c r="F5909" s="16" t="s">
        <v>18092</v>
      </c>
    </row>
    <row r="5910" spans="1:6" x14ac:dyDescent="0.25">
      <c r="A5910" s="16" t="s">
        <v>18093</v>
      </c>
      <c r="B5910" s="17" t="s">
        <v>18094</v>
      </c>
      <c r="C5910" s="17" t="s">
        <v>11</v>
      </c>
      <c r="D5910" s="17" t="s">
        <v>12</v>
      </c>
      <c r="E5910" s="17" t="s">
        <v>13</v>
      </c>
      <c r="F5910" s="16" t="s">
        <v>18095</v>
      </c>
    </row>
    <row r="5911" spans="1:6" x14ac:dyDescent="0.25">
      <c r="A5911" s="16" t="s">
        <v>18096</v>
      </c>
      <c r="B5911" s="17" t="s">
        <v>18097</v>
      </c>
      <c r="C5911" s="17" t="s">
        <v>11</v>
      </c>
      <c r="D5911" s="17" t="s">
        <v>12</v>
      </c>
      <c r="E5911" s="17" t="s">
        <v>13</v>
      </c>
      <c r="F5911" s="16" t="s">
        <v>18098</v>
      </c>
    </row>
    <row r="5912" spans="1:6" x14ac:dyDescent="0.25">
      <c r="A5912" s="16" t="s">
        <v>18099</v>
      </c>
      <c r="B5912" s="17" t="s">
        <v>18100</v>
      </c>
      <c r="C5912" s="17" t="s">
        <v>11</v>
      </c>
      <c r="D5912" s="17" t="s">
        <v>74</v>
      </c>
      <c r="E5912" s="17" t="s">
        <v>20</v>
      </c>
      <c r="F5912" s="16" t="s">
        <v>18101</v>
      </c>
    </row>
    <row r="5913" spans="1:6" x14ac:dyDescent="0.25">
      <c r="A5913" s="16" t="s">
        <v>18102</v>
      </c>
      <c r="B5913" s="17" t="s">
        <v>18103</v>
      </c>
      <c r="C5913" s="17" t="s">
        <v>11</v>
      </c>
      <c r="D5913" s="17" t="s">
        <v>59</v>
      </c>
      <c r="E5913" s="17" t="s">
        <v>13</v>
      </c>
      <c r="F5913" s="16" t="s">
        <v>18104</v>
      </c>
    </row>
    <row r="5914" spans="1:6" x14ac:dyDescent="0.25">
      <c r="A5914" s="16" t="s">
        <v>18105</v>
      </c>
      <c r="B5914" s="17" t="s">
        <v>18106</v>
      </c>
      <c r="C5914" s="17" t="s">
        <v>11</v>
      </c>
      <c r="D5914" s="17" t="s">
        <v>12</v>
      </c>
      <c r="E5914" s="17" t="s">
        <v>13</v>
      </c>
      <c r="F5914" s="16" t="s">
        <v>18107</v>
      </c>
    </row>
    <row r="5915" spans="1:6" x14ac:dyDescent="0.25">
      <c r="A5915" s="16" t="s">
        <v>18108</v>
      </c>
      <c r="B5915" s="17" t="s">
        <v>18109</v>
      </c>
      <c r="C5915" s="17" t="s">
        <v>11</v>
      </c>
      <c r="D5915" s="17" t="s">
        <v>12</v>
      </c>
      <c r="E5915" s="17" t="s">
        <v>13</v>
      </c>
      <c r="F5915" s="16" t="s">
        <v>18110</v>
      </c>
    </row>
    <row r="5916" spans="1:6" x14ac:dyDescent="0.25">
      <c r="A5916" s="16" t="s">
        <v>18111</v>
      </c>
      <c r="B5916" s="17" t="s">
        <v>18112</v>
      </c>
      <c r="C5916" s="17" t="s">
        <v>11</v>
      </c>
      <c r="D5916" s="17" t="s">
        <v>291</v>
      </c>
      <c r="E5916" s="17" t="s">
        <v>20</v>
      </c>
      <c r="F5916" s="16" t="s">
        <v>18113</v>
      </c>
    </row>
    <row r="5917" spans="1:6" x14ac:dyDescent="0.25">
      <c r="A5917" s="16" t="s">
        <v>18114</v>
      </c>
      <c r="B5917" s="17" t="s">
        <v>18115</v>
      </c>
      <c r="C5917" s="17" t="s">
        <v>11</v>
      </c>
      <c r="D5917" s="17" t="s">
        <v>26</v>
      </c>
      <c r="E5917" s="17" t="s">
        <v>20</v>
      </c>
      <c r="F5917" s="16" t="s">
        <v>18116</v>
      </c>
    </row>
    <row r="5918" spans="1:6" x14ac:dyDescent="0.25">
      <c r="A5918" s="16" t="s">
        <v>18117</v>
      </c>
      <c r="B5918" s="17" t="s">
        <v>18118</v>
      </c>
      <c r="C5918" s="17" t="s">
        <v>11</v>
      </c>
      <c r="D5918" s="17" t="s">
        <v>32</v>
      </c>
      <c r="E5918" s="17" t="s">
        <v>20</v>
      </c>
      <c r="F5918" s="16" t="s">
        <v>18119</v>
      </c>
    </row>
    <row r="5919" spans="1:6" x14ac:dyDescent="0.25">
      <c r="A5919" s="16" t="s">
        <v>18120</v>
      </c>
      <c r="B5919" s="17" t="s">
        <v>18121</v>
      </c>
      <c r="C5919" s="17" t="s">
        <v>11</v>
      </c>
      <c r="D5919" s="17" t="s">
        <v>32</v>
      </c>
      <c r="E5919" s="17" t="s">
        <v>20</v>
      </c>
      <c r="F5919" s="16" t="s">
        <v>18122</v>
      </c>
    </row>
    <row r="5920" spans="1:6" x14ac:dyDescent="0.25">
      <c r="A5920" s="16" t="s">
        <v>18123</v>
      </c>
      <c r="B5920" s="17" t="s">
        <v>18124</v>
      </c>
      <c r="C5920" s="17" t="s">
        <v>11</v>
      </c>
      <c r="D5920" s="17" t="s">
        <v>12</v>
      </c>
      <c r="E5920" s="17" t="s">
        <v>13</v>
      </c>
      <c r="F5920" s="16" t="s">
        <v>18125</v>
      </c>
    </row>
    <row r="5921" spans="1:6" x14ac:dyDescent="0.25">
      <c r="A5921" s="16" t="s">
        <v>18126</v>
      </c>
      <c r="B5921" s="17" t="s">
        <v>18127</v>
      </c>
      <c r="C5921" s="17" t="s">
        <v>11</v>
      </c>
      <c r="D5921" s="17" t="s">
        <v>12</v>
      </c>
      <c r="E5921" s="17" t="s">
        <v>13</v>
      </c>
      <c r="F5921" s="16" t="s">
        <v>18128</v>
      </c>
    </row>
    <row r="5922" spans="1:6" x14ac:dyDescent="0.25">
      <c r="A5922" s="16" t="s">
        <v>18129</v>
      </c>
      <c r="B5922" s="17" t="s">
        <v>18130</v>
      </c>
      <c r="C5922" s="17" t="s">
        <v>11</v>
      </c>
      <c r="D5922" s="17" t="s">
        <v>32</v>
      </c>
      <c r="E5922" s="17" t="s">
        <v>20</v>
      </c>
      <c r="F5922" s="16" t="s">
        <v>18131</v>
      </c>
    </row>
    <row r="5923" spans="1:6" x14ac:dyDescent="0.25">
      <c r="A5923" s="16" t="s">
        <v>18132</v>
      </c>
      <c r="B5923" s="17" t="s">
        <v>18133</v>
      </c>
      <c r="C5923" s="17" t="s">
        <v>11</v>
      </c>
      <c r="D5923" s="17" t="s">
        <v>12</v>
      </c>
      <c r="E5923" s="17" t="s">
        <v>13</v>
      </c>
      <c r="F5923" s="16" t="s">
        <v>18134</v>
      </c>
    </row>
    <row r="5924" spans="1:6" x14ac:dyDescent="0.25">
      <c r="A5924" s="16" t="s">
        <v>18135</v>
      </c>
      <c r="B5924" s="17" t="s">
        <v>18136</v>
      </c>
      <c r="C5924" s="17" t="s">
        <v>11</v>
      </c>
      <c r="D5924" s="17" t="s">
        <v>32</v>
      </c>
      <c r="E5924" s="17" t="s">
        <v>20</v>
      </c>
      <c r="F5924" s="16" t="s">
        <v>18137</v>
      </c>
    </row>
    <row r="5925" spans="1:6" x14ac:dyDescent="0.25">
      <c r="A5925" s="16" t="s">
        <v>18138</v>
      </c>
      <c r="B5925" s="17" t="s">
        <v>18139</v>
      </c>
      <c r="C5925" s="17" t="s">
        <v>11</v>
      </c>
      <c r="D5925" s="17" t="s">
        <v>68</v>
      </c>
      <c r="E5925" s="17" t="s">
        <v>20</v>
      </c>
      <c r="F5925" s="16" t="s">
        <v>18140</v>
      </c>
    </row>
    <row r="5926" spans="1:6" x14ac:dyDescent="0.25">
      <c r="A5926" s="16" t="s">
        <v>18141</v>
      </c>
      <c r="B5926" s="17" t="s">
        <v>18142</v>
      </c>
      <c r="C5926" s="17" t="s">
        <v>11</v>
      </c>
      <c r="D5926" s="17" t="s">
        <v>32</v>
      </c>
      <c r="E5926" s="17" t="s">
        <v>20</v>
      </c>
      <c r="F5926" s="16" t="s">
        <v>18143</v>
      </c>
    </row>
    <row r="5927" spans="1:6" x14ac:dyDescent="0.25">
      <c r="A5927" s="16" t="s">
        <v>18144</v>
      </c>
      <c r="B5927" s="17" t="s">
        <v>18145</v>
      </c>
      <c r="C5927" s="17" t="s">
        <v>11</v>
      </c>
      <c r="D5927" s="17" t="s">
        <v>12</v>
      </c>
      <c r="E5927" s="17" t="s">
        <v>13</v>
      </c>
      <c r="F5927" s="16" t="s">
        <v>18146</v>
      </c>
    </row>
    <row r="5928" spans="1:6" x14ac:dyDescent="0.25">
      <c r="A5928" s="16" t="s">
        <v>18147</v>
      </c>
      <c r="B5928" s="17" t="s">
        <v>18148</v>
      </c>
      <c r="C5928" s="17" t="s">
        <v>11</v>
      </c>
      <c r="D5928" s="17" t="s">
        <v>32</v>
      </c>
      <c r="E5928" s="17" t="s">
        <v>20</v>
      </c>
      <c r="F5928" s="16" t="s">
        <v>18149</v>
      </c>
    </row>
    <row r="5929" spans="1:6" x14ac:dyDescent="0.25">
      <c r="A5929" s="16" t="s">
        <v>18150</v>
      </c>
      <c r="B5929" s="17" t="s">
        <v>18151</v>
      </c>
      <c r="C5929" s="17" t="s">
        <v>11</v>
      </c>
      <c r="D5929" s="17" t="s">
        <v>250</v>
      </c>
      <c r="E5929" s="17" t="s">
        <v>20</v>
      </c>
      <c r="F5929" s="16" t="s">
        <v>18152</v>
      </c>
    </row>
    <row r="5930" spans="1:6" x14ac:dyDescent="0.25">
      <c r="A5930" s="16" t="s">
        <v>18153</v>
      </c>
      <c r="B5930" s="17" t="s">
        <v>18154</v>
      </c>
      <c r="C5930" s="17" t="s">
        <v>11</v>
      </c>
      <c r="D5930" s="17" t="s">
        <v>32</v>
      </c>
      <c r="E5930" s="17" t="s">
        <v>20</v>
      </c>
      <c r="F5930" s="16" t="s">
        <v>18155</v>
      </c>
    </row>
    <row r="5931" spans="1:6" x14ac:dyDescent="0.25">
      <c r="A5931" s="16" t="s">
        <v>18156</v>
      </c>
      <c r="B5931" s="17" t="s">
        <v>18157</v>
      </c>
      <c r="C5931" s="17" t="s">
        <v>11</v>
      </c>
      <c r="D5931" s="17" t="s">
        <v>32</v>
      </c>
      <c r="E5931" s="17" t="s">
        <v>20</v>
      </c>
      <c r="F5931" s="16" t="s">
        <v>18158</v>
      </c>
    </row>
    <row r="5932" spans="1:6" x14ac:dyDescent="0.25">
      <c r="A5932" s="16" t="s">
        <v>18159</v>
      </c>
      <c r="B5932" s="17" t="s">
        <v>18160</v>
      </c>
      <c r="C5932" s="17" t="s">
        <v>11</v>
      </c>
      <c r="D5932" s="17" t="s">
        <v>32</v>
      </c>
      <c r="E5932" s="17" t="s">
        <v>20</v>
      </c>
      <c r="F5932" s="16" t="s">
        <v>18161</v>
      </c>
    </row>
    <row r="5933" spans="1:6" x14ac:dyDescent="0.25">
      <c r="A5933" s="16" t="s">
        <v>18162</v>
      </c>
      <c r="B5933" s="17" t="s">
        <v>18163</v>
      </c>
      <c r="C5933" s="17" t="s">
        <v>11</v>
      </c>
      <c r="D5933" s="17" t="s">
        <v>182</v>
      </c>
      <c r="E5933" s="17" t="s">
        <v>20</v>
      </c>
      <c r="F5933" s="16" t="s">
        <v>18164</v>
      </c>
    </row>
    <row r="5934" spans="1:6" x14ac:dyDescent="0.25">
      <c r="A5934" s="16" t="s">
        <v>18165</v>
      </c>
      <c r="B5934" s="17" t="s">
        <v>18166</v>
      </c>
      <c r="C5934" s="17" t="s">
        <v>11</v>
      </c>
      <c r="D5934" s="17" t="s">
        <v>32</v>
      </c>
      <c r="E5934" s="17" t="s">
        <v>20</v>
      </c>
      <c r="F5934" s="16" t="s">
        <v>18167</v>
      </c>
    </row>
    <row r="5935" spans="1:6" x14ac:dyDescent="0.25">
      <c r="A5935" s="16" t="s">
        <v>18168</v>
      </c>
      <c r="B5935" s="17" t="s">
        <v>18169</v>
      </c>
      <c r="C5935" s="17" t="s">
        <v>11</v>
      </c>
      <c r="D5935" s="17" t="s">
        <v>74</v>
      </c>
      <c r="E5935" s="17" t="s">
        <v>20</v>
      </c>
      <c r="F5935" s="16" t="s">
        <v>18170</v>
      </c>
    </row>
    <row r="5936" spans="1:6" x14ac:dyDescent="0.25">
      <c r="A5936" s="16" t="s">
        <v>18171</v>
      </c>
      <c r="B5936" s="17" t="s">
        <v>18172</v>
      </c>
      <c r="C5936" s="17" t="s">
        <v>11</v>
      </c>
      <c r="D5936" s="17" t="s">
        <v>19</v>
      </c>
      <c r="E5936" s="17" t="s">
        <v>20</v>
      </c>
      <c r="F5936" s="16" t="s">
        <v>18173</v>
      </c>
    </row>
    <row r="5937" spans="1:6" x14ac:dyDescent="0.25">
      <c r="A5937" s="16" t="s">
        <v>18174</v>
      </c>
      <c r="B5937" s="17" t="s">
        <v>18175</v>
      </c>
      <c r="C5937" s="17" t="s">
        <v>11</v>
      </c>
      <c r="D5937" s="17" t="s">
        <v>83</v>
      </c>
      <c r="E5937" s="17" t="s">
        <v>20</v>
      </c>
      <c r="F5937" s="16" t="s">
        <v>18176</v>
      </c>
    </row>
    <row r="5938" spans="1:6" x14ac:dyDescent="0.25">
      <c r="A5938" s="16" t="s">
        <v>18177</v>
      </c>
      <c r="B5938" s="17" t="s">
        <v>18178</v>
      </c>
      <c r="C5938" s="17" t="s">
        <v>11</v>
      </c>
      <c r="D5938" s="17" t="s">
        <v>12</v>
      </c>
      <c r="E5938" s="17" t="s">
        <v>13</v>
      </c>
      <c r="F5938" s="16" t="s">
        <v>18179</v>
      </c>
    </row>
    <row r="5939" spans="1:6" x14ac:dyDescent="0.25">
      <c r="A5939" s="16" t="s">
        <v>18180</v>
      </c>
      <c r="B5939" s="17" t="s">
        <v>18181</v>
      </c>
      <c r="C5939" s="17" t="s">
        <v>11</v>
      </c>
      <c r="D5939" s="17" t="s">
        <v>250</v>
      </c>
      <c r="E5939" s="17" t="s">
        <v>20</v>
      </c>
      <c r="F5939" s="16" t="s">
        <v>18182</v>
      </c>
    </row>
    <row r="5940" spans="1:6" x14ac:dyDescent="0.25">
      <c r="A5940" s="16" t="s">
        <v>18183</v>
      </c>
      <c r="B5940" s="17" t="s">
        <v>18184</v>
      </c>
      <c r="C5940" s="17" t="s">
        <v>11</v>
      </c>
      <c r="D5940" s="17" t="s">
        <v>12</v>
      </c>
      <c r="E5940" s="17" t="s">
        <v>13</v>
      </c>
      <c r="F5940" s="16" t="s">
        <v>18185</v>
      </c>
    </row>
    <row r="5941" spans="1:6" x14ac:dyDescent="0.25">
      <c r="A5941" s="16" t="s">
        <v>18186</v>
      </c>
      <c r="B5941" s="17" t="s">
        <v>18187</v>
      </c>
      <c r="C5941" s="17" t="s">
        <v>11</v>
      </c>
      <c r="D5941" s="17" t="s">
        <v>19</v>
      </c>
      <c r="E5941" s="17" t="s">
        <v>20</v>
      </c>
      <c r="F5941" s="16" t="s">
        <v>18188</v>
      </c>
    </row>
    <row r="5942" spans="1:6" x14ac:dyDescent="0.25">
      <c r="A5942" s="16" t="s">
        <v>18189</v>
      </c>
      <c r="B5942" s="17" t="s">
        <v>18190</v>
      </c>
      <c r="C5942" s="17" t="s">
        <v>11</v>
      </c>
      <c r="D5942" s="17" t="s">
        <v>26</v>
      </c>
      <c r="E5942" s="17" t="s">
        <v>20</v>
      </c>
      <c r="F5942" s="16" t="s">
        <v>18191</v>
      </c>
    </row>
    <row r="5943" spans="1:6" x14ac:dyDescent="0.25">
      <c r="A5943" s="16" t="s">
        <v>18192</v>
      </c>
      <c r="B5943" s="17" t="s">
        <v>18193</v>
      </c>
      <c r="C5943" s="17" t="s">
        <v>11</v>
      </c>
      <c r="D5943" s="17" t="s">
        <v>32</v>
      </c>
      <c r="E5943" s="17" t="s">
        <v>20</v>
      </c>
      <c r="F5943" s="16" t="s">
        <v>18194</v>
      </c>
    </row>
    <row r="5944" spans="1:6" x14ac:dyDescent="0.25">
      <c r="A5944" s="16" t="s">
        <v>18195</v>
      </c>
      <c r="B5944" s="17" t="s">
        <v>18196</v>
      </c>
      <c r="C5944" s="17" t="s">
        <v>11</v>
      </c>
      <c r="D5944" s="17" t="s">
        <v>80</v>
      </c>
      <c r="E5944" s="17" t="s">
        <v>20</v>
      </c>
      <c r="F5944" s="16" t="s">
        <v>18197</v>
      </c>
    </row>
    <row r="5945" spans="1:6" x14ac:dyDescent="0.25">
      <c r="A5945" s="16" t="s">
        <v>18198</v>
      </c>
      <c r="B5945" s="17" t="s">
        <v>18199</v>
      </c>
      <c r="C5945" s="17" t="s">
        <v>11</v>
      </c>
      <c r="D5945" s="17" t="s">
        <v>32</v>
      </c>
      <c r="E5945" s="17" t="s">
        <v>20</v>
      </c>
      <c r="F5945" s="16" t="s">
        <v>18200</v>
      </c>
    </row>
    <row r="5946" spans="1:6" x14ac:dyDescent="0.25">
      <c r="A5946" s="16" t="s">
        <v>18201</v>
      </c>
      <c r="B5946" s="17" t="s">
        <v>18202</v>
      </c>
      <c r="C5946" s="17" t="s">
        <v>11</v>
      </c>
      <c r="D5946" s="17" t="s">
        <v>32</v>
      </c>
      <c r="E5946" s="17" t="s">
        <v>20</v>
      </c>
      <c r="F5946" s="16" t="s">
        <v>18203</v>
      </c>
    </row>
    <row r="5947" spans="1:6" x14ac:dyDescent="0.25">
      <c r="A5947" s="16" t="s">
        <v>18204</v>
      </c>
      <c r="B5947" s="17" t="s">
        <v>18205</v>
      </c>
      <c r="C5947" s="17" t="s">
        <v>11</v>
      </c>
      <c r="D5947" s="17" t="s">
        <v>182</v>
      </c>
      <c r="E5947" s="17" t="s">
        <v>20</v>
      </c>
      <c r="F5947" s="16" t="s">
        <v>18206</v>
      </c>
    </row>
    <row r="5948" spans="1:6" x14ac:dyDescent="0.25">
      <c r="A5948" s="16" t="s">
        <v>18207</v>
      </c>
      <c r="B5948" s="17" t="s">
        <v>18208</v>
      </c>
      <c r="C5948" s="17" t="s">
        <v>11</v>
      </c>
      <c r="D5948" s="17" t="s">
        <v>32</v>
      </c>
      <c r="E5948" s="17" t="s">
        <v>20</v>
      </c>
      <c r="F5948" s="16" t="s">
        <v>18209</v>
      </c>
    </row>
    <row r="5949" spans="1:6" x14ac:dyDescent="0.25">
      <c r="A5949" s="16" t="s">
        <v>18210</v>
      </c>
      <c r="B5949" s="17" t="s">
        <v>18211</v>
      </c>
      <c r="C5949" s="17" t="s">
        <v>11</v>
      </c>
      <c r="D5949" s="17" t="s">
        <v>1318</v>
      </c>
      <c r="E5949" s="17" t="s">
        <v>20</v>
      </c>
      <c r="F5949" s="16" t="s">
        <v>18212</v>
      </c>
    </row>
    <row r="5950" spans="1:6" x14ac:dyDescent="0.25">
      <c r="A5950" s="16" t="s">
        <v>18213</v>
      </c>
      <c r="B5950" s="17" t="s">
        <v>18214</v>
      </c>
      <c r="C5950" s="17" t="s">
        <v>11</v>
      </c>
      <c r="D5950" s="17" t="s">
        <v>83</v>
      </c>
      <c r="E5950" s="17" t="s">
        <v>20</v>
      </c>
      <c r="F5950" s="16" t="s">
        <v>18215</v>
      </c>
    </row>
    <row r="5951" spans="1:6" x14ac:dyDescent="0.25">
      <c r="A5951" s="16" t="s">
        <v>18216</v>
      </c>
      <c r="B5951" s="17" t="s">
        <v>18217</v>
      </c>
      <c r="C5951" s="17" t="s">
        <v>11</v>
      </c>
      <c r="D5951" s="17" t="s">
        <v>32</v>
      </c>
      <c r="E5951" s="17" t="s">
        <v>20</v>
      </c>
      <c r="F5951" s="16" t="s">
        <v>18218</v>
      </c>
    </row>
    <row r="5952" spans="1:6" x14ac:dyDescent="0.25">
      <c r="A5952" s="16" t="s">
        <v>18219</v>
      </c>
      <c r="B5952" s="17" t="s">
        <v>18220</v>
      </c>
      <c r="C5952" s="17" t="s">
        <v>11</v>
      </c>
      <c r="D5952" s="17" t="s">
        <v>32</v>
      </c>
      <c r="E5952" s="17" t="s">
        <v>20</v>
      </c>
      <c r="F5952" s="16" t="s">
        <v>18221</v>
      </c>
    </row>
    <row r="5953" spans="1:6" x14ac:dyDescent="0.25">
      <c r="A5953" s="16" t="s">
        <v>18222</v>
      </c>
      <c r="B5953" s="17" t="s">
        <v>18223</v>
      </c>
      <c r="C5953" s="17" t="s">
        <v>11</v>
      </c>
      <c r="D5953" s="17" t="s">
        <v>32</v>
      </c>
      <c r="E5953" s="17" t="s">
        <v>20</v>
      </c>
      <c r="F5953" s="16" t="s">
        <v>18224</v>
      </c>
    </row>
    <row r="5954" spans="1:6" x14ac:dyDescent="0.25">
      <c r="A5954" s="16" t="s">
        <v>18225</v>
      </c>
      <c r="B5954" s="17" t="s">
        <v>18226</v>
      </c>
      <c r="C5954" s="17" t="s">
        <v>11</v>
      </c>
      <c r="D5954" s="17" t="s">
        <v>83</v>
      </c>
      <c r="E5954" s="17" t="s">
        <v>20</v>
      </c>
      <c r="F5954" s="16" t="s">
        <v>18227</v>
      </c>
    </row>
    <row r="5955" spans="1:6" x14ac:dyDescent="0.25">
      <c r="A5955" s="16" t="s">
        <v>18228</v>
      </c>
      <c r="B5955" s="17" t="s">
        <v>18229</v>
      </c>
      <c r="C5955" s="17" t="s">
        <v>11</v>
      </c>
      <c r="D5955" s="17" t="s">
        <v>59</v>
      </c>
      <c r="E5955" s="17" t="s">
        <v>13</v>
      </c>
      <c r="F5955" s="16" t="s">
        <v>18230</v>
      </c>
    </row>
    <row r="5956" spans="1:6" x14ac:dyDescent="0.25">
      <c r="A5956" s="16" t="s">
        <v>18231</v>
      </c>
      <c r="B5956" s="17" t="s">
        <v>18232</v>
      </c>
      <c r="C5956" s="17" t="s">
        <v>11</v>
      </c>
      <c r="D5956" s="17" t="s">
        <v>148</v>
      </c>
      <c r="E5956" s="17" t="s">
        <v>20</v>
      </c>
      <c r="F5956" s="16" t="s">
        <v>18233</v>
      </c>
    </row>
    <row r="5957" spans="1:6" x14ac:dyDescent="0.25">
      <c r="A5957" s="16" t="s">
        <v>18234</v>
      </c>
      <c r="B5957" s="17" t="s">
        <v>18235</v>
      </c>
      <c r="C5957" s="17" t="s">
        <v>11</v>
      </c>
      <c r="D5957" s="17" t="s">
        <v>89</v>
      </c>
      <c r="E5957" s="17" t="s">
        <v>20</v>
      </c>
      <c r="F5957" s="16" t="s">
        <v>18236</v>
      </c>
    </row>
    <row r="5958" spans="1:6" x14ac:dyDescent="0.25">
      <c r="A5958" s="16" t="s">
        <v>18237</v>
      </c>
      <c r="B5958" s="17" t="s">
        <v>18238</v>
      </c>
      <c r="C5958" s="17" t="s">
        <v>11</v>
      </c>
      <c r="D5958" s="17" t="s">
        <v>32</v>
      </c>
      <c r="E5958" s="17" t="s">
        <v>20</v>
      </c>
      <c r="F5958" s="16" t="s">
        <v>18239</v>
      </c>
    </row>
    <row r="5959" spans="1:6" x14ac:dyDescent="0.25">
      <c r="A5959" s="16" t="s">
        <v>18240</v>
      </c>
      <c r="B5959" s="17" t="s">
        <v>18241</v>
      </c>
      <c r="C5959" s="17" t="s">
        <v>11</v>
      </c>
      <c r="D5959" s="17" t="s">
        <v>32</v>
      </c>
      <c r="E5959" s="17" t="s">
        <v>20</v>
      </c>
      <c r="F5959" s="16" t="s">
        <v>18242</v>
      </c>
    </row>
    <row r="5960" spans="1:6" x14ac:dyDescent="0.25">
      <c r="A5960" s="16" t="s">
        <v>18243</v>
      </c>
      <c r="B5960" s="17" t="s">
        <v>18244</v>
      </c>
      <c r="C5960" s="17" t="s">
        <v>11</v>
      </c>
      <c r="D5960" s="17" t="s">
        <v>83</v>
      </c>
      <c r="E5960" s="17" t="s">
        <v>20</v>
      </c>
      <c r="F5960" s="16" t="s">
        <v>18245</v>
      </c>
    </row>
    <row r="5961" spans="1:6" x14ac:dyDescent="0.25">
      <c r="A5961" s="16" t="s">
        <v>18246</v>
      </c>
      <c r="B5961" s="17" t="s">
        <v>18247</v>
      </c>
      <c r="C5961" s="17" t="s">
        <v>11</v>
      </c>
      <c r="D5961" s="17" t="s">
        <v>89</v>
      </c>
      <c r="E5961" s="17" t="s">
        <v>20</v>
      </c>
      <c r="F5961" s="16" t="s">
        <v>18248</v>
      </c>
    </row>
    <row r="5962" spans="1:6" x14ac:dyDescent="0.25">
      <c r="A5962" s="16" t="s">
        <v>18249</v>
      </c>
      <c r="B5962" s="17" t="s">
        <v>18250</v>
      </c>
      <c r="C5962" s="17" t="s">
        <v>11</v>
      </c>
      <c r="D5962" s="17" t="s">
        <v>570</v>
      </c>
      <c r="E5962" s="17" t="s">
        <v>20</v>
      </c>
      <c r="F5962" s="16" t="s">
        <v>18251</v>
      </c>
    </row>
    <row r="5963" spans="1:6" x14ac:dyDescent="0.25">
      <c r="A5963" s="16" t="s">
        <v>18252</v>
      </c>
      <c r="B5963" s="17" t="s">
        <v>18253</v>
      </c>
      <c r="C5963" s="17" t="s">
        <v>11</v>
      </c>
      <c r="D5963" s="17" t="s">
        <v>83</v>
      </c>
      <c r="E5963" s="17" t="s">
        <v>20</v>
      </c>
      <c r="F5963" s="16" t="s">
        <v>18254</v>
      </c>
    </row>
    <row r="5964" spans="1:6" x14ac:dyDescent="0.25">
      <c r="A5964" s="16" t="s">
        <v>18255</v>
      </c>
      <c r="B5964" s="17" t="s">
        <v>18256</v>
      </c>
      <c r="C5964" s="17" t="s">
        <v>11</v>
      </c>
      <c r="D5964" s="17" t="s">
        <v>148</v>
      </c>
      <c r="E5964" s="17" t="s">
        <v>20</v>
      </c>
      <c r="F5964" s="16" t="s">
        <v>18257</v>
      </c>
    </row>
    <row r="5965" spans="1:6" x14ac:dyDescent="0.25">
      <c r="A5965" s="16" t="s">
        <v>18258</v>
      </c>
      <c r="B5965" s="17" t="s">
        <v>18259</v>
      </c>
      <c r="C5965" s="17" t="s">
        <v>11</v>
      </c>
      <c r="D5965" s="17" t="s">
        <v>74</v>
      </c>
      <c r="E5965" s="17" t="s">
        <v>20</v>
      </c>
      <c r="F5965" s="16" t="s">
        <v>18260</v>
      </c>
    </row>
    <row r="5966" spans="1:6" x14ac:dyDescent="0.25">
      <c r="A5966" s="16" t="s">
        <v>18261</v>
      </c>
      <c r="B5966" s="17" t="s">
        <v>18262</v>
      </c>
      <c r="C5966" s="17" t="s">
        <v>11</v>
      </c>
      <c r="D5966" s="17" t="s">
        <v>80</v>
      </c>
      <c r="E5966" s="17" t="s">
        <v>20</v>
      </c>
      <c r="F5966" s="16" t="s">
        <v>18263</v>
      </c>
    </row>
    <row r="5967" spans="1:6" x14ac:dyDescent="0.25">
      <c r="A5967" s="16" t="s">
        <v>18264</v>
      </c>
      <c r="B5967" s="17" t="s">
        <v>18265</v>
      </c>
      <c r="C5967" s="17" t="s">
        <v>11</v>
      </c>
      <c r="D5967" s="17" t="s">
        <v>83</v>
      </c>
      <c r="E5967" s="17" t="s">
        <v>20</v>
      </c>
      <c r="F5967" s="16" t="s">
        <v>18266</v>
      </c>
    </row>
    <row r="5968" spans="1:6" x14ac:dyDescent="0.25">
      <c r="A5968" s="16" t="s">
        <v>18267</v>
      </c>
      <c r="B5968" s="17" t="s">
        <v>18268</v>
      </c>
      <c r="C5968" s="17" t="s">
        <v>11</v>
      </c>
      <c r="D5968" s="17" t="s">
        <v>32</v>
      </c>
      <c r="E5968" s="17" t="s">
        <v>20</v>
      </c>
      <c r="F5968" s="16" t="s">
        <v>18269</v>
      </c>
    </row>
    <row r="5969" spans="1:6" x14ac:dyDescent="0.25">
      <c r="A5969" s="16" t="s">
        <v>18270</v>
      </c>
      <c r="B5969" s="17" t="s">
        <v>18271</v>
      </c>
      <c r="C5969" s="17" t="s">
        <v>11</v>
      </c>
      <c r="D5969" s="17" t="s">
        <v>12</v>
      </c>
      <c r="E5969" s="17" t="s">
        <v>13</v>
      </c>
      <c r="F5969" s="16" t="s">
        <v>18272</v>
      </c>
    </row>
    <row r="5970" spans="1:6" x14ac:dyDescent="0.25">
      <c r="A5970" s="16" t="s">
        <v>18273</v>
      </c>
      <c r="B5970" s="17" t="s">
        <v>18274</v>
      </c>
      <c r="C5970" s="17" t="s">
        <v>11</v>
      </c>
      <c r="D5970" s="17" t="s">
        <v>12</v>
      </c>
      <c r="E5970" s="17" t="s">
        <v>13</v>
      </c>
      <c r="F5970" s="16" t="s">
        <v>18275</v>
      </c>
    </row>
    <row r="5971" spans="1:6" x14ac:dyDescent="0.25">
      <c r="A5971" s="16" t="s">
        <v>18276</v>
      </c>
      <c r="B5971" s="17" t="s">
        <v>18277</v>
      </c>
      <c r="C5971" s="17" t="s">
        <v>11</v>
      </c>
      <c r="D5971" s="17" t="s">
        <v>12</v>
      </c>
      <c r="E5971" s="17" t="s">
        <v>13</v>
      </c>
      <c r="F5971" s="16" t="s">
        <v>18278</v>
      </c>
    </row>
    <row r="5972" spans="1:6" x14ac:dyDescent="0.25">
      <c r="A5972" s="16" t="s">
        <v>18279</v>
      </c>
      <c r="B5972" s="17" t="s">
        <v>18280</v>
      </c>
      <c r="C5972" s="17" t="s">
        <v>11</v>
      </c>
      <c r="D5972" s="17" t="s">
        <v>12</v>
      </c>
      <c r="E5972" s="17" t="s">
        <v>13</v>
      </c>
      <c r="F5972" s="16" t="s">
        <v>18281</v>
      </c>
    </row>
    <row r="5973" spans="1:6" x14ac:dyDescent="0.25">
      <c r="A5973" s="16" t="s">
        <v>18282</v>
      </c>
      <c r="B5973" s="17" t="s">
        <v>18283</v>
      </c>
      <c r="C5973" s="17" t="s">
        <v>11</v>
      </c>
      <c r="D5973" s="17" t="s">
        <v>12</v>
      </c>
      <c r="E5973" s="17" t="s">
        <v>13</v>
      </c>
      <c r="F5973" s="16" t="s">
        <v>18284</v>
      </c>
    </row>
    <row r="5974" spans="1:6" x14ac:dyDescent="0.25">
      <c r="A5974" s="16" t="s">
        <v>18285</v>
      </c>
      <c r="B5974" s="17" t="s">
        <v>18286</v>
      </c>
      <c r="C5974" s="17" t="s">
        <v>11</v>
      </c>
      <c r="D5974" s="17" t="s">
        <v>12</v>
      </c>
      <c r="E5974" s="17" t="s">
        <v>13</v>
      </c>
      <c r="F5974" s="16" t="s">
        <v>18287</v>
      </c>
    </row>
    <row r="5975" spans="1:6" x14ac:dyDescent="0.25">
      <c r="A5975" s="16" t="s">
        <v>18288</v>
      </c>
      <c r="B5975" s="17" t="s">
        <v>18289</v>
      </c>
      <c r="C5975" s="17" t="s">
        <v>11</v>
      </c>
      <c r="D5975" s="17" t="s">
        <v>32</v>
      </c>
      <c r="E5975" s="17" t="s">
        <v>20</v>
      </c>
      <c r="F5975" s="16" t="s">
        <v>18290</v>
      </c>
    </row>
    <row r="5976" spans="1:6" x14ac:dyDescent="0.25">
      <c r="A5976" s="16" t="s">
        <v>18291</v>
      </c>
      <c r="B5976" s="17" t="s">
        <v>18292</v>
      </c>
      <c r="C5976" s="17" t="s">
        <v>11</v>
      </c>
      <c r="D5976" s="17" t="s">
        <v>1402</v>
      </c>
      <c r="E5976" s="17" t="s">
        <v>13</v>
      </c>
      <c r="F5976" s="16" t="s">
        <v>18293</v>
      </c>
    </row>
    <row r="5977" spans="1:6" x14ac:dyDescent="0.25">
      <c r="A5977" s="16" t="s">
        <v>18294</v>
      </c>
      <c r="B5977" s="17" t="s">
        <v>18295</v>
      </c>
      <c r="C5977" s="17" t="s">
        <v>11</v>
      </c>
      <c r="D5977" s="17" t="s">
        <v>12</v>
      </c>
      <c r="E5977" s="17" t="s">
        <v>13</v>
      </c>
      <c r="F5977" s="16" t="s">
        <v>18296</v>
      </c>
    </row>
    <row r="5978" spans="1:6" x14ac:dyDescent="0.25">
      <c r="A5978" s="16" t="s">
        <v>18297</v>
      </c>
      <c r="B5978" s="17" t="s">
        <v>18298</v>
      </c>
      <c r="C5978" s="17" t="s">
        <v>11</v>
      </c>
      <c r="D5978" s="17" t="s">
        <v>12</v>
      </c>
      <c r="E5978" s="17" t="s">
        <v>13</v>
      </c>
      <c r="F5978" s="16" t="s">
        <v>18299</v>
      </c>
    </row>
    <row r="5979" spans="1:6" x14ac:dyDescent="0.25">
      <c r="A5979" s="16" t="s">
        <v>18300</v>
      </c>
      <c r="B5979" s="17" t="s">
        <v>18301</v>
      </c>
      <c r="C5979" s="17" t="s">
        <v>11</v>
      </c>
      <c r="D5979" s="17" t="s">
        <v>12</v>
      </c>
      <c r="E5979" s="17" t="s">
        <v>13</v>
      </c>
      <c r="F5979" s="16" t="s">
        <v>18302</v>
      </c>
    </row>
    <row r="5980" spans="1:6" x14ac:dyDescent="0.25">
      <c r="A5980" s="16" t="s">
        <v>18303</v>
      </c>
      <c r="B5980" s="17" t="s">
        <v>18304</v>
      </c>
      <c r="C5980" s="17" t="s">
        <v>11</v>
      </c>
      <c r="D5980" s="17" t="s">
        <v>12</v>
      </c>
      <c r="E5980" s="17" t="s">
        <v>13</v>
      </c>
      <c r="F5980" s="16" t="s">
        <v>18305</v>
      </c>
    </row>
    <row r="5981" spans="1:6" x14ac:dyDescent="0.25">
      <c r="A5981" s="16" t="s">
        <v>18306</v>
      </c>
      <c r="B5981" s="17" t="s">
        <v>18307</v>
      </c>
      <c r="C5981" s="17" t="s">
        <v>11</v>
      </c>
      <c r="D5981" s="17" t="s">
        <v>83</v>
      </c>
      <c r="E5981" s="17" t="s">
        <v>20</v>
      </c>
      <c r="F5981" s="16" t="s">
        <v>18308</v>
      </c>
    </row>
    <row r="5982" spans="1:6" x14ac:dyDescent="0.25">
      <c r="A5982" s="16" t="s">
        <v>18309</v>
      </c>
      <c r="B5982" s="17" t="s">
        <v>18310</v>
      </c>
      <c r="C5982" s="17" t="s">
        <v>11</v>
      </c>
      <c r="D5982" s="17" t="s">
        <v>32</v>
      </c>
      <c r="E5982" s="17" t="s">
        <v>20</v>
      </c>
      <c r="F5982" s="16" t="s">
        <v>18311</v>
      </c>
    </row>
    <row r="5983" spans="1:6" x14ac:dyDescent="0.25">
      <c r="A5983" s="16" t="s">
        <v>18312</v>
      </c>
      <c r="B5983" s="17" t="s">
        <v>18313</v>
      </c>
      <c r="C5983" s="17" t="s">
        <v>11</v>
      </c>
      <c r="D5983" s="17" t="s">
        <v>83</v>
      </c>
      <c r="E5983" s="17" t="s">
        <v>20</v>
      </c>
      <c r="F5983" s="16" t="s">
        <v>18314</v>
      </c>
    </row>
    <row r="5984" spans="1:6" x14ac:dyDescent="0.25">
      <c r="A5984" s="16" t="s">
        <v>18315</v>
      </c>
      <c r="B5984" s="17" t="s">
        <v>18316</v>
      </c>
      <c r="C5984" s="17" t="s">
        <v>11</v>
      </c>
      <c r="D5984" s="17" t="s">
        <v>12</v>
      </c>
      <c r="E5984" s="17" t="s">
        <v>13</v>
      </c>
      <c r="F5984" s="16" t="s">
        <v>18317</v>
      </c>
    </row>
    <row r="5985" spans="1:6" x14ac:dyDescent="0.25">
      <c r="A5985" s="16" t="s">
        <v>18318</v>
      </c>
      <c r="B5985" s="17" t="s">
        <v>18319</v>
      </c>
      <c r="C5985" s="17" t="s">
        <v>11</v>
      </c>
      <c r="D5985" s="17" t="s">
        <v>12</v>
      </c>
      <c r="E5985" s="17" t="s">
        <v>13</v>
      </c>
      <c r="F5985" s="16" t="s">
        <v>18320</v>
      </c>
    </row>
    <row r="5986" spans="1:6" x14ac:dyDescent="0.25">
      <c r="A5986" s="16" t="s">
        <v>18321</v>
      </c>
      <c r="B5986" s="17" t="s">
        <v>18322</v>
      </c>
      <c r="C5986" s="17" t="s">
        <v>11</v>
      </c>
      <c r="D5986" s="17" t="s">
        <v>83</v>
      </c>
      <c r="E5986" s="17" t="s">
        <v>20</v>
      </c>
      <c r="F5986" s="16" t="s">
        <v>18323</v>
      </c>
    </row>
    <row r="5987" spans="1:6" x14ac:dyDescent="0.25">
      <c r="A5987" s="16" t="s">
        <v>18324</v>
      </c>
      <c r="B5987" s="17" t="s">
        <v>18325</v>
      </c>
      <c r="C5987" s="17" t="s">
        <v>11</v>
      </c>
      <c r="D5987" s="17" t="s">
        <v>12</v>
      </c>
      <c r="E5987" s="17" t="s">
        <v>13</v>
      </c>
      <c r="F5987" s="16" t="s">
        <v>18326</v>
      </c>
    </row>
    <row r="5988" spans="1:6" x14ac:dyDescent="0.25">
      <c r="A5988" s="16" t="s">
        <v>18327</v>
      </c>
      <c r="B5988" s="17" t="s">
        <v>18328</v>
      </c>
      <c r="C5988" s="17" t="s">
        <v>11</v>
      </c>
      <c r="D5988" s="17" t="s">
        <v>12</v>
      </c>
      <c r="E5988" s="17" t="s">
        <v>13</v>
      </c>
      <c r="F5988" s="16" t="s">
        <v>18329</v>
      </c>
    </row>
    <row r="5989" spans="1:6" x14ac:dyDescent="0.25">
      <c r="A5989" s="16" t="s">
        <v>18330</v>
      </c>
      <c r="B5989" s="17" t="s">
        <v>18331</v>
      </c>
      <c r="C5989" s="17" t="s">
        <v>11</v>
      </c>
      <c r="D5989" s="17" t="s">
        <v>26</v>
      </c>
      <c r="E5989" s="17" t="s">
        <v>20</v>
      </c>
      <c r="F5989" s="16" t="s">
        <v>18332</v>
      </c>
    </row>
    <row r="5990" spans="1:6" x14ac:dyDescent="0.25">
      <c r="A5990" s="16" t="s">
        <v>18333</v>
      </c>
      <c r="B5990" s="17" t="s">
        <v>18334</v>
      </c>
      <c r="C5990" s="17" t="s">
        <v>11</v>
      </c>
      <c r="D5990" s="17" t="s">
        <v>12</v>
      </c>
      <c r="E5990" s="17" t="s">
        <v>13</v>
      </c>
      <c r="F5990" s="16" t="s">
        <v>18335</v>
      </c>
    </row>
    <row r="5991" spans="1:6" x14ac:dyDescent="0.25">
      <c r="A5991" s="16" t="s">
        <v>18336</v>
      </c>
      <c r="B5991" s="17" t="s">
        <v>18337</v>
      </c>
      <c r="C5991" s="17" t="s">
        <v>11</v>
      </c>
      <c r="D5991" s="17" t="s">
        <v>186</v>
      </c>
      <c r="E5991" s="17" t="s">
        <v>20</v>
      </c>
      <c r="F5991" s="16" t="s">
        <v>18338</v>
      </c>
    </row>
    <row r="5992" spans="1:6" x14ac:dyDescent="0.25">
      <c r="A5992" s="16" t="s">
        <v>18339</v>
      </c>
      <c r="B5992" s="17" t="s">
        <v>18340</v>
      </c>
      <c r="C5992" s="17" t="s">
        <v>11</v>
      </c>
      <c r="D5992" s="17" t="s">
        <v>233</v>
      </c>
      <c r="E5992" s="17" t="s">
        <v>20</v>
      </c>
      <c r="F5992" s="16" t="s">
        <v>18341</v>
      </c>
    </row>
    <row r="5993" spans="1:6" x14ac:dyDescent="0.25">
      <c r="A5993" s="16" t="s">
        <v>18342</v>
      </c>
      <c r="B5993" s="17" t="s">
        <v>18343</v>
      </c>
      <c r="C5993" s="17" t="s">
        <v>11</v>
      </c>
      <c r="D5993" s="17" t="s">
        <v>12</v>
      </c>
      <c r="E5993" s="17" t="s">
        <v>13</v>
      </c>
      <c r="F5993" s="16" t="s">
        <v>18344</v>
      </c>
    </row>
    <row r="5994" spans="1:6" x14ac:dyDescent="0.25">
      <c r="A5994" s="16" t="s">
        <v>18345</v>
      </c>
      <c r="B5994" s="17" t="s">
        <v>18346</v>
      </c>
      <c r="C5994" s="17" t="s">
        <v>11</v>
      </c>
      <c r="D5994" s="17" t="s">
        <v>80</v>
      </c>
      <c r="E5994" s="17" t="s">
        <v>20</v>
      </c>
      <c r="F5994" s="16" t="s">
        <v>18347</v>
      </c>
    </row>
    <row r="5995" spans="1:6" x14ac:dyDescent="0.25">
      <c r="A5995" s="16" t="s">
        <v>18348</v>
      </c>
      <c r="B5995" s="17" t="s">
        <v>18349</v>
      </c>
      <c r="C5995" s="17" t="s">
        <v>11</v>
      </c>
      <c r="D5995" s="17" t="s">
        <v>32</v>
      </c>
      <c r="E5995" s="17" t="s">
        <v>20</v>
      </c>
      <c r="F5995" s="16" t="s">
        <v>18350</v>
      </c>
    </row>
    <row r="5996" spans="1:6" x14ac:dyDescent="0.25">
      <c r="A5996" s="16" t="s">
        <v>18351</v>
      </c>
      <c r="B5996" s="17" t="s">
        <v>18352</v>
      </c>
      <c r="C5996" s="17" t="s">
        <v>11</v>
      </c>
      <c r="D5996" s="17" t="s">
        <v>83</v>
      </c>
      <c r="E5996" s="17" t="s">
        <v>20</v>
      </c>
      <c r="F5996" s="16" t="s">
        <v>18353</v>
      </c>
    </row>
    <row r="5997" spans="1:6" x14ac:dyDescent="0.25">
      <c r="A5997" s="16" t="s">
        <v>18354</v>
      </c>
      <c r="B5997" s="17" t="s">
        <v>18355</v>
      </c>
      <c r="C5997" s="17" t="s">
        <v>11</v>
      </c>
      <c r="D5997" s="17" t="s">
        <v>12</v>
      </c>
      <c r="E5997" s="17" t="s">
        <v>13</v>
      </c>
      <c r="F5997" s="16" t="s">
        <v>18356</v>
      </c>
    </row>
    <row r="5998" spans="1:6" x14ac:dyDescent="0.25">
      <c r="A5998" s="16" t="s">
        <v>18357</v>
      </c>
      <c r="B5998" s="17" t="s">
        <v>18358</v>
      </c>
      <c r="C5998" s="17" t="s">
        <v>11</v>
      </c>
      <c r="D5998" s="17" t="s">
        <v>12</v>
      </c>
      <c r="E5998" s="17" t="s">
        <v>13</v>
      </c>
      <c r="F5998" s="16" t="s">
        <v>18359</v>
      </c>
    </row>
    <row r="5999" spans="1:6" x14ac:dyDescent="0.25">
      <c r="A5999" s="16" t="s">
        <v>18360</v>
      </c>
      <c r="B5999" s="17" t="s">
        <v>18361</v>
      </c>
      <c r="C5999" s="17" t="s">
        <v>11</v>
      </c>
      <c r="D5999" s="17" t="s">
        <v>32</v>
      </c>
      <c r="E5999" s="17" t="s">
        <v>20</v>
      </c>
      <c r="F5999" s="16" t="s">
        <v>18362</v>
      </c>
    </row>
    <row r="6000" spans="1:6" x14ac:dyDescent="0.25">
      <c r="A6000" s="16" t="s">
        <v>18363</v>
      </c>
      <c r="B6000" s="17" t="s">
        <v>18364</v>
      </c>
      <c r="C6000" s="17" t="s">
        <v>11</v>
      </c>
      <c r="D6000" s="17" t="s">
        <v>80</v>
      </c>
      <c r="E6000" s="17" t="s">
        <v>20</v>
      </c>
      <c r="F6000" s="16" t="s">
        <v>18365</v>
      </c>
    </row>
    <row r="6001" spans="1:6" x14ac:dyDescent="0.25">
      <c r="A6001" s="16" t="s">
        <v>18366</v>
      </c>
      <c r="B6001" s="17" t="s">
        <v>18367</v>
      </c>
      <c r="C6001" s="17" t="s">
        <v>11</v>
      </c>
      <c r="D6001" s="17" t="s">
        <v>80</v>
      </c>
      <c r="E6001" s="17" t="s">
        <v>20</v>
      </c>
      <c r="F6001" s="16" t="s">
        <v>18368</v>
      </c>
    </row>
    <row r="6002" spans="1:6" x14ac:dyDescent="0.25">
      <c r="A6002" s="16" t="s">
        <v>18369</v>
      </c>
      <c r="B6002" s="17" t="s">
        <v>18370</v>
      </c>
      <c r="C6002" s="17" t="s">
        <v>11</v>
      </c>
      <c r="D6002" s="17" t="s">
        <v>19</v>
      </c>
      <c r="E6002" s="17" t="s">
        <v>20</v>
      </c>
      <c r="F6002" s="16" t="s">
        <v>18371</v>
      </c>
    </row>
    <row r="6003" spans="1:6" x14ac:dyDescent="0.25">
      <c r="A6003" s="16" t="s">
        <v>18372</v>
      </c>
      <c r="B6003" s="17" t="s">
        <v>18373</v>
      </c>
      <c r="C6003" s="17" t="s">
        <v>11</v>
      </c>
      <c r="D6003" s="17" t="s">
        <v>83</v>
      </c>
      <c r="E6003" s="17" t="s">
        <v>20</v>
      </c>
      <c r="F6003" s="16" t="s">
        <v>18374</v>
      </c>
    </row>
    <row r="6004" spans="1:6" x14ac:dyDescent="0.25">
      <c r="A6004" s="16" t="s">
        <v>18375</v>
      </c>
      <c r="B6004" s="17" t="s">
        <v>18376</v>
      </c>
      <c r="C6004" s="17" t="s">
        <v>11</v>
      </c>
      <c r="D6004" s="17" t="s">
        <v>68</v>
      </c>
      <c r="E6004" s="17" t="s">
        <v>20</v>
      </c>
      <c r="F6004" s="16" t="s">
        <v>18377</v>
      </c>
    </row>
    <row r="6005" spans="1:6" x14ac:dyDescent="0.25">
      <c r="A6005" s="16" t="s">
        <v>18378</v>
      </c>
      <c r="B6005" s="17" t="s">
        <v>18379</v>
      </c>
      <c r="C6005" s="17" t="s">
        <v>11</v>
      </c>
      <c r="D6005" s="17" t="s">
        <v>186</v>
      </c>
      <c r="E6005" s="17" t="s">
        <v>20</v>
      </c>
      <c r="F6005" s="16" t="s">
        <v>18380</v>
      </c>
    </row>
    <row r="6006" spans="1:6" x14ac:dyDescent="0.25">
      <c r="A6006" s="16" t="s">
        <v>18381</v>
      </c>
      <c r="B6006" s="17" t="s">
        <v>18382</v>
      </c>
      <c r="C6006" s="17" t="s">
        <v>11</v>
      </c>
      <c r="D6006" s="17" t="s">
        <v>570</v>
      </c>
      <c r="E6006" s="17" t="s">
        <v>20</v>
      </c>
      <c r="F6006" s="16" t="s">
        <v>18383</v>
      </c>
    </row>
    <row r="6007" spans="1:6" x14ac:dyDescent="0.25">
      <c r="A6007" s="16" t="s">
        <v>18384</v>
      </c>
      <c r="B6007" s="17" t="s">
        <v>18385</v>
      </c>
      <c r="C6007" s="17" t="s">
        <v>11</v>
      </c>
      <c r="D6007" s="17" t="s">
        <v>250</v>
      </c>
      <c r="E6007" s="17" t="s">
        <v>20</v>
      </c>
      <c r="F6007" s="16" t="s">
        <v>18386</v>
      </c>
    </row>
    <row r="6008" spans="1:6" x14ac:dyDescent="0.25">
      <c r="A6008" s="16" t="s">
        <v>18387</v>
      </c>
      <c r="B6008" s="17" t="s">
        <v>18388</v>
      </c>
      <c r="C6008" s="17" t="s">
        <v>11</v>
      </c>
      <c r="D6008" s="17" t="s">
        <v>32</v>
      </c>
      <c r="E6008" s="17" t="s">
        <v>20</v>
      </c>
      <c r="F6008" s="16" t="s">
        <v>18389</v>
      </c>
    </row>
    <row r="6009" spans="1:6" x14ac:dyDescent="0.25">
      <c r="A6009" s="16" t="s">
        <v>18390</v>
      </c>
      <c r="B6009" s="17" t="s">
        <v>18391</v>
      </c>
      <c r="C6009" s="17" t="s">
        <v>11</v>
      </c>
      <c r="D6009" s="17" t="s">
        <v>12</v>
      </c>
      <c r="E6009" s="17" t="s">
        <v>13</v>
      </c>
      <c r="F6009" s="16" t="s">
        <v>18392</v>
      </c>
    </row>
    <row r="6010" spans="1:6" x14ac:dyDescent="0.25">
      <c r="A6010" s="16" t="s">
        <v>18393</v>
      </c>
      <c r="B6010" s="17" t="s">
        <v>18394</v>
      </c>
      <c r="C6010" s="17" t="s">
        <v>11</v>
      </c>
      <c r="D6010" s="17" t="s">
        <v>83</v>
      </c>
      <c r="E6010" s="17" t="s">
        <v>20</v>
      </c>
      <c r="F6010" s="16" t="s">
        <v>18395</v>
      </c>
    </row>
    <row r="6011" spans="1:6" x14ac:dyDescent="0.25">
      <c r="A6011" s="16" t="s">
        <v>18396</v>
      </c>
      <c r="B6011" s="17" t="s">
        <v>18397</v>
      </c>
      <c r="C6011" s="17" t="s">
        <v>11</v>
      </c>
      <c r="D6011" s="17" t="s">
        <v>89</v>
      </c>
      <c r="E6011" s="17" t="s">
        <v>20</v>
      </c>
      <c r="F6011" s="16" t="s">
        <v>18398</v>
      </c>
    </row>
    <row r="6012" spans="1:6" x14ac:dyDescent="0.25">
      <c r="A6012" s="16" t="s">
        <v>18399</v>
      </c>
      <c r="B6012" s="17" t="s">
        <v>18400</v>
      </c>
      <c r="C6012" s="17" t="s">
        <v>11</v>
      </c>
      <c r="D6012" s="17" t="s">
        <v>83</v>
      </c>
      <c r="E6012" s="17" t="s">
        <v>20</v>
      </c>
      <c r="F6012" s="16" t="s">
        <v>18401</v>
      </c>
    </row>
    <row r="6013" spans="1:6" x14ac:dyDescent="0.25">
      <c r="A6013" s="16" t="s">
        <v>18402</v>
      </c>
      <c r="B6013" s="17" t="s">
        <v>18403</v>
      </c>
      <c r="C6013" s="17" t="s">
        <v>11</v>
      </c>
      <c r="D6013" s="17" t="s">
        <v>83</v>
      </c>
      <c r="E6013" s="17" t="s">
        <v>20</v>
      </c>
      <c r="F6013" s="16" t="s">
        <v>18404</v>
      </c>
    </row>
    <row r="6014" spans="1:6" x14ac:dyDescent="0.25">
      <c r="A6014" s="16" t="s">
        <v>18405</v>
      </c>
      <c r="B6014" s="17" t="s">
        <v>18406</v>
      </c>
      <c r="C6014" s="17" t="s">
        <v>11</v>
      </c>
      <c r="D6014" s="17" t="s">
        <v>32</v>
      </c>
      <c r="E6014" s="17" t="s">
        <v>20</v>
      </c>
      <c r="F6014" s="16" t="s">
        <v>18407</v>
      </c>
    </row>
    <row r="6015" spans="1:6" x14ac:dyDescent="0.25">
      <c r="A6015" s="16" t="s">
        <v>18408</v>
      </c>
      <c r="B6015" s="17" t="s">
        <v>18409</v>
      </c>
      <c r="C6015" s="17" t="s">
        <v>11</v>
      </c>
      <c r="D6015" s="17" t="s">
        <v>182</v>
      </c>
      <c r="E6015" s="17" t="s">
        <v>20</v>
      </c>
      <c r="F6015" s="16" t="s">
        <v>18410</v>
      </c>
    </row>
    <row r="6016" spans="1:6" x14ac:dyDescent="0.25">
      <c r="A6016" s="16" t="s">
        <v>18411</v>
      </c>
      <c r="B6016" s="17" t="s">
        <v>18412</v>
      </c>
      <c r="C6016" s="17" t="s">
        <v>11</v>
      </c>
      <c r="D6016" s="17" t="s">
        <v>83</v>
      </c>
      <c r="E6016" s="17" t="s">
        <v>20</v>
      </c>
      <c r="F6016" s="16" t="s">
        <v>18413</v>
      </c>
    </row>
    <row r="6017" spans="1:6" x14ac:dyDescent="0.25">
      <c r="A6017" s="16" t="s">
        <v>18414</v>
      </c>
      <c r="B6017" s="17" t="s">
        <v>18415</v>
      </c>
      <c r="C6017" s="17" t="s">
        <v>11</v>
      </c>
      <c r="D6017" s="17" t="s">
        <v>32</v>
      </c>
      <c r="E6017" s="17" t="s">
        <v>20</v>
      </c>
      <c r="F6017" s="16" t="s">
        <v>18416</v>
      </c>
    </row>
    <row r="6018" spans="1:6" x14ac:dyDescent="0.25">
      <c r="A6018" s="16" t="s">
        <v>18417</v>
      </c>
      <c r="B6018" s="17" t="s">
        <v>18418</v>
      </c>
      <c r="C6018" s="17" t="s">
        <v>11</v>
      </c>
      <c r="D6018" s="17" t="s">
        <v>83</v>
      </c>
      <c r="E6018" s="17" t="s">
        <v>20</v>
      </c>
      <c r="F6018" s="16" t="s">
        <v>18419</v>
      </c>
    </row>
    <row r="6019" spans="1:6" x14ac:dyDescent="0.25">
      <c r="A6019" s="16" t="s">
        <v>18420</v>
      </c>
      <c r="B6019" s="17" t="s">
        <v>18421</v>
      </c>
      <c r="C6019" s="17" t="s">
        <v>11</v>
      </c>
      <c r="D6019" s="17" t="s">
        <v>83</v>
      </c>
      <c r="E6019" s="17" t="s">
        <v>20</v>
      </c>
      <c r="F6019" s="16" t="s">
        <v>18422</v>
      </c>
    </row>
    <row r="6020" spans="1:6" x14ac:dyDescent="0.25">
      <c r="A6020" s="16" t="s">
        <v>18423</v>
      </c>
      <c r="B6020" s="17" t="s">
        <v>18424</v>
      </c>
      <c r="C6020" s="17" t="s">
        <v>11</v>
      </c>
      <c r="D6020" s="17" t="s">
        <v>32</v>
      </c>
      <c r="E6020" s="17" t="s">
        <v>20</v>
      </c>
      <c r="F6020" s="16" t="s">
        <v>18425</v>
      </c>
    </row>
    <row r="6021" spans="1:6" x14ac:dyDescent="0.25">
      <c r="A6021" s="16" t="s">
        <v>18426</v>
      </c>
      <c r="B6021" s="17" t="s">
        <v>18427</v>
      </c>
      <c r="C6021" s="17" t="s">
        <v>11</v>
      </c>
      <c r="D6021" s="17" t="s">
        <v>182</v>
      </c>
      <c r="E6021" s="17" t="s">
        <v>20</v>
      </c>
      <c r="F6021" s="16" t="s">
        <v>18428</v>
      </c>
    </row>
    <row r="6022" spans="1:6" x14ac:dyDescent="0.25">
      <c r="A6022" s="16" t="s">
        <v>18429</v>
      </c>
      <c r="B6022" s="17" t="s">
        <v>18430</v>
      </c>
      <c r="C6022" s="17" t="s">
        <v>11</v>
      </c>
      <c r="D6022" s="17" t="s">
        <v>182</v>
      </c>
      <c r="E6022" s="17" t="s">
        <v>20</v>
      </c>
      <c r="F6022" s="16" t="s">
        <v>18431</v>
      </c>
    </row>
    <row r="6023" spans="1:6" x14ac:dyDescent="0.25">
      <c r="A6023" s="16" t="s">
        <v>18432</v>
      </c>
      <c r="B6023" s="17" t="s">
        <v>18433</v>
      </c>
      <c r="C6023" s="17" t="s">
        <v>11</v>
      </c>
      <c r="D6023" s="17" t="s">
        <v>83</v>
      </c>
      <c r="E6023" s="17" t="s">
        <v>20</v>
      </c>
      <c r="F6023" s="16" t="s">
        <v>18434</v>
      </c>
    </row>
    <row r="6024" spans="1:6" x14ac:dyDescent="0.25">
      <c r="A6024" s="16" t="s">
        <v>18435</v>
      </c>
      <c r="B6024" s="17" t="s">
        <v>18436</v>
      </c>
      <c r="C6024" s="17" t="s">
        <v>11</v>
      </c>
      <c r="D6024" s="17" t="s">
        <v>32</v>
      </c>
      <c r="E6024" s="17" t="s">
        <v>20</v>
      </c>
      <c r="F6024" s="16" t="s">
        <v>18437</v>
      </c>
    </row>
    <row r="6025" spans="1:6" x14ac:dyDescent="0.25">
      <c r="A6025" s="16" t="s">
        <v>18438</v>
      </c>
      <c r="B6025" s="17" t="s">
        <v>18439</v>
      </c>
      <c r="C6025" s="17" t="s">
        <v>11</v>
      </c>
      <c r="D6025" s="17" t="s">
        <v>12</v>
      </c>
      <c r="E6025" s="17" t="s">
        <v>13</v>
      </c>
      <c r="F6025" s="16" t="s">
        <v>18440</v>
      </c>
    </row>
    <row r="6026" spans="1:6" x14ac:dyDescent="0.25">
      <c r="A6026" s="16" t="s">
        <v>18441</v>
      </c>
      <c r="B6026" s="17" t="s">
        <v>18442</v>
      </c>
      <c r="C6026" s="17" t="s">
        <v>11</v>
      </c>
      <c r="D6026" s="17" t="s">
        <v>182</v>
      </c>
      <c r="E6026" s="17" t="s">
        <v>20</v>
      </c>
      <c r="F6026" s="16" t="s">
        <v>18443</v>
      </c>
    </row>
    <row r="6027" spans="1:6" x14ac:dyDescent="0.25">
      <c r="A6027" s="16" t="s">
        <v>18444</v>
      </c>
      <c r="B6027" s="17" t="s">
        <v>18445</v>
      </c>
      <c r="C6027" s="17" t="s">
        <v>11</v>
      </c>
      <c r="D6027" s="17" t="s">
        <v>32</v>
      </c>
      <c r="E6027" s="17" t="s">
        <v>20</v>
      </c>
      <c r="F6027" s="16" t="s">
        <v>18446</v>
      </c>
    </row>
    <row r="6028" spans="1:6" x14ac:dyDescent="0.25">
      <c r="A6028" s="16" t="s">
        <v>18447</v>
      </c>
      <c r="B6028" s="17" t="s">
        <v>18448</v>
      </c>
      <c r="C6028" s="17" t="s">
        <v>11</v>
      </c>
      <c r="D6028" s="17" t="s">
        <v>80</v>
      </c>
      <c r="E6028" s="17" t="s">
        <v>20</v>
      </c>
      <c r="F6028" s="16" t="s">
        <v>18449</v>
      </c>
    </row>
    <row r="6029" spans="1:6" x14ac:dyDescent="0.25">
      <c r="A6029" s="16" t="s">
        <v>18450</v>
      </c>
      <c r="B6029" s="17" t="s">
        <v>18451</v>
      </c>
      <c r="C6029" s="17" t="s">
        <v>11</v>
      </c>
      <c r="D6029" s="17" t="s">
        <v>32</v>
      </c>
      <c r="E6029" s="17" t="s">
        <v>20</v>
      </c>
      <c r="F6029" s="16" t="s">
        <v>18452</v>
      </c>
    </row>
    <row r="6030" spans="1:6" x14ac:dyDescent="0.25">
      <c r="A6030" s="16" t="s">
        <v>18453</v>
      </c>
      <c r="B6030" s="17" t="s">
        <v>18454</v>
      </c>
      <c r="C6030" s="17" t="s">
        <v>11</v>
      </c>
      <c r="D6030" s="17" t="s">
        <v>148</v>
      </c>
      <c r="E6030" s="17" t="s">
        <v>20</v>
      </c>
      <c r="F6030" s="16" t="s">
        <v>18455</v>
      </c>
    </row>
    <row r="6031" spans="1:6" x14ac:dyDescent="0.25">
      <c r="A6031" s="16" t="s">
        <v>18456</v>
      </c>
      <c r="B6031" s="17" t="s">
        <v>18457</v>
      </c>
      <c r="C6031" s="17" t="s">
        <v>11</v>
      </c>
      <c r="D6031" s="17" t="s">
        <v>250</v>
      </c>
      <c r="E6031" s="17" t="s">
        <v>20</v>
      </c>
      <c r="F6031" s="16" t="s">
        <v>18458</v>
      </c>
    </row>
    <row r="6032" spans="1:6" x14ac:dyDescent="0.25">
      <c r="A6032" s="16" t="s">
        <v>18459</v>
      </c>
      <c r="B6032" s="17" t="s">
        <v>18460</v>
      </c>
      <c r="C6032" s="17" t="s">
        <v>11</v>
      </c>
      <c r="D6032" s="17" t="s">
        <v>80</v>
      </c>
      <c r="E6032" s="17" t="s">
        <v>20</v>
      </c>
      <c r="F6032" s="16" t="s">
        <v>18461</v>
      </c>
    </row>
    <row r="6033" spans="1:6" x14ac:dyDescent="0.25">
      <c r="A6033" s="16" t="s">
        <v>18462</v>
      </c>
      <c r="B6033" s="17" t="s">
        <v>18463</v>
      </c>
      <c r="C6033" s="17" t="s">
        <v>11</v>
      </c>
      <c r="D6033" s="17" t="s">
        <v>80</v>
      </c>
      <c r="E6033" s="17" t="s">
        <v>20</v>
      </c>
      <c r="F6033" s="16" t="s">
        <v>18464</v>
      </c>
    </row>
    <row r="6034" spans="1:6" x14ac:dyDescent="0.25">
      <c r="A6034" s="16" t="s">
        <v>18465</v>
      </c>
      <c r="B6034" s="17" t="s">
        <v>18466</v>
      </c>
      <c r="C6034" s="17" t="s">
        <v>11</v>
      </c>
      <c r="D6034" s="17" t="s">
        <v>186</v>
      </c>
      <c r="E6034" s="17" t="s">
        <v>20</v>
      </c>
      <c r="F6034" s="16" t="s">
        <v>18467</v>
      </c>
    </row>
    <row r="6035" spans="1:6" x14ac:dyDescent="0.25">
      <c r="A6035" s="16" t="s">
        <v>18468</v>
      </c>
      <c r="B6035" s="17" t="s">
        <v>18469</v>
      </c>
      <c r="C6035" s="17" t="s">
        <v>11</v>
      </c>
      <c r="D6035" s="17" t="s">
        <v>12</v>
      </c>
      <c r="E6035" s="17" t="s">
        <v>13</v>
      </c>
      <c r="F6035" s="16" t="s">
        <v>18470</v>
      </c>
    </row>
    <row r="6036" spans="1:6" x14ac:dyDescent="0.25">
      <c r="A6036" s="16" t="s">
        <v>18471</v>
      </c>
      <c r="B6036" s="17" t="s">
        <v>18472</v>
      </c>
      <c r="C6036" s="17" t="s">
        <v>11</v>
      </c>
      <c r="D6036" s="17" t="s">
        <v>80</v>
      </c>
      <c r="E6036" s="17" t="s">
        <v>20</v>
      </c>
      <c r="F6036" s="16" t="s">
        <v>18473</v>
      </c>
    </row>
    <row r="6037" spans="1:6" x14ac:dyDescent="0.25">
      <c r="A6037" s="16" t="s">
        <v>18474</v>
      </c>
      <c r="B6037" s="17" t="s">
        <v>18475</v>
      </c>
      <c r="C6037" s="17" t="s">
        <v>11</v>
      </c>
      <c r="D6037" s="17" t="s">
        <v>12</v>
      </c>
      <c r="E6037" s="17" t="s">
        <v>13</v>
      </c>
      <c r="F6037" s="16" t="s">
        <v>18476</v>
      </c>
    </row>
    <row r="6038" spans="1:6" x14ac:dyDescent="0.25">
      <c r="A6038" s="16" t="s">
        <v>18477</v>
      </c>
      <c r="B6038" s="17" t="s">
        <v>18478</v>
      </c>
      <c r="C6038" s="17" t="s">
        <v>11</v>
      </c>
      <c r="D6038" s="17" t="s">
        <v>32</v>
      </c>
      <c r="E6038" s="17" t="s">
        <v>20</v>
      </c>
      <c r="F6038" s="16" t="s">
        <v>18479</v>
      </c>
    </row>
    <row r="6039" spans="1:6" x14ac:dyDescent="0.25">
      <c r="A6039" s="16" t="s">
        <v>18480</v>
      </c>
      <c r="B6039" s="17" t="s">
        <v>18481</v>
      </c>
      <c r="C6039" s="17" t="s">
        <v>11</v>
      </c>
      <c r="D6039" s="17" t="s">
        <v>12</v>
      </c>
      <c r="E6039" s="17" t="s">
        <v>13</v>
      </c>
      <c r="F6039" s="16" t="s">
        <v>18482</v>
      </c>
    </row>
    <row r="6040" spans="1:6" x14ac:dyDescent="0.25">
      <c r="A6040" s="16" t="s">
        <v>18483</v>
      </c>
      <c r="B6040" s="17" t="s">
        <v>18484</v>
      </c>
      <c r="C6040" s="17" t="s">
        <v>11</v>
      </c>
      <c r="D6040" s="17" t="s">
        <v>74</v>
      </c>
      <c r="E6040" s="17" t="s">
        <v>20</v>
      </c>
      <c r="F6040" s="16" t="s">
        <v>18485</v>
      </c>
    </row>
    <row r="6041" spans="1:6" x14ac:dyDescent="0.25">
      <c r="A6041" s="16" t="s">
        <v>18486</v>
      </c>
      <c r="B6041" s="17" t="s">
        <v>18487</v>
      </c>
      <c r="C6041" s="17" t="s">
        <v>11</v>
      </c>
      <c r="D6041" s="17" t="s">
        <v>26</v>
      </c>
      <c r="E6041" s="17" t="s">
        <v>20</v>
      </c>
      <c r="F6041" s="16" t="s">
        <v>18488</v>
      </c>
    </row>
    <row r="6042" spans="1:6" x14ac:dyDescent="0.25">
      <c r="A6042" s="16" t="s">
        <v>18489</v>
      </c>
      <c r="B6042" s="17" t="s">
        <v>18490</v>
      </c>
      <c r="C6042" s="17" t="s">
        <v>11</v>
      </c>
      <c r="D6042" s="17" t="s">
        <v>36</v>
      </c>
      <c r="E6042" s="17" t="s">
        <v>20</v>
      </c>
      <c r="F6042" s="16" t="s">
        <v>18491</v>
      </c>
    </row>
    <row r="6043" spans="1:6" x14ac:dyDescent="0.25">
      <c r="A6043" s="16" t="s">
        <v>18492</v>
      </c>
      <c r="B6043" s="17" t="s">
        <v>18493</v>
      </c>
      <c r="C6043" s="17" t="s">
        <v>11</v>
      </c>
      <c r="D6043" s="17" t="s">
        <v>250</v>
      </c>
      <c r="E6043" s="17" t="s">
        <v>20</v>
      </c>
      <c r="F6043" s="16" t="s">
        <v>18494</v>
      </c>
    </row>
    <row r="6044" spans="1:6" x14ac:dyDescent="0.25">
      <c r="A6044" s="16" t="s">
        <v>18495</v>
      </c>
      <c r="B6044" s="17" t="s">
        <v>18496</v>
      </c>
      <c r="C6044" s="17" t="s">
        <v>11</v>
      </c>
      <c r="D6044" s="17" t="s">
        <v>148</v>
      </c>
      <c r="E6044" s="17" t="s">
        <v>20</v>
      </c>
      <c r="F6044" s="16" t="s">
        <v>18497</v>
      </c>
    </row>
    <row r="6045" spans="1:6" x14ac:dyDescent="0.25">
      <c r="A6045" s="16" t="s">
        <v>18498</v>
      </c>
      <c r="B6045" s="17" t="s">
        <v>18499</v>
      </c>
      <c r="C6045" s="17" t="s">
        <v>11</v>
      </c>
      <c r="D6045" s="17" t="s">
        <v>182</v>
      </c>
      <c r="E6045" s="17" t="s">
        <v>20</v>
      </c>
      <c r="F6045" s="16" t="s">
        <v>18500</v>
      </c>
    </row>
    <row r="6046" spans="1:6" x14ac:dyDescent="0.25">
      <c r="A6046" s="16" t="s">
        <v>18501</v>
      </c>
      <c r="B6046" s="17" t="s">
        <v>18502</v>
      </c>
      <c r="C6046" s="17" t="s">
        <v>11</v>
      </c>
      <c r="D6046" s="17" t="s">
        <v>12</v>
      </c>
      <c r="E6046" s="17" t="s">
        <v>13</v>
      </c>
      <c r="F6046" s="16" t="s">
        <v>18503</v>
      </c>
    </row>
    <row r="6047" spans="1:6" x14ac:dyDescent="0.25">
      <c r="A6047" s="16" t="s">
        <v>18504</v>
      </c>
      <c r="B6047" s="17" t="s">
        <v>18505</v>
      </c>
      <c r="C6047" s="17" t="s">
        <v>11</v>
      </c>
      <c r="D6047" s="17" t="s">
        <v>12</v>
      </c>
      <c r="E6047" s="17" t="s">
        <v>13</v>
      </c>
      <c r="F6047" s="16" t="s">
        <v>18506</v>
      </c>
    </row>
    <row r="6048" spans="1:6" x14ac:dyDescent="0.25">
      <c r="A6048" s="16" t="s">
        <v>18507</v>
      </c>
      <c r="B6048" s="17" t="s">
        <v>18508</v>
      </c>
      <c r="C6048" s="17" t="s">
        <v>11</v>
      </c>
      <c r="D6048" s="17" t="s">
        <v>83</v>
      </c>
      <c r="E6048" s="17" t="s">
        <v>20</v>
      </c>
      <c r="F6048" s="16" t="s">
        <v>18509</v>
      </c>
    </row>
    <row r="6049" spans="1:6" x14ac:dyDescent="0.25">
      <c r="A6049" s="16" t="s">
        <v>18510</v>
      </c>
      <c r="B6049" s="17" t="s">
        <v>18511</v>
      </c>
      <c r="C6049" s="17" t="s">
        <v>11</v>
      </c>
      <c r="D6049" s="17" t="s">
        <v>12</v>
      </c>
      <c r="E6049" s="17" t="s">
        <v>13</v>
      </c>
      <c r="F6049" s="16" t="s">
        <v>18512</v>
      </c>
    </row>
    <row r="6050" spans="1:6" x14ac:dyDescent="0.25">
      <c r="A6050" s="16" t="s">
        <v>18513</v>
      </c>
      <c r="B6050" s="17" t="s">
        <v>18514</v>
      </c>
      <c r="C6050" s="17" t="s">
        <v>11</v>
      </c>
      <c r="D6050" s="17" t="s">
        <v>12</v>
      </c>
      <c r="E6050" s="17" t="s">
        <v>13</v>
      </c>
      <c r="F6050" s="16" t="s">
        <v>18515</v>
      </c>
    </row>
    <row r="6051" spans="1:6" x14ac:dyDescent="0.25">
      <c r="A6051" s="16" t="s">
        <v>18516</v>
      </c>
      <c r="B6051" s="17" t="s">
        <v>18517</v>
      </c>
      <c r="C6051" s="17" t="s">
        <v>11</v>
      </c>
      <c r="D6051" s="17" t="s">
        <v>12</v>
      </c>
      <c r="E6051" s="17" t="s">
        <v>13</v>
      </c>
      <c r="F6051" s="16" t="s">
        <v>18518</v>
      </c>
    </row>
    <row r="6052" spans="1:6" x14ac:dyDescent="0.25">
      <c r="A6052" s="16" t="s">
        <v>18519</v>
      </c>
      <c r="B6052" s="17" t="s">
        <v>18520</v>
      </c>
      <c r="C6052" s="17" t="s">
        <v>11</v>
      </c>
      <c r="D6052" s="17" t="s">
        <v>250</v>
      </c>
      <c r="E6052" s="17" t="s">
        <v>20</v>
      </c>
      <c r="F6052" s="16" t="s">
        <v>18521</v>
      </c>
    </row>
    <row r="6053" spans="1:6" x14ac:dyDescent="0.25">
      <c r="A6053" s="16" t="s">
        <v>18522</v>
      </c>
      <c r="B6053" s="17" t="s">
        <v>18523</v>
      </c>
      <c r="C6053" s="17" t="s">
        <v>11</v>
      </c>
      <c r="D6053" s="17" t="s">
        <v>12</v>
      </c>
      <c r="E6053" s="17" t="s">
        <v>13</v>
      </c>
      <c r="F6053" s="16" t="s">
        <v>18524</v>
      </c>
    </row>
    <row r="6054" spans="1:6" x14ac:dyDescent="0.25">
      <c r="A6054" s="16" t="s">
        <v>18525</v>
      </c>
      <c r="B6054" s="17" t="s">
        <v>18526</v>
      </c>
      <c r="C6054" s="17" t="s">
        <v>11</v>
      </c>
      <c r="D6054" s="17" t="s">
        <v>12</v>
      </c>
      <c r="E6054" s="17" t="s">
        <v>13</v>
      </c>
      <c r="F6054" s="16" t="s">
        <v>18527</v>
      </c>
    </row>
    <row r="6055" spans="1:6" x14ac:dyDescent="0.25">
      <c r="A6055" s="16" t="s">
        <v>18528</v>
      </c>
      <c r="B6055" s="17" t="s">
        <v>18529</v>
      </c>
      <c r="C6055" s="17" t="s">
        <v>11</v>
      </c>
      <c r="D6055" s="17" t="s">
        <v>148</v>
      </c>
      <c r="E6055" s="17" t="s">
        <v>20</v>
      </c>
      <c r="F6055" s="16" t="s">
        <v>18530</v>
      </c>
    </row>
    <row r="6056" spans="1:6" x14ac:dyDescent="0.25">
      <c r="A6056" s="16" t="s">
        <v>18531</v>
      </c>
      <c r="B6056" s="17" t="s">
        <v>18532</v>
      </c>
      <c r="C6056" s="17" t="s">
        <v>359</v>
      </c>
      <c r="D6056" s="17" t="s">
        <v>32</v>
      </c>
      <c r="E6056" s="17" t="s">
        <v>20</v>
      </c>
      <c r="F6056" s="16" t="s">
        <v>18533</v>
      </c>
    </row>
    <row r="6057" spans="1:6" x14ac:dyDescent="0.25">
      <c r="A6057" s="16" t="s">
        <v>18534</v>
      </c>
      <c r="B6057" s="17" t="s">
        <v>18535</v>
      </c>
      <c r="C6057" s="17" t="s">
        <v>11</v>
      </c>
      <c r="D6057" s="17" t="s">
        <v>74</v>
      </c>
      <c r="E6057" s="17" t="s">
        <v>20</v>
      </c>
      <c r="F6057" s="16" t="s">
        <v>18536</v>
      </c>
    </row>
    <row r="6058" spans="1:6" x14ac:dyDescent="0.25">
      <c r="A6058" s="16" t="s">
        <v>18537</v>
      </c>
      <c r="B6058" s="17" t="s">
        <v>18538</v>
      </c>
      <c r="C6058" s="17" t="s">
        <v>11</v>
      </c>
      <c r="D6058" s="17" t="s">
        <v>32</v>
      </c>
      <c r="E6058" s="17" t="s">
        <v>20</v>
      </c>
      <c r="F6058" s="16" t="s">
        <v>18539</v>
      </c>
    </row>
    <row r="6059" spans="1:6" x14ac:dyDescent="0.25">
      <c r="A6059" s="16" t="s">
        <v>18540</v>
      </c>
      <c r="B6059" s="17" t="s">
        <v>18541</v>
      </c>
      <c r="C6059" s="17" t="s">
        <v>11</v>
      </c>
      <c r="D6059" s="17" t="s">
        <v>74</v>
      </c>
      <c r="E6059" s="17" t="s">
        <v>20</v>
      </c>
      <c r="F6059" s="16" t="s">
        <v>18542</v>
      </c>
    </row>
    <row r="6060" spans="1:6" x14ac:dyDescent="0.25">
      <c r="A6060" s="16" t="s">
        <v>18543</v>
      </c>
      <c r="B6060" s="17" t="s">
        <v>18544</v>
      </c>
      <c r="C6060" s="17" t="s">
        <v>11</v>
      </c>
      <c r="D6060" s="17" t="s">
        <v>12</v>
      </c>
      <c r="E6060" s="17" t="s">
        <v>13</v>
      </c>
      <c r="F6060" s="16" t="s">
        <v>18545</v>
      </c>
    </row>
    <row r="6061" spans="1:6" x14ac:dyDescent="0.25">
      <c r="A6061" s="16" t="s">
        <v>18546</v>
      </c>
      <c r="B6061" s="17" t="s">
        <v>18547</v>
      </c>
      <c r="C6061" s="17" t="s">
        <v>11</v>
      </c>
      <c r="D6061" s="17" t="s">
        <v>250</v>
      </c>
      <c r="E6061" s="17" t="s">
        <v>20</v>
      </c>
      <c r="F6061" s="16" t="s">
        <v>18548</v>
      </c>
    </row>
    <row r="6062" spans="1:6" x14ac:dyDescent="0.25">
      <c r="A6062" s="16" t="s">
        <v>18549</v>
      </c>
      <c r="B6062" s="17" t="s">
        <v>18550</v>
      </c>
      <c r="C6062" s="17" t="s">
        <v>11</v>
      </c>
      <c r="D6062" s="17" t="s">
        <v>171</v>
      </c>
      <c r="E6062" s="17" t="s">
        <v>13</v>
      </c>
      <c r="F6062" s="16" t="s">
        <v>18551</v>
      </c>
    </row>
    <row r="6063" spans="1:6" x14ac:dyDescent="0.25">
      <c r="A6063" s="16" t="s">
        <v>18552</v>
      </c>
      <c r="B6063" s="17" t="s">
        <v>18553</v>
      </c>
      <c r="C6063" s="17" t="s">
        <v>11</v>
      </c>
      <c r="D6063" s="17" t="s">
        <v>32</v>
      </c>
      <c r="E6063" s="17" t="s">
        <v>20</v>
      </c>
      <c r="F6063" s="16" t="s">
        <v>18554</v>
      </c>
    </row>
    <row r="6064" spans="1:6" x14ac:dyDescent="0.25">
      <c r="A6064" s="16" t="s">
        <v>18555</v>
      </c>
      <c r="B6064" s="17" t="s">
        <v>18556</v>
      </c>
      <c r="C6064" s="17" t="s">
        <v>11</v>
      </c>
      <c r="D6064" s="17" t="s">
        <v>182</v>
      </c>
      <c r="E6064" s="17" t="s">
        <v>20</v>
      </c>
      <c r="F6064" s="16" t="s">
        <v>18557</v>
      </c>
    </row>
    <row r="6065" spans="1:6" x14ac:dyDescent="0.25">
      <c r="A6065" s="16" t="s">
        <v>18558</v>
      </c>
      <c r="B6065" s="17" t="s">
        <v>18559</v>
      </c>
      <c r="C6065" s="17" t="s">
        <v>11</v>
      </c>
      <c r="D6065" s="17" t="s">
        <v>148</v>
      </c>
      <c r="E6065" s="17" t="s">
        <v>20</v>
      </c>
      <c r="F6065" s="16" t="s">
        <v>18560</v>
      </c>
    </row>
    <row r="6066" spans="1:6" x14ac:dyDescent="0.25">
      <c r="A6066" s="16" t="s">
        <v>18561</v>
      </c>
      <c r="B6066" s="17" t="s">
        <v>18562</v>
      </c>
      <c r="C6066" s="17" t="s">
        <v>11</v>
      </c>
      <c r="D6066" s="17" t="s">
        <v>250</v>
      </c>
      <c r="E6066" s="17" t="s">
        <v>20</v>
      </c>
      <c r="F6066" s="16" t="s">
        <v>18563</v>
      </c>
    </row>
    <row r="6067" spans="1:6" x14ac:dyDescent="0.25">
      <c r="A6067" s="16" t="s">
        <v>18564</v>
      </c>
      <c r="B6067" s="17" t="s">
        <v>18565</v>
      </c>
      <c r="C6067" s="17" t="s">
        <v>11</v>
      </c>
      <c r="D6067" s="17" t="s">
        <v>74</v>
      </c>
      <c r="E6067" s="17" t="s">
        <v>20</v>
      </c>
      <c r="F6067" s="16" t="s">
        <v>18566</v>
      </c>
    </row>
    <row r="6068" spans="1:6" x14ac:dyDescent="0.25">
      <c r="A6068" s="16" t="s">
        <v>18567</v>
      </c>
      <c r="B6068" s="17" t="s">
        <v>18568</v>
      </c>
      <c r="C6068" s="17" t="s">
        <v>11</v>
      </c>
      <c r="D6068" s="17" t="s">
        <v>148</v>
      </c>
      <c r="E6068" s="17" t="s">
        <v>20</v>
      </c>
      <c r="F6068" s="16" t="s">
        <v>18569</v>
      </c>
    </row>
    <row r="6069" spans="1:6" x14ac:dyDescent="0.25">
      <c r="A6069" s="16" t="s">
        <v>18570</v>
      </c>
      <c r="B6069" s="17" t="s">
        <v>18571</v>
      </c>
      <c r="C6069" s="17" t="s">
        <v>11</v>
      </c>
      <c r="D6069" s="17" t="s">
        <v>32</v>
      </c>
      <c r="E6069" s="17" t="s">
        <v>20</v>
      </c>
      <c r="F6069" s="16" t="s">
        <v>18572</v>
      </c>
    </row>
    <row r="6070" spans="1:6" x14ac:dyDescent="0.25">
      <c r="A6070" s="16" t="s">
        <v>18573</v>
      </c>
      <c r="B6070" s="17" t="s">
        <v>18574</v>
      </c>
      <c r="C6070" s="17" t="s">
        <v>11</v>
      </c>
      <c r="D6070" s="17" t="s">
        <v>182</v>
      </c>
      <c r="E6070" s="17" t="s">
        <v>20</v>
      </c>
      <c r="F6070" s="16" t="s">
        <v>18575</v>
      </c>
    </row>
    <row r="6071" spans="1:6" x14ac:dyDescent="0.25">
      <c r="A6071" s="16" t="s">
        <v>18576</v>
      </c>
      <c r="B6071" s="17" t="s">
        <v>18577</v>
      </c>
      <c r="C6071" s="17" t="s">
        <v>11</v>
      </c>
      <c r="D6071" s="17" t="s">
        <v>80</v>
      </c>
      <c r="E6071" s="17" t="s">
        <v>20</v>
      </c>
      <c r="F6071" s="16" t="s">
        <v>18578</v>
      </c>
    </row>
    <row r="6072" spans="1:6" x14ac:dyDescent="0.25">
      <c r="A6072" s="16" t="s">
        <v>18579</v>
      </c>
      <c r="B6072" s="17" t="s">
        <v>18580</v>
      </c>
      <c r="C6072" s="17" t="s">
        <v>11</v>
      </c>
      <c r="D6072" s="17" t="s">
        <v>291</v>
      </c>
      <c r="E6072" s="17" t="s">
        <v>20</v>
      </c>
      <c r="F6072" s="16" t="s">
        <v>18581</v>
      </c>
    </row>
    <row r="6073" spans="1:6" x14ac:dyDescent="0.25">
      <c r="A6073" s="16" t="s">
        <v>18582</v>
      </c>
      <c r="B6073" s="17" t="s">
        <v>18583</v>
      </c>
      <c r="C6073" s="17" t="s">
        <v>11</v>
      </c>
      <c r="D6073" s="17" t="s">
        <v>80</v>
      </c>
      <c r="E6073" s="17" t="s">
        <v>20</v>
      </c>
      <c r="F6073" s="16" t="s">
        <v>18584</v>
      </c>
    </row>
    <row r="6074" spans="1:6" x14ac:dyDescent="0.25">
      <c r="A6074" s="16" t="s">
        <v>18585</v>
      </c>
      <c r="B6074" s="17" t="s">
        <v>18586</v>
      </c>
      <c r="C6074" s="17" t="s">
        <v>359</v>
      </c>
      <c r="D6074" s="17" t="s">
        <v>32</v>
      </c>
      <c r="E6074" s="17" t="s">
        <v>20</v>
      </c>
      <c r="F6074" s="16" t="s">
        <v>18587</v>
      </c>
    </row>
    <row r="6075" spans="1:6" x14ac:dyDescent="0.25">
      <c r="A6075" s="16" t="s">
        <v>18588</v>
      </c>
      <c r="B6075" s="17" t="s">
        <v>18589</v>
      </c>
      <c r="C6075" s="17" t="s">
        <v>11</v>
      </c>
      <c r="D6075" s="17" t="s">
        <v>12</v>
      </c>
      <c r="E6075" s="17" t="s">
        <v>13</v>
      </c>
      <c r="F6075" s="16" t="s">
        <v>18590</v>
      </c>
    </row>
    <row r="6076" spans="1:6" x14ac:dyDescent="0.25">
      <c r="A6076" s="16" t="s">
        <v>18591</v>
      </c>
      <c r="B6076" s="17" t="s">
        <v>18592</v>
      </c>
      <c r="C6076" s="17" t="s">
        <v>11</v>
      </c>
      <c r="D6076" s="17" t="s">
        <v>576</v>
      </c>
      <c r="E6076" s="17" t="s">
        <v>20</v>
      </c>
      <c r="F6076" s="16" t="s">
        <v>18593</v>
      </c>
    </row>
    <row r="6077" spans="1:6" x14ac:dyDescent="0.25">
      <c r="A6077" s="16" t="s">
        <v>18594</v>
      </c>
      <c r="B6077" s="17" t="s">
        <v>18595</v>
      </c>
      <c r="C6077" s="17" t="s">
        <v>11</v>
      </c>
      <c r="D6077" s="17" t="s">
        <v>26</v>
      </c>
      <c r="E6077" s="17" t="s">
        <v>20</v>
      </c>
      <c r="F6077" s="16" t="s">
        <v>18596</v>
      </c>
    </row>
    <row r="6078" spans="1:6" x14ac:dyDescent="0.25">
      <c r="A6078" s="16" t="s">
        <v>18597</v>
      </c>
      <c r="B6078" s="17" t="s">
        <v>18598</v>
      </c>
      <c r="C6078" s="17" t="s">
        <v>11</v>
      </c>
      <c r="D6078" s="17" t="s">
        <v>32</v>
      </c>
      <c r="E6078" s="17" t="s">
        <v>20</v>
      </c>
      <c r="F6078" s="16" t="s">
        <v>18599</v>
      </c>
    </row>
    <row r="6079" spans="1:6" x14ac:dyDescent="0.25">
      <c r="A6079" s="16" t="s">
        <v>18600</v>
      </c>
      <c r="B6079" s="17" t="s">
        <v>18601</v>
      </c>
      <c r="C6079" s="17" t="s">
        <v>11</v>
      </c>
      <c r="D6079" s="17" t="s">
        <v>250</v>
      </c>
      <c r="E6079" s="17" t="s">
        <v>20</v>
      </c>
      <c r="F6079" s="16" t="s">
        <v>18602</v>
      </c>
    </row>
    <row r="6080" spans="1:6" x14ac:dyDescent="0.25">
      <c r="A6080" s="16" t="s">
        <v>18603</v>
      </c>
      <c r="B6080" s="17" t="s">
        <v>18604</v>
      </c>
      <c r="C6080" s="17" t="s">
        <v>11</v>
      </c>
      <c r="D6080" s="17" t="s">
        <v>148</v>
      </c>
      <c r="E6080" s="17" t="s">
        <v>20</v>
      </c>
      <c r="F6080" s="16" t="s">
        <v>18605</v>
      </c>
    </row>
    <row r="6081" spans="1:6" x14ac:dyDescent="0.25">
      <c r="A6081" s="16" t="s">
        <v>18606</v>
      </c>
      <c r="B6081" s="17" t="s">
        <v>18607</v>
      </c>
      <c r="C6081" s="17" t="s">
        <v>1235</v>
      </c>
      <c r="D6081" s="17" t="s">
        <v>17028</v>
      </c>
      <c r="E6081" s="17" t="s">
        <v>1237</v>
      </c>
      <c r="F6081" s="16" t="s">
        <v>18608</v>
      </c>
    </row>
    <row r="6082" spans="1:6" x14ac:dyDescent="0.25">
      <c r="A6082" s="16" t="s">
        <v>18609</v>
      </c>
      <c r="B6082" s="17" t="s">
        <v>18610</v>
      </c>
      <c r="C6082" s="17" t="s">
        <v>11</v>
      </c>
      <c r="D6082" s="17" t="s">
        <v>32</v>
      </c>
      <c r="E6082" s="17" t="s">
        <v>20</v>
      </c>
      <c r="F6082" s="16" t="s">
        <v>18611</v>
      </c>
    </row>
    <row r="6083" spans="1:6" x14ac:dyDescent="0.25">
      <c r="A6083" s="16" t="s">
        <v>18612</v>
      </c>
      <c r="B6083" s="17" t="s">
        <v>18613</v>
      </c>
      <c r="C6083" s="17" t="s">
        <v>11</v>
      </c>
      <c r="D6083" s="17" t="s">
        <v>250</v>
      </c>
      <c r="E6083" s="17" t="s">
        <v>20</v>
      </c>
      <c r="F6083" s="16" t="s">
        <v>18614</v>
      </c>
    </row>
    <row r="6084" spans="1:6" x14ac:dyDescent="0.25">
      <c r="A6084" s="16" t="s">
        <v>18615</v>
      </c>
      <c r="B6084" s="17" t="s">
        <v>18616</v>
      </c>
      <c r="C6084" s="17" t="s">
        <v>11</v>
      </c>
      <c r="D6084" s="17" t="s">
        <v>12</v>
      </c>
      <c r="E6084" s="17" t="s">
        <v>13</v>
      </c>
      <c r="F6084" s="16" t="s">
        <v>18617</v>
      </c>
    </row>
    <row r="6085" spans="1:6" x14ac:dyDescent="0.25">
      <c r="A6085" s="16" t="s">
        <v>18618</v>
      </c>
      <c r="B6085" s="17" t="s">
        <v>18619</v>
      </c>
      <c r="C6085" s="17" t="s">
        <v>11</v>
      </c>
      <c r="D6085" s="17" t="s">
        <v>26</v>
      </c>
      <c r="E6085" s="17" t="s">
        <v>20</v>
      </c>
      <c r="F6085" s="16" t="s">
        <v>18620</v>
      </c>
    </row>
    <row r="6086" spans="1:6" x14ac:dyDescent="0.25">
      <c r="A6086" s="16" t="s">
        <v>18621</v>
      </c>
      <c r="B6086" s="17" t="s">
        <v>18622</v>
      </c>
      <c r="C6086" s="17" t="s">
        <v>11</v>
      </c>
      <c r="D6086" s="17" t="s">
        <v>148</v>
      </c>
      <c r="E6086" s="17" t="s">
        <v>20</v>
      </c>
      <c r="F6086" s="16" t="s">
        <v>18623</v>
      </c>
    </row>
    <row r="6087" spans="1:6" x14ac:dyDescent="0.25">
      <c r="A6087" s="16" t="s">
        <v>18624</v>
      </c>
      <c r="B6087" s="17" t="s">
        <v>18625</v>
      </c>
      <c r="C6087" s="17" t="s">
        <v>11</v>
      </c>
      <c r="D6087" s="17" t="s">
        <v>32</v>
      </c>
      <c r="E6087" s="17" t="s">
        <v>20</v>
      </c>
      <c r="F6087" s="16" t="s">
        <v>18626</v>
      </c>
    </row>
    <row r="6088" spans="1:6" x14ac:dyDescent="0.25">
      <c r="A6088" s="16" t="s">
        <v>18627</v>
      </c>
      <c r="B6088" s="17" t="s">
        <v>18628</v>
      </c>
      <c r="C6088" s="17" t="s">
        <v>11</v>
      </c>
      <c r="D6088" s="17" t="s">
        <v>250</v>
      </c>
      <c r="E6088" s="17" t="s">
        <v>20</v>
      </c>
      <c r="F6088" s="16" t="s">
        <v>18629</v>
      </c>
    </row>
    <row r="6089" spans="1:6" x14ac:dyDescent="0.25">
      <c r="A6089" s="16" t="s">
        <v>18630</v>
      </c>
      <c r="B6089" s="17" t="s">
        <v>18631</v>
      </c>
      <c r="C6089" s="17" t="s">
        <v>11</v>
      </c>
      <c r="D6089" s="17" t="s">
        <v>32</v>
      </c>
      <c r="E6089" s="17" t="s">
        <v>20</v>
      </c>
      <c r="F6089" s="16" t="s">
        <v>18632</v>
      </c>
    </row>
    <row r="6090" spans="1:6" x14ac:dyDescent="0.25">
      <c r="A6090" s="16" t="s">
        <v>18633</v>
      </c>
      <c r="B6090" s="17" t="s">
        <v>18634</v>
      </c>
      <c r="C6090" s="17" t="s">
        <v>11</v>
      </c>
      <c r="D6090" s="17" t="s">
        <v>80</v>
      </c>
      <c r="E6090" s="17" t="s">
        <v>20</v>
      </c>
      <c r="F6090" s="16" t="s">
        <v>18635</v>
      </c>
    </row>
    <row r="6091" spans="1:6" x14ac:dyDescent="0.25">
      <c r="A6091" s="16" t="s">
        <v>18636</v>
      </c>
      <c r="B6091" s="17" t="s">
        <v>18637</v>
      </c>
      <c r="C6091" s="17" t="s">
        <v>11</v>
      </c>
      <c r="D6091" s="17" t="s">
        <v>68</v>
      </c>
      <c r="E6091" s="17" t="s">
        <v>20</v>
      </c>
      <c r="F6091" s="16" t="s">
        <v>18638</v>
      </c>
    </row>
    <row r="6092" spans="1:6" x14ac:dyDescent="0.25">
      <c r="A6092" s="16" t="s">
        <v>18639</v>
      </c>
      <c r="B6092" s="17" t="s">
        <v>18640</v>
      </c>
      <c r="C6092" s="17" t="s">
        <v>11</v>
      </c>
      <c r="D6092" s="17" t="s">
        <v>250</v>
      </c>
      <c r="E6092" s="17" t="s">
        <v>20</v>
      </c>
      <c r="F6092" s="16" t="s">
        <v>18641</v>
      </c>
    </row>
    <row r="6093" spans="1:6" x14ac:dyDescent="0.25">
      <c r="A6093" s="16" t="s">
        <v>18642</v>
      </c>
      <c r="B6093" s="17" t="s">
        <v>18643</v>
      </c>
      <c r="C6093" s="17" t="s">
        <v>11</v>
      </c>
      <c r="D6093" s="17" t="s">
        <v>74</v>
      </c>
      <c r="E6093" s="17" t="s">
        <v>20</v>
      </c>
      <c r="F6093" s="16" t="s">
        <v>18644</v>
      </c>
    </row>
    <row r="6094" spans="1:6" x14ac:dyDescent="0.25">
      <c r="A6094" s="16" t="s">
        <v>18645</v>
      </c>
      <c r="B6094" s="17" t="s">
        <v>18646</v>
      </c>
      <c r="C6094" s="17" t="s">
        <v>11</v>
      </c>
      <c r="D6094" s="17" t="s">
        <v>182</v>
      </c>
      <c r="E6094" s="17" t="s">
        <v>20</v>
      </c>
      <c r="F6094" s="16" t="s">
        <v>18647</v>
      </c>
    </row>
    <row r="6095" spans="1:6" x14ac:dyDescent="0.25">
      <c r="A6095" s="16" t="s">
        <v>18648</v>
      </c>
      <c r="B6095" s="17" t="s">
        <v>18649</v>
      </c>
      <c r="C6095" s="17" t="s">
        <v>11</v>
      </c>
      <c r="D6095" s="17" t="s">
        <v>89</v>
      </c>
      <c r="E6095" s="17" t="s">
        <v>20</v>
      </c>
      <c r="F6095" s="16" t="s">
        <v>18650</v>
      </c>
    </row>
    <row r="6096" spans="1:6" x14ac:dyDescent="0.25">
      <c r="A6096" s="16" t="s">
        <v>18651</v>
      </c>
      <c r="B6096" s="17" t="s">
        <v>18652</v>
      </c>
      <c r="C6096" s="17" t="s">
        <v>11</v>
      </c>
      <c r="D6096" s="17" t="s">
        <v>32</v>
      </c>
      <c r="E6096" s="17" t="s">
        <v>20</v>
      </c>
      <c r="F6096" s="16" t="s">
        <v>18653</v>
      </c>
    </row>
    <row r="6097" spans="1:6" x14ac:dyDescent="0.25">
      <c r="A6097" s="16" t="s">
        <v>18654</v>
      </c>
      <c r="B6097" s="17" t="s">
        <v>18655</v>
      </c>
      <c r="C6097" s="17" t="s">
        <v>11</v>
      </c>
      <c r="D6097" s="17" t="s">
        <v>32</v>
      </c>
      <c r="E6097" s="17" t="s">
        <v>20</v>
      </c>
      <c r="F6097" s="16" t="s">
        <v>18656</v>
      </c>
    </row>
    <row r="6098" spans="1:6" x14ac:dyDescent="0.25">
      <c r="A6098" s="16" t="s">
        <v>18657</v>
      </c>
      <c r="B6098" s="17" t="s">
        <v>18658</v>
      </c>
      <c r="C6098" s="17" t="s">
        <v>1235</v>
      </c>
      <c r="D6098" s="17" t="s">
        <v>6804</v>
      </c>
      <c r="E6098" s="17" t="s">
        <v>1237</v>
      </c>
      <c r="F6098" s="16" t="s">
        <v>18659</v>
      </c>
    </row>
    <row r="6099" spans="1:6" x14ac:dyDescent="0.25">
      <c r="A6099" s="16" t="s">
        <v>18660</v>
      </c>
      <c r="B6099" s="17" t="s">
        <v>18661</v>
      </c>
      <c r="C6099" s="17" t="s">
        <v>11</v>
      </c>
      <c r="D6099" s="17" t="s">
        <v>649</v>
      </c>
      <c r="E6099" s="17" t="s">
        <v>20</v>
      </c>
      <c r="F6099" s="16" t="s">
        <v>18662</v>
      </c>
    </row>
    <row r="6100" spans="1:6" x14ac:dyDescent="0.25">
      <c r="A6100" s="16" t="s">
        <v>18663</v>
      </c>
      <c r="B6100" s="17" t="s">
        <v>18664</v>
      </c>
      <c r="C6100" s="17" t="s">
        <v>11</v>
      </c>
      <c r="D6100" s="17" t="s">
        <v>1318</v>
      </c>
      <c r="E6100" s="17" t="s">
        <v>20</v>
      </c>
      <c r="F6100" s="16" t="s">
        <v>18665</v>
      </c>
    </row>
    <row r="6101" spans="1:6" x14ac:dyDescent="0.25">
      <c r="A6101" s="16" t="s">
        <v>18666</v>
      </c>
      <c r="B6101" s="17" t="s">
        <v>18667</v>
      </c>
      <c r="C6101" s="17" t="s">
        <v>11</v>
      </c>
      <c r="D6101" s="17" t="s">
        <v>148</v>
      </c>
      <c r="E6101" s="17" t="s">
        <v>20</v>
      </c>
      <c r="F6101" s="16" t="s">
        <v>18668</v>
      </c>
    </row>
    <row r="6102" spans="1:6" x14ac:dyDescent="0.25">
      <c r="A6102" s="16" t="s">
        <v>18669</v>
      </c>
      <c r="B6102" s="17" t="s">
        <v>18670</v>
      </c>
      <c r="C6102" s="17" t="s">
        <v>11</v>
      </c>
      <c r="D6102" s="17" t="s">
        <v>182</v>
      </c>
      <c r="E6102" s="17" t="s">
        <v>20</v>
      </c>
      <c r="F6102" s="16" t="s">
        <v>18671</v>
      </c>
    </row>
    <row r="6103" spans="1:6" x14ac:dyDescent="0.25">
      <c r="A6103" s="16" t="s">
        <v>18672</v>
      </c>
      <c r="B6103" s="17" t="s">
        <v>18673</v>
      </c>
      <c r="C6103" s="17" t="s">
        <v>11</v>
      </c>
      <c r="D6103" s="17" t="s">
        <v>80</v>
      </c>
      <c r="E6103" s="17" t="s">
        <v>20</v>
      </c>
      <c r="F6103" s="16" t="s">
        <v>18674</v>
      </c>
    </row>
    <row r="6104" spans="1:6" x14ac:dyDescent="0.25">
      <c r="A6104" s="16" t="s">
        <v>18675</v>
      </c>
      <c r="B6104" s="17" t="s">
        <v>18676</v>
      </c>
      <c r="C6104" s="17" t="s">
        <v>11</v>
      </c>
      <c r="D6104" s="17" t="s">
        <v>291</v>
      </c>
      <c r="E6104" s="17" t="s">
        <v>20</v>
      </c>
      <c r="F6104" s="16" t="s">
        <v>18677</v>
      </c>
    </row>
    <row r="6105" spans="1:6" x14ac:dyDescent="0.25">
      <c r="A6105" s="16" t="s">
        <v>18678</v>
      </c>
      <c r="B6105" s="17" t="s">
        <v>18679</v>
      </c>
      <c r="C6105" s="17" t="s">
        <v>11</v>
      </c>
      <c r="D6105" s="17" t="s">
        <v>32</v>
      </c>
      <c r="E6105" s="17" t="s">
        <v>20</v>
      </c>
      <c r="F6105" s="16" t="s">
        <v>18680</v>
      </c>
    </row>
    <row r="6106" spans="1:6" x14ac:dyDescent="0.25">
      <c r="A6106" s="16" t="s">
        <v>18681</v>
      </c>
      <c r="B6106" s="17" t="s">
        <v>18682</v>
      </c>
      <c r="C6106" s="17" t="s">
        <v>11</v>
      </c>
      <c r="D6106" s="17" t="s">
        <v>32</v>
      </c>
      <c r="E6106" s="17" t="s">
        <v>20</v>
      </c>
      <c r="F6106" s="16" t="s">
        <v>18683</v>
      </c>
    </row>
    <row r="6107" spans="1:6" x14ac:dyDescent="0.25">
      <c r="A6107" s="16" t="s">
        <v>18684</v>
      </c>
      <c r="B6107" s="17" t="s">
        <v>18685</v>
      </c>
      <c r="C6107" s="17" t="s">
        <v>11</v>
      </c>
      <c r="D6107" s="17" t="s">
        <v>233</v>
      </c>
      <c r="E6107" s="17" t="s">
        <v>20</v>
      </c>
      <c r="F6107" s="16" t="s">
        <v>18686</v>
      </c>
    </row>
    <row r="6108" spans="1:6" x14ac:dyDescent="0.25">
      <c r="A6108" s="16" t="s">
        <v>18687</v>
      </c>
      <c r="B6108" s="17" t="s">
        <v>18688</v>
      </c>
      <c r="C6108" s="17" t="s">
        <v>11</v>
      </c>
      <c r="D6108" s="17" t="s">
        <v>182</v>
      </c>
      <c r="E6108" s="17" t="s">
        <v>20</v>
      </c>
      <c r="F6108" s="16" t="s">
        <v>18689</v>
      </c>
    </row>
    <row r="6109" spans="1:6" x14ac:dyDescent="0.25">
      <c r="A6109" s="16" t="s">
        <v>18690</v>
      </c>
      <c r="B6109" s="17" t="s">
        <v>18691</v>
      </c>
      <c r="C6109" s="17" t="s">
        <v>11</v>
      </c>
      <c r="D6109" s="17" t="s">
        <v>26</v>
      </c>
      <c r="E6109" s="17" t="s">
        <v>20</v>
      </c>
      <c r="F6109" s="16" t="s">
        <v>18692</v>
      </c>
    </row>
    <row r="6110" spans="1:6" x14ac:dyDescent="0.25">
      <c r="A6110" s="16" t="s">
        <v>18693</v>
      </c>
      <c r="B6110" s="17" t="s">
        <v>18694</v>
      </c>
      <c r="C6110" s="17" t="s">
        <v>11</v>
      </c>
      <c r="D6110" s="17" t="s">
        <v>32</v>
      </c>
      <c r="E6110" s="17" t="s">
        <v>20</v>
      </c>
      <c r="F6110" s="16" t="s">
        <v>18695</v>
      </c>
    </row>
    <row r="6111" spans="1:6" x14ac:dyDescent="0.25">
      <c r="A6111" s="16" t="s">
        <v>18696</v>
      </c>
      <c r="B6111" s="17" t="s">
        <v>18697</v>
      </c>
      <c r="C6111" s="17" t="s">
        <v>11</v>
      </c>
      <c r="D6111" s="17" t="s">
        <v>36</v>
      </c>
      <c r="E6111" s="17" t="s">
        <v>20</v>
      </c>
      <c r="F6111" s="16" t="s">
        <v>18698</v>
      </c>
    </row>
    <row r="6112" spans="1:6" x14ac:dyDescent="0.25">
      <c r="A6112" s="16" t="s">
        <v>18699</v>
      </c>
      <c r="B6112" s="17" t="s">
        <v>18700</v>
      </c>
      <c r="C6112" s="17" t="s">
        <v>1235</v>
      </c>
      <c r="D6112" s="17" t="s">
        <v>4374</v>
      </c>
      <c r="E6112" s="17" t="s">
        <v>1237</v>
      </c>
      <c r="F6112" s="16" t="s">
        <v>18701</v>
      </c>
    </row>
    <row r="6113" spans="1:6" x14ac:dyDescent="0.25">
      <c r="A6113" s="16" t="s">
        <v>18702</v>
      </c>
      <c r="B6113" s="17" t="s">
        <v>18703</v>
      </c>
      <c r="C6113" s="17" t="s">
        <v>11</v>
      </c>
      <c r="D6113" s="17" t="s">
        <v>32</v>
      </c>
      <c r="E6113" s="17" t="s">
        <v>20</v>
      </c>
      <c r="F6113" s="16" t="s">
        <v>18704</v>
      </c>
    </row>
    <row r="6114" spans="1:6" x14ac:dyDescent="0.25">
      <c r="A6114" s="16" t="s">
        <v>18705</v>
      </c>
      <c r="B6114" s="17" t="s">
        <v>18706</v>
      </c>
      <c r="C6114" s="17" t="s">
        <v>11</v>
      </c>
      <c r="D6114" s="17" t="s">
        <v>80</v>
      </c>
      <c r="E6114" s="17" t="s">
        <v>20</v>
      </c>
      <c r="F6114" s="16" t="s">
        <v>18707</v>
      </c>
    </row>
    <row r="6115" spans="1:6" x14ac:dyDescent="0.25">
      <c r="A6115" s="16" t="s">
        <v>18708</v>
      </c>
      <c r="B6115" s="17" t="s">
        <v>18709</v>
      </c>
      <c r="C6115" s="17" t="s">
        <v>11</v>
      </c>
      <c r="D6115" s="17" t="s">
        <v>26</v>
      </c>
      <c r="E6115" s="17" t="s">
        <v>20</v>
      </c>
      <c r="F6115" s="16" t="s">
        <v>18710</v>
      </c>
    </row>
    <row r="6116" spans="1:6" x14ac:dyDescent="0.25">
      <c r="A6116" s="16" t="s">
        <v>18711</v>
      </c>
      <c r="B6116" s="17" t="s">
        <v>18712</v>
      </c>
      <c r="C6116" s="17" t="s">
        <v>11</v>
      </c>
      <c r="D6116" s="17" t="s">
        <v>3346</v>
      </c>
      <c r="E6116" s="17" t="s">
        <v>20</v>
      </c>
      <c r="F6116" s="16" t="s">
        <v>18713</v>
      </c>
    </row>
    <row r="6117" spans="1:6" x14ac:dyDescent="0.25">
      <c r="A6117" s="16" t="s">
        <v>18714</v>
      </c>
      <c r="B6117" s="17" t="s">
        <v>18715</v>
      </c>
      <c r="C6117" s="17" t="s">
        <v>11</v>
      </c>
      <c r="D6117" s="17" t="s">
        <v>74</v>
      </c>
      <c r="E6117" s="17" t="s">
        <v>20</v>
      </c>
      <c r="F6117" s="16" t="s">
        <v>18716</v>
      </c>
    </row>
    <row r="6118" spans="1:6" x14ac:dyDescent="0.25">
      <c r="A6118" s="16" t="s">
        <v>18717</v>
      </c>
      <c r="B6118" s="17" t="s">
        <v>18718</v>
      </c>
      <c r="C6118" s="17" t="s">
        <v>11</v>
      </c>
      <c r="D6118" s="17" t="s">
        <v>182</v>
      </c>
      <c r="E6118" s="17" t="s">
        <v>20</v>
      </c>
      <c r="F6118" s="16" t="s">
        <v>18719</v>
      </c>
    </row>
    <row r="6119" spans="1:6" x14ac:dyDescent="0.25">
      <c r="A6119" s="16" t="s">
        <v>18720</v>
      </c>
      <c r="B6119" s="17" t="s">
        <v>18721</v>
      </c>
      <c r="C6119" s="17" t="s">
        <v>11</v>
      </c>
      <c r="D6119" s="17" t="s">
        <v>26</v>
      </c>
      <c r="E6119" s="17" t="s">
        <v>20</v>
      </c>
      <c r="F6119" s="16" t="s">
        <v>18722</v>
      </c>
    </row>
    <row r="6120" spans="1:6" x14ac:dyDescent="0.25">
      <c r="A6120" s="16" t="s">
        <v>18723</v>
      </c>
      <c r="B6120" s="17" t="s">
        <v>18724</v>
      </c>
      <c r="C6120" s="17" t="s">
        <v>11</v>
      </c>
      <c r="D6120" s="17" t="s">
        <v>26</v>
      </c>
      <c r="E6120" s="17" t="s">
        <v>20</v>
      </c>
      <c r="F6120" s="16" t="s">
        <v>18725</v>
      </c>
    </row>
    <row r="6121" spans="1:6" x14ac:dyDescent="0.25">
      <c r="A6121" s="16" t="s">
        <v>18726</v>
      </c>
      <c r="B6121" s="17" t="s">
        <v>18727</v>
      </c>
      <c r="C6121" s="17" t="s">
        <v>11</v>
      </c>
      <c r="D6121" s="17" t="s">
        <v>32</v>
      </c>
      <c r="E6121" s="17" t="s">
        <v>20</v>
      </c>
      <c r="F6121" s="16" t="s">
        <v>18728</v>
      </c>
    </row>
    <row r="6122" spans="1:6" x14ac:dyDescent="0.25">
      <c r="A6122" s="16" t="s">
        <v>18729</v>
      </c>
      <c r="B6122" s="17" t="s">
        <v>18730</v>
      </c>
      <c r="C6122" s="17" t="s">
        <v>11</v>
      </c>
      <c r="D6122" s="17" t="s">
        <v>32</v>
      </c>
      <c r="E6122" s="17" t="s">
        <v>20</v>
      </c>
      <c r="F6122" s="16" t="s">
        <v>18731</v>
      </c>
    </row>
    <row r="6123" spans="1:6" x14ac:dyDescent="0.25">
      <c r="A6123" s="16" t="s">
        <v>18732</v>
      </c>
      <c r="B6123" s="17" t="s">
        <v>18733</v>
      </c>
      <c r="C6123" s="17" t="s">
        <v>11</v>
      </c>
      <c r="D6123" s="17" t="s">
        <v>12</v>
      </c>
      <c r="E6123" s="17" t="s">
        <v>13</v>
      </c>
      <c r="F6123" s="16" t="s">
        <v>18734</v>
      </c>
    </row>
    <row r="6124" spans="1:6" x14ac:dyDescent="0.25">
      <c r="A6124" s="16" t="s">
        <v>18735</v>
      </c>
      <c r="B6124" s="17" t="s">
        <v>18736</v>
      </c>
      <c r="C6124" s="17" t="s">
        <v>11</v>
      </c>
      <c r="D6124" s="17" t="s">
        <v>182</v>
      </c>
      <c r="E6124" s="17" t="s">
        <v>20</v>
      </c>
      <c r="F6124" s="16" t="s">
        <v>18737</v>
      </c>
    </row>
    <row r="6125" spans="1:6" x14ac:dyDescent="0.25">
      <c r="A6125" s="16" t="s">
        <v>18738</v>
      </c>
      <c r="B6125" s="17" t="s">
        <v>18739</v>
      </c>
      <c r="C6125" s="17" t="s">
        <v>11</v>
      </c>
      <c r="D6125" s="17" t="s">
        <v>80</v>
      </c>
      <c r="E6125" s="17" t="s">
        <v>20</v>
      </c>
      <c r="F6125" s="16" t="s">
        <v>18740</v>
      </c>
    </row>
    <row r="6126" spans="1:6" x14ac:dyDescent="0.25">
      <c r="A6126" s="16" t="s">
        <v>18741</v>
      </c>
      <c r="B6126" s="17" t="s">
        <v>18742</v>
      </c>
      <c r="C6126" s="17" t="s">
        <v>11</v>
      </c>
      <c r="D6126" s="17" t="s">
        <v>32</v>
      </c>
      <c r="E6126" s="17" t="s">
        <v>20</v>
      </c>
      <c r="F6126" s="16" t="s">
        <v>18743</v>
      </c>
    </row>
    <row r="6127" spans="1:6" x14ac:dyDescent="0.25">
      <c r="A6127" s="16" t="s">
        <v>18744</v>
      </c>
      <c r="B6127" s="17" t="s">
        <v>18745</v>
      </c>
      <c r="C6127" s="17" t="s">
        <v>11</v>
      </c>
      <c r="D6127" s="17" t="s">
        <v>12</v>
      </c>
      <c r="E6127" s="17" t="s">
        <v>13</v>
      </c>
      <c r="F6127" s="16" t="s">
        <v>18746</v>
      </c>
    </row>
    <row r="6128" spans="1:6" x14ac:dyDescent="0.25">
      <c r="A6128" s="16" t="s">
        <v>18747</v>
      </c>
      <c r="B6128" s="17" t="s">
        <v>18748</v>
      </c>
      <c r="C6128" s="17" t="s">
        <v>11</v>
      </c>
      <c r="D6128" s="17" t="s">
        <v>68</v>
      </c>
      <c r="E6128" s="17" t="s">
        <v>20</v>
      </c>
      <c r="F6128" s="16" t="s">
        <v>18749</v>
      </c>
    </row>
    <row r="6129" spans="1:6" x14ac:dyDescent="0.25">
      <c r="A6129" s="16" t="s">
        <v>18750</v>
      </c>
      <c r="B6129" s="17" t="s">
        <v>18751</v>
      </c>
      <c r="C6129" s="17" t="s">
        <v>11</v>
      </c>
      <c r="D6129" s="17" t="s">
        <v>291</v>
      </c>
      <c r="E6129" s="17" t="s">
        <v>20</v>
      </c>
      <c r="F6129" s="16" t="s">
        <v>18752</v>
      </c>
    </row>
    <row r="6130" spans="1:6" x14ac:dyDescent="0.25">
      <c r="A6130" s="16" t="s">
        <v>18753</v>
      </c>
      <c r="B6130" s="17" t="s">
        <v>18754</v>
      </c>
      <c r="C6130" s="17" t="s">
        <v>11</v>
      </c>
      <c r="D6130" s="17" t="s">
        <v>80</v>
      </c>
      <c r="E6130" s="17" t="s">
        <v>20</v>
      </c>
      <c r="F6130" s="16" t="s">
        <v>18755</v>
      </c>
    </row>
    <row r="6131" spans="1:6" x14ac:dyDescent="0.25">
      <c r="A6131" s="16" t="s">
        <v>18756</v>
      </c>
      <c r="B6131" s="17" t="s">
        <v>18757</v>
      </c>
      <c r="C6131" s="17" t="s">
        <v>11</v>
      </c>
      <c r="D6131" s="17" t="s">
        <v>32</v>
      </c>
      <c r="E6131" s="17" t="s">
        <v>20</v>
      </c>
      <c r="F6131" s="16" t="s">
        <v>18758</v>
      </c>
    </row>
    <row r="6132" spans="1:6" x14ac:dyDescent="0.25">
      <c r="A6132" s="16" t="s">
        <v>18759</v>
      </c>
      <c r="B6132" s="17" t="s">
        <v>18760</v>
      </c>
      <c r="C6132" s="17" t="s">
        <v>11</v>
      </c>
      <c r="D6132" s="17" t="s">
        <v>32</v>
      </c>
      <c r="E6132" s="17" t="s">
        <v>20</v>
      </c>
      <c r="F6132" s="16" t="s">
        <v>18761</v>
      </c>
    </row>
    <row r="6133" spans="1:6" x14ac:dyDescent="0.25">
      <c r="A6133" s="16" t="s">
        <v>18762</v>
      </c>
      <c r="B6133" s="17" t="s">
        <v>18763</v>
      </c>
      <c r="C6133" s="17" t="s">
        <v>11</v>
      </c>
      <c r="D6133" s="17" t="s">
        <v>32</v>
      </c>
      <c r="E6133" s="17" t="s">
        <v>20</v>
      </c>
      <c r="F6133" s="16" t="s">
        <v>18764</v>
      </c>
    </row>
    <row r="6134" spans="1:6" x14ac:dyDescent="0.25">
      <c r="A6134" s="16" t="s">
        <v>18765</v>
      </c>
      <c r="B6134" s="17" t="s">
        <v>18766</v>
      </c>
      <c r="C6134" s="17" t="s">
        <v>11</v>
      </c>
      <c r="D6134" s="17" t="s">
        <v>250</v>
      </c>
      <c r="E6134" s="17" t="s">
        <v>20</v>
      </c>
      <c r="F6134" s="16" t="s">
        <v>18767</v>
      </c>
    </row>
    <row r="6135" spans="1:6" x14ac:dyDescent="0.25">
      <c r="A6135" s="16" t="s">
        <v>18768</v>
      </c>
      <c r="B6135" s="17" t="s">
        <v>18769</v>
      </c>
      <c r="C6135" s="17" t="s">
        <v>11</v>
      </c>
      <c r="D6135" s="17" t="s">
        <v>68</v>
      </c>
      <c r="E6135" s="17" t="s">
        <v>20</v>
      </c>
      <c r="F6135" s="16" t="s">
        <v>18770</v>
      </c>
    </row>
    <row r="6136" spans="1:6" x14ac:dyDescent="0.25">
      <c r="A6136" s="16" t="s">
        <v>18771</v>
      </c>
      <c r="B6136" s="17" t="s">
        <v>18772</v>
      </c>
      <c r="C6136" s="17" t="s">
        <v>11</v>
      </c>
      <c r="D6136" s="17" t="s">
        <v>83</v>
      </c>
      <c r="E6136" s="17" t="s">
        <v>20</v>
      </c>
      <c r="F6136" s="16" t="s">
        <v>18773</v>
      </c>
    </row>
    <row r="6137" spans="1:6" x14ac:dyDescent="0.25">
      <c r="A6137" s="16" t="s">
        <v>18774</v>
      </c>
      <c r="B6137" s="17" t="s">
        <v>18775</v>
      </c>
      <c r="C6137" s="17" t="s">
        <v>11</v>
      </c>
      <c r="D6137" s="17" t="s">
        <v>250</v>
      </c>
      <c r="E6137" s="17" t="s">
        <v>20</v>
      </c>
      <c r="F6137" s="16" t="s">
        <v>18776</v>
      </c>
    </row>
    <row r="6138" spans="1:6" x14ac:dyDescent="0.25">
      <c r="A6138" s="16" t="s">
        <v>18777</v>
      </c>
      <c r="B6138" s="17" t="s">
        <v>18778</v>
      </c>
      <c r="C6138" s="17" t="s">
        <v>11</v>
      </c>
      <c r="D6138" s="17" t="s">
        <v>83</v>
      </c>
      <c r="E6138" s="17" t="s">
        <v>20</v>
      </c>
      <c r="F6138" s="16" t="s">
        <v>18779</v>
      </c>
    </row>
    <row r="6139" spans="1:6" x14ac:dyDescent="0.25">
      <c r="A6139" s="16" t="s">
        <v>18780</v>
      </c>
      <c r="B6139" s="17" t="s">
        <v>18781</v>
      </c>
      <c r="C6139" s="17" t="s">
        <v>11</v>
      </c>
      <c r="D6139" s="17" t="s">
        <v>32</v>
      </c>
      <c r="E6139" s="17" t="s">
        <v>20</v>
      </c>
      <c r="F6139" s="16" t="s">
        <v>18782</v>
      </c>
    </row>
    <row r="6140" spans="1:6" x14ac:dyDescent="0.25">
      <c r="A6140" s="16" t="s">
        <v>18783</v>
      </c>
      <c r="B6140" s="17" t="s">
        <v>18784</v>
      </c>
      <c r="C6140" s="17" t="s">
        <v>11</v>
      </c>
      <c r="D6140" s="17" t="s">
        <v>32</v>
      </c>
      <c r="E6140" s="17" t="s">
        <v>20</v>
      </c>
      <c r="F6140" s="16" t="s">
        <v>18785</v>
      </c>
    </row>
    <row r="6141" spans="1:6" x14ac:dyDescent="0.25">
      <c r="A6141" s="16" t="s">
        <v>18786</v>
      </c>
      <c r="B6141" s="17" t="s">
        <v>18787</v>
      </c>
      <c r="C6141" s="17" t="s">
        <v>11</v>
      </c>
      <c r="D6141" s="17" t="s">
        <v>182</v>
      </c>
      <c r="E6141" s="17" t="s">
        <v>20</v>
      </c>
      <c r="F6141" s="16" t="s">
        <v>18788</v>
      </c>
    </row>
    <row r="6142" spans="1:6" x14ac:dyDescent="0.25">
      <c r="A6142" s="16" t="s">
        <v>18789</v>
      </c>
      <c r="B6142" s="17" t="s">
        <v>18790</v>
      </c>
      <c r="C6142" s="17" t="s">
        <v>11</v>
      </c>
      <c r="D6142" s="17" t="s">
        <v>83</v>
      </c>
      <c r="E6142" s="17" t="s">
        <v>20</v>
      </c>
      <c r="F6142" s="16" t="s">
        <v>18791</v>
      </c>
    </row>
    <row r="6143" spans="1:6" x14ac:dyDescent="0.25">
      <c r="A6143" s="16" t="s">
        <v>18792</v>
      </c>
      <c r="B6143" s="17" t="s">
        <v>18793</v>
      </c>
      <c r="C6143" s="17" t="s">
        <v>11</v>
      </c>
      <c r="D6143" s="17" t="s">
        <v>186</v>
      </c>
      <c r="E6143" s="17" t="s">
        <v>20</v>
      </c>
      <c r="F6143" s="16" t="s">
        <v>18794</v>
      </c>
    </row>
    <row r="6144" spans="1:6" x14ac:dyDescent="0.25">
      <c r="A6144" s="16" t="s">
        <v>18795</v>
      </c>
      <c r="B6144" s="17" t="s">
        <v>18796</v>
      </c>
      <c r="C6144" s="17" t="s">
        <v>11</v>
      </c>
      <c r="D6144" s="17" t="s">
        <v>19</v>
      </c>
      <c r="E6144" s="17" t="s">
        <v>20</v>
      </c>
      <c r="F6144" s="16" t="s">
        <v>18797</v>
      </c>
    </row>
    <row r="6145" spans="1:6" x14ac:dyDescent="0.25">
      <c r="A6145" s="16" t="s">
        <v>18798</v>
      </c>
      <c r="B6145" s="17" t="s">
        <v>18799</v>
      </c>
      <c r="C6145" s="17" t="s">
        <v>11</v>
      </c>
      <c r="D6145" s="17" t="s">
        <v>74</v>
      </c>
      <c r="E6145" s="17" t="s">
        <v>20</v>
      </c>
      <c r="F6145" s="16" t="s">
        <v>18800</v>
      </c>
    </row>
    <row r="6146" spans="1:6" x14ac:dyDescent="0.25">
      <c r="A6146" s="16" t="s">
        <v>18801</v>
      </c>
      <c r="B6146" s="17" t="s">
        <v>18802</v>
      </c>
      <c r="C6146" s="17" t="s">
        <v>11</v>
      </c>
      <c r="D6146" s="17" t="s">
        <v>80</v>
      </c>
      <c r="E6146" s="17" t="s">
        <v>20</v>
      </c>
      <c r="F6146" s="16" t="s">
        <v>18803</v>
      </c>
    </row>
    <row r="6147" spans="1:6" x14ac:dyDescent="0.25">
      <c r="A6147" s="16" t="s">
        <v>18804</v>
      </c>
      <c r="B6147" s="17" t="s">
        <v>18805</v>
      </c>
      <c r="C6147" s="17" t="s">
        <v>11</v>
      </c>
      <c r="D6147" s="17" t="s">
        <v>19</v>
      </c>
      <c r="E6147" s="17" t="s">
        <v>20</v>
      </c>
      <c r="F6147" s="16" t="s">
        <v>18806</v>
      </c>
    </row>
    <row r="6148" spans="1:6" x14ac:dyDescent="0.25">
      <c r="A6148" s="16" t="s">
        <v>18807</v>
      </c>
      <c r="B6148" s="17" t="s">
        <v>18808</v>
      </c>
      <c r="C6148" s="17" t="s">
        <v>11</v>
      </c>
      <c r="D6148" s="17" t="s">
        <v>74</v>
      </c>
      <c r="E6148" s="17" t="s">
        <v>20</v>
      </c>
      <c r="F6148" s="16" t="s">
        <v>18809</v>
      </c>
    </row>
    <row r="6149" spans="1:6" x14ac:dyDescent="0.25">
      <c r="A6149" s="16" t="s">
        <v>18810</v>
      </c>
      <c r="B6149" s="17" t="s">
        <v>18811</v>
      </c>
      <c r="C6149" s="17" t="s">
        <v>11</v>
      </c>
      <c r="D6149" s="17" t="s">
        <v>148</v>
      </c>
      <c r="E6149" s="17" t="s">
        <v>20</v>
      </c>
      <c r="F6149" s="16" t="s">
        <v>18812</v>
      </c>
    </row>
    <row r="6150" spans="1:6" x14ac:dyDescent="0.25">
      <c r="A6150" s="16" t="s">
        <v>18813</v>
      </c>
      <c r="B6150" s="17" t="s">
        <v>18814</v>
      </c>
      <c r="C6150" s="17" t="s">
        <v>11</v>
      </c>
      <c r="D6150" s="17" t="s">
        <v>26</v>
      </c>
      <c r="E6150" s="17" t="s">
        <v>20</v>
      </c>
      <c r="F6150" s="16" t="s">
        <v>18815</v>
      </c>
    </row>
    <row r="6151" spans="1:6" x14ac:dyDescent="0.25">
      <c r="A6151" s="16" t="s">
        <v>18816</v>
      </c>
      <c r="B6151" s="17" t="s">
        <v>18817</v>
      </c>
      <c r="C6151" s="17" t="s">
        <v>11</v>
      </c>
      <c r="D6151" s="17" t="s">
        <v>19</v>
      </c>
      <c r="E6151" s="17" t="s">
        <v>20</v>
      </c>
      <c r="F6151" s="16" t="s">
        <v>18818</v>
      </c>
    </row>
    <row r="6152" spans="1:6" x14ac:dyDescent="0.25">
      <c r="A6152" s="16" t="s">
        <v>18819</v>
      </c>
      <c r="B6152" s="17" t="s">
        <v>18820</v>
      </c>
      <c r="C6152" s="17" t="s">
        <v>11</v>
      </c>
      <c r="D6152" s="17" t="s">
        <v>19</v>
      </c>
      <c r="E6152" s="17" t="s">
        <v>20</v>
      </c>
      <c r="F6152" s="16" t="s">
        <v>18821</v>
      </c>
    </row>
    <row r="6153" spans="1:6" x14ac:dyDescent="0.25">
      <c r="A6153" s="16" t="s">
        <v>18822</v>
      </c>
      <c r="B6153" s="17" t="s">
        <v>18823</v>
      </c>
      <c r="C6153" s="17" t="s">
        <v>11</v>
      </c>
      <c r="D6153" s="17" t="s">
        <v>89</v>
      </c>
      <c r="E6153" s="17" t="s">
        <v>20</v>
      </c>
      <c r="F6153" s="16" t="s">
        <v>18824</v>
      </c>
    </row>
    <row r="6154" spans="1:6" x14ac:dyDescent="0.25">
      <c r="A6154" s="16" t="s">
        <v>18825</v>
      </c>
      <c r="B6154" s="17" t="s">
        <v>18826</v>
      </c>
      <c r="C6154" s="17" t="s">
        <v>11</v>
      </c>
      <c r="D6154" s="17" t="s">
        <v>83</v>
      </c>
      <c r="E6154" s="17" t="s">
        <v>20</v>
      </c>
      <c r="F6154" s="16" t="s">
        <v>18827</v>
      </c>
    </row>
    <row r="6155" spans="1:6" x14ac:dyDescent="0.25">
      <c r="A6155" s="16" t="s">
        <v>18828</v>
      </c>
      <c r="B6155" s="17" t="s">
        <v>18829</v>
      </c>
      <c r="C6155" s="17" t="s">
        <v>11</v>
      </c>
      <c r="D6155" s="17" t="s">
        <v>74</v>
      </c>
      <c r="E6155" s="17" t="s">
        <v>20</v>
      </c>
      <c r="F6155" s="16" t="s">
        <v>18830</v>
      </c>
    </row>
    <row r="6156" spans="1:6" x14ac:dyDescent="0.25">
      <c r="A6156" s="16" t="s">
        <v>18831</v>
      </c>
      <c r="B6156" s="17" t="s">
        <v>18832</v>
      </c>
      <c r="C6156" s="17" t="s">
        <v>11</v>
      </c>
      <c r="D6156" s="17" t="s">
        <v>32</v>
      </c>
      <c r="E6156" s="17" t="s">
        <v>20</v>
      </c>
      <c r="F6156" s="16" t="s">
        <v>18833</v>
      </c>
    </row>
    <row r="6157" spans="1:6" x14ac:dyDescent="0.25">
      <c r="A6157" s="16" t="s">
        <v>18834</v>
      </c>
      <c r="B6157" s="17" t="s">
        <v>18835</v>
      </c>
      <c r="C6157" s="17" t="s">
        <v>11</v>
      </c>
      <c r="D6157" s="17" t="s">
        <v>83</v>
      </c>
      <c r="E6157" s="17" t="s">
        <v>20</v>
      </c>
      <c r="F6157" s="16" t="s">
        <v>18836</v>
      </c>
    </row>
    <row r="6158" spans="1:6" x14ac:dyDescent="0.25">
      <c r="A6158" s="16" t="s">
        <v>18837</v>
      </c>
      <c r="B6158" s="17" t="s">
        <v>18838</v>
      </c>
      <c r="C6158" s="17" t="s">
        <v>11</v>
      </c>
      <c r="D6158" s="17" t="s">
        <v>32</v>
      </c>
      <c r="E6158" s="17" t="s">
        <v>20</v>
      </c>
      <c r="F6158" s="16" t="s">
        <v>18839</v>
      </c>
    </row>
    <row r="6159" spans="1:6" x14ac:dyDescent="0.25">
      <c r="A6159" s="16" t="s">
        <v>18840</v>
      </c>
      <c r="B6159" s="17" t="s">
        <v>18841</v>
      </c>
      <c r="C6159" s="17" t="s">
        <v>11</v>
      </c>
      <c r="D6159" s="17" t="s">
        <v>83</v>
      </c>
      <c r="E6159" s="17" t="s">
        <v>20</v>
      </c>
      <c r="F6159" s="16" t="s">
        <v>18842</v>
      </c>
    </row>
    <row r="6160" spans="1:6" x14ac:dyDescent="0.25">
      <c r="A6160" s="16" t="s">
        <v>18843</v>
      </c>
      <c r="B6160" s="17" t="s">
        <v>18844</v>
      </c>
      <c r="C6160" s="17" t="s">
        <v>11</v>
      </c>
      <c r="D6160" s="17" t="s">
        <v>32</v>
      </c>
      <c r="E6160" s="17" t="s">
        <v>20</v>
      </c>
      <c r="F6160" s="16" t="s">
        <v>18845</v>
      </c>
    </row>
    <row r="6161" spans="1:6" x14ac:dyDescent="0.25">
      <c r="A6161" s="16" t="s">
        <v>18846</v>
      </c>
      <c r="B6161" s="17" t="s">
        <v>18847</v>
      </c>
      <c r="C6161" s="17" t="s">
        <v>11</v>
      </c>
      <c r="D6161" s="17" t="s">
        <v>32</v>
      </c>
      <c r="E6161" s="17" t="s">
        <v>20</v>
      </c>
      <c r="F6161" s="16" t="s">
        <v>18848</v>
      </c>
    </row>
    <row r="6162" spans="1:6" x14ac:dyDescent="0.25">
      <c r="A6162" s="16" t="s">
        <v>18849</v>
      </c>
      <c r="B6162" s="17" t="s">
        <v>18850</v>
      </c>
      <c r="C6162" s="17" t="s">
        <v>11</v>
      </c>
      <c r="D6162" s="17" t="s">
        <v>570</v>
      </c>
      <c r="E6162" s="17" t="s">
        <v>20</v>
      </c>
      <c r="F6162" s="16" t="s">
        <v>18851</v>
      </c>
    </row>
    <row r="6163" spans="1:6" x14ac:dyDescent="0.25">
      <c r="A6163" s="16" t="s">
        <v>18852</v>
      </c>
      <c r="B6163" s="17" t="s">
        <v>18853</v>
      </c>
      <c r="C6163" s="17" t="s">
        <v>11</v>
      </c>
      <c r="D6163" s="17" t="s">
        <v>148</v>
      </c>
      <c r="E6163" s="17" t="s">
        <v>20</v>
      </c>
      <c r="F6163" s="16" t="s">
        <v>18854</v>
      </c>
    </row>
    <row r="6164" spans="1:6" x14ac:dyDescent="0.25">
      <c r="A6164" s="16" t="s">
        <v>18855</v>
      </c>
      <c r="B6164" s="17" t="s">
        <v>18856</v>
      </c>
      <c r="C6164" s="17" t="s">
        <v>11</v>
      </c>
      <c r="D6164" s="17" t="s">
        <v>74</v>
      </c>
      <c r="E6164" s="17" t="s">
        <v>20</v>
      </c>
      <c r="F6164" s="16" t="s">
        <v>18857</v>
      </c>
    </row>
    <row r="6165" spans="1:6" x14ac:dyDescent="0.25">
      <c r="A6165" s="16" t="s">
        <v>18858</v>
      </c>
      <c r="B6165" s="17" t="s">
        <v>18859</v>
      </c>
      <c r="C6165" s="17" t="s">
        <v>11</v>
      </c>
      <c r="D6165" s="17" t="s">
        <v>570</v>
      </c>
      <c r="E6165" s="17" t="s">
        <v>20</v>
      </c>
      <c r="F6165" s="16" t="s">
        <v>18860</v>
      </c>
    </row>
    <row r="6166" spans="1:6" x14ac:dyDescent="0.25">
      <c r="A6166" s="16" t="s">
        <v>18861</v>
      </c>
      <c r="B6166" s="17" t="s">
        <v>18862</v>
      </c>
      <c r="C6166" s="17" t="s">
        <v>11</v>
      </c>
      <c r="D6166" s="17" t="s">
        <v>83</v>
      </c>
      <c r="E6166" s="17" t="s">
        <v>20</v>
      </c>
      <c r="F6166" s="16" t="s">
        <v>18863</v>
      </c>
    </row>
    <row r="6167" spans="1:6" x14ac:dyDescent="0.25">
      <c r="A6167" s="16" t="s">
        <v>18864</v>
      </c>
      <c r="B6167" s="17" t="s">
        <v>18865</v>
      </c>
      <c r="C6167" s="17" t="s">
        <v>11</v>
      </c>
      <c r="D6167" s="17" t="s">
        <v>250</v>
      </c>
      <c r="E6167" s="17" t="s">
        <v>20</v>
      </c>
      <c r="F6167" s="16" t="s">
        <v>18866</v>
      </c>
    </row>
    <row r="6168" spans="1:6" x14ac:dyDescent="0.25">
      <c r="A6168" s="16" t="s">
        <v>18867</v>
      </c>
      <c r="B6168" s="17" t="s">
        <v>18868</v>
      </c>
      <c r="C6168" s="17" t="s">
        <v>11</v>
      </c>
      <c r="D6168" s="17" t="s">
        <v>148</v>
      </c>
      <c r="E6168" s="17" t="s">
        <v>20</v>
      </c>
      <c r="F6168" s="16" t="s">
        <v>18869</v>
      </c>
    </row>
    <row r="6169" spans="1:6" x14ac:dyDescent="0.25">
      <c r="A6169" s="16" t="s">
        <v>18870</v>
      </c>
      <c r="B6169" s="17" t="s">
        <v>18871</v>
      </c>
      <c r="C6169" s="17" t="s">
        <v>11</v>
      </c>
      <c r="D6169" s="17" t="s">
        <v>32</v>
      </c>
      <c r="E6169" s="17" t="s">
        <v>20</v>
      </c>
      <c r="F6169" s="16" t="s">
        <v>18872</v>
      </c>
    </row>
    <row r="6170" spans="1:6" x14ac:dyDescent="0.25">
      <c r="A6170" s="16" t="s">
        <v>18873</v>
      </c>
      <c r="B6170" s="17" t="s">
        <v>18874</v>
      </c>
      <c r="C6170" s="17" t="s">
        <v>11</v>
      </c>
      <c r="D6170" s="17" t="s">
        <v>250</v>
      </c>
      <c r="E6170" s="17" t="s">
        <v>20</v>
      </c>
      <c r="F6170" s="16" t="s">
        <v>18875</v>
      </c>
    </row>
    <row r="6171" spans="1:6" x14ac:dyDescent="0.25">
      <c r="A6171" s="16" t="s">
        <v>18876</v>
      </c>
      <c r="B6171" s="17" t="s">
        <v>18877</v>
      </c>
      <c r="C6171" s="17" t="s">
        <v>11</v>
      </c>
      <c r="D6171" s="17" t="s">
        <v>32</v>
      </c>
      <c r="E6171" s="17" t="s">
        <v>20</v>
      </c>
      <c r="F6171" s="16" t="s">
        <v>18878</v>
      </c>
    </row>
    <row r="6172" spans="1:6" x14ac:dyDescent="0.25">
      <c r="A6172" s="16" t="s">
        <v>18879</v>
      </c>
      <c r="B6172" s="17" t="s">
        <v>18880</v>
      </c>
      <c r="C6172" s="17" t="s">
        <v>11</v>
      </c>
      <c r="D6172" s="17" t="s">
        <v>26</v>
      </c>
      <c r="E6172" s="17" t="s">
        <v>20</v>
      </c>
      <c r="F6172" s="16" t="s">
        <v>18881</v>
      </c>
    </row>
    <row r="6173" spans="1:6" x14ac:dyDescent="0.25">
      <c r="A6173" s="16" t="s">
        <v>18882</v>
      </c>
      <c r="B6173" s="17" t="s">
        <v>18883</v>
      </c>
      <c r="C6173" s="17" t="s">
        <v>11</v>
      </c>
      <c r="D6173" s="17" t="s">
        <v>32</v>
      </c>
      <c r="E6173" s="17" t="s">
        <v>20</v>
      </c>
      <c r="F6173" s="16" t="s">
        <v>18884</v>
      </c>
    </row>
    <row r="6174" spans="1:6" x14ac:dyDescent="0.25">
      <c r="A6174" s="16" t="s">
        <v>18885</v>
      </c>
      <c r="B6174" s="17" t="s">
        <v>18886</v>
      </c>
      <c r="C6174" s="17" t="s">
        <v>11</v>
      </c>
      <c r="D6174" s="17" t="s">
        <v>32</v>
      </c>
      <c r="E6174" s="17" t="s">
        <v>20</v>
      </c>
      <c r="F6174" s="16" t="s">
        <v>18887</v>
      </c>
    </row>
    <row r="6175" spans="1:6" x14ac:dyDescent="0.25">
      <c r="A6175" s="16" t="s">
        <v>18888</v>
      </c>
      <c r="B6175" s="17" t="s">
        <v>18889</v>
      </c>
      <c r="C6175" s="17" t="s">
        <v>11</v>
      </c>
      <c r="D6175" s="17" t="s">
        <v>182</v>
      </c>
      <c r="E6175" s="17" t="s">
        <v>20</v>
      </c>
      <c r="F6175" s="16" t="s">
        <v>18890</v>
      </c>
    </row>
    <row r="6176" spans="1:6" x14ac:dyDescent="0.25">
      <c r="A6176" s="16" t="s">
        <v>18891</v>
      </c>
      <c r="B6176" s="17" t="s">
        <v>18892</v>
      </c>
      <c r="C6176" s="17" t="s">
        <v>11</v>
      </c>
      <c r="D6176" s="17" t="s">
        <v>32</v>
      </c>
      <c r="E6176" s="17" t="s">
        <v>20</v>
      </c>
      <c r="F6176" s="16" t="s">
        <v>18893</v>
      </c>
    </row>
    <row r="6177" spans="1:6" x14ac:dyDescent="0.25">
      <c r="A6177" s="16" t="s">
        <v>18894</v>
      </c>
      <c r="B6177" s="17" t="s">
        <v>18895</v>
      </c>
      <c r="C6177" s="17" t="s">
        <v>11</v>
      </c>
      <c r="D6177" s="17" t="s">
        <v>32</v>
      </c>
      <c r="E6177" s="17" t="s">
        <v>20</v>
      </c>
      <c r="F6177" s="16" t="s">
        <v>18896</v>
      </c>
    </row>
    <row r="6178" spans="1:6" x14ac:dyDescent="0.25">
      <c r="A6178" s="16" t="s">
        <v>18897</v>
      </c>
      <c r="B6178" s="17" t="s">
        <v>18898</v>
      </c>
      <c r="C6178" s="17" t="s">
        <v>11</v>
      </c>
      <c r="D6178" s="17" t="s">
        <v>32</v>
      </c>
      <c r="E6178" s="17" t="s">
        <v>20</v>
      </c>
      <c r="F6178" s="16" t="s">
        <v>18899</v>
      </c>
    </row>
    <row r="6179" spans="1:6" x14ac:dyDescent="0.25">
      <c r="A6179" s="16" t="s">
        <v>18900</v>
      </c>
      <c r="B6179" s="17" t="s">
        <v>18901</v>
      </c>
      <c r="C6179" s="17" t="s">
        <v>11</v>
      </c>
      <c r="D6179" s="17" t="s">
        <v>89</v>
      </c>
      <c r="E6179" s="17" t="s">
        <v>20</v>
      </c>
      <c r="F6179" s="16" t="s">
        <v>18902</v>
      </c>
    </row>
    <row r="6180" spans="1:6" x14ac:dyDescent="0.25">
      <c r="A6180" s="16" t="s">
        <v>18903</v>
      </c>
      <c r="B6180" s="17" t="s">
        <v>18904</v>
      </c>
      <c r="C6180" s="17" t="s">
        <v>11</v>
      </c>
      <c r="D6180" s="17" t="s">
        <v>12</v>
      </c>
      <c r="E6180" s="17" t="s">
        <v>13</v>
      </c>
      <c r="F6180" s="16" t="s">
        <v>18905</v>
      </c>
    </row>
    <row r="6181" spans="1:6" x14ac:dyDescent="0.25">
      <c r="A6181" s="16" t="s">
        <v>18906</v>
      </c>
      <c r="B6181" s="17" t="s">
        <v>18907</v>
      </c>
      <c r="C6181" s="17" t="s">
        <v>11</v>
      </c>
      <c r="D6181" s="17" t="s">
        <v>83</v>
      </c>
      <c r="E6181" s="17" t="s">
        <v>20</v>
      </c>
      <c r="F6181" s="16" t="s">
        <v>18908</v>
      </c>
    </row>
    <row r="6182" spans="1:6" x14ac:dyDescent="0.25">
      <c r="A6182" s="16" t="s">
        <v>18909</v>
      </c>
      <c r="B6182" s="17" t="s">
        <v>18910</v>
      </c>
      <c r="C6182" s="17" t="s">
        <v>11</v>
      </c>
      <c r="D6182" s="17" t="s">
        <v>182</v>
      </c>
      <c r="E6182" s="17" t="s">
        <v>20</v>
      </c>
      <c r="F6182" s="16" t="s">
        <v>18911</v>
      </c>
    </row>
    <row r="6183" spans="1:6" x14ac:dyDescent="0.25">
      <c r="A6183" s="16" t="s">
        <v>18912</v>
      </c>
      <c r="B6183" s="17" t="s">
        <v>18913</v>
      </c>
      <c r="C6183" s="17" t="s">
        <v>11</v>
      </c>
      <c r="D6183" s="17" t="s">
        <v>32</v>
      </c>
      <c r="E6183" s="17" t="s">
        <v>20</v>
      </c>
      <c r="F6183" s="16" t="s">
        <v>18914</v>
      </c>
    </row>
    <row r="6184" spans="1:6" x14ac:dyDescent="0.25">
      <c r="A6184" s="16" t="s">
        <v>18915</v>
      </c>
      <c r="B6184" s="17" t="s">
        <v>18916</v>
      </c>
      <c r="C6184" s="17" t="s">
        <v>11</v>
      </c>
      <c r="D6184" s="17" t="s">
        <v>186</v>
      </c>
      <c r="E6184" s="17" t="s">
        <v>20</v>
      </c>
      <c r="F6184" s="16" t="s">
        <v>18917</v>
      </c>
    </row>
    <row r="6185" spans="1:6" x14ac:dyDescent="0.25">
      <c r="A6185" s="16" t="s">
        <v>18918</v>
      </c>
      <c r="B6185" s="17" t="s">
        <v>18919</v>
      </c>
      <c r="C6185" s="17" t="s">
        <v>11</v>
      </c>
      <c r="D6185" s="17" t="s">
        <v>32</v>
      </c>
      <c r="E6185" s="17" t="s">
        <v>20</v>
      </c>
      <c r="F6185" s="16" t="s">
        <v>18920</v>
      </c>
    </row>
    <row r="6186" spans="1:6" x14ac:dyDescent="0.25">
      <c r="A6186" s="16" t="s">
        <v>18921</v>
      </c>
      <c r="B6186" s="17" t="s">
        <v>18922</v>
      </c>
      <c r="C6186" s="17" t="s">
        <v>11</v>
      </c>
      <c r="D6186" s="17" t="s">
        <v>250</v>
      </c>
      <c r="E6186" s="17" t="s">
        <v>20</v>
      </c>
      <c r="F6186" s="16" t="s">
        <v>18923</v>
      </c>
    </row>
    <row r="6187" spans="1:6" x14ac:dyDescent="0.25">
      <c r="A6187" s="16" t="s">
        <v>18924</v>
      </c>
      <c r="B6187" s="17" t="s">
        <v>18925</v>
      </c>
      <c r="C6187" s="17" t="s">
        <v>11</v>
      </c>
      <c r="D6187" s="17" t="s">
        <v>12</v>
      </c>
      <c r="E6187" s="17" t="s">
        <v>13</v>
      </c>
      <c r="F6187" s="16" t="s">
        <v>18926</v>
      </c>
    </row>
    <row r="6188" spans="1:6" x14ac:dyDescent="0.25">
      <c r="A6188" s="16" t="s">
        <v>18927</v>
      </c>
      <c r="B6188" s="17" t="s">
        <v>18928</v>
      </c>
      <c r="C6188" s="17" t="s">
        <v>11</v>
      </c>
      <c r="D6188" s="17" t="s">
        <v>74</v>
      </c>
      <c r="E6188" s="17" t="s">
        <v>20</v>
      </c>
      <c r="F6188" s="16" t="s">
        <v>18929</v>
      </c>
    </row>
    <row r="6189" spans="1:6" x14ac:dyDescent="0.25">
      <c r="A6189" s="16" t="s">
        <v>18930</v>
      </c>
      <c r="B6189" s="17" t="s">
        <v>18931</v>
      </c>
      <c r="C6189" s="17" t="s">
        <v>11</v>
      </c>
      <c r="D6189" s="17" t="s">
        <v>89</v>
      </c>
      <c r="E6189" s="17" t="s">
        <v>20</v>
      </c>
      <c r="F6189" s="16" t="s">
        <v>18932</v>
      </c>
    </row>
    <row r="6190" spans="1:6" x14ac:dyDescent="0.25">
      <c r="A6190" s="16" t="s">
        <v>18933</v>
      </c>
      <c r="B6190" s="17" t="s">
        <v>18934</v>
      </c>
      <c r="C6190" s="17" t="s">
        <v>11</v>
      </c>
      <c r="D6190" s="17" t="s">
        <v>74</v>
      </c>
      <c r="E6190" s="17" t="s">
        <v>20</v>
      </c>
      <c r="F6190" s="16" t="s">
        <v>18935</v>
      </c>
    </row>
    <row r="6191" spans="1:6" x14ac:dyDescent="0.25">
      <c r="A6191" s="16" t="s">
        <v>18936</v>
      </c>
      <c r="B6191" s="17" t="s">
        <v>18937</v>
      </c>
      <c r="C6191" s="17" t="s">
        <v>11</v>
      </c>
      <c r="D6191" s="17" t="s">
        <v>291</v>
      </c>
      <c r="E6191" s="17" t="s">
        <v>20</v>
      </c>
      <c r="F6191" s="16" t="s">
        <v>18938</v>
      </c>
    </row>
    <row r="6192" spans="1:6" x14ac:dyDescent="0.25">
      <c r="A6192" s="16" t="s">
        <v>18939</v>
      </c>
      <c r="B6192" s="17" t="s">
        <v>18940</v>
      </c>
      <c r="C6192" s="17" t="s">
        <v>11</v>
      </c>
      <c r="D6192" s="17" t="s">
        <v>32</v>
      </c>
      <c r="E6192" s="17" t="s">
        <v>20</v>
      </c>
      <c r="F6192" s="16" t="s">
        <v>18941</v>
      </c>
    </row>
    <row r="6193" spans="1:6" x14ac:dyDescent="0.25">
      <c r="A6193" s="16" t="s">
        <v>18942</v>
      </c>
      <c r="B6193" s="17" t="s">
        <v>18943</v>
      </c>
      <c r="C6193" s="17" t="s">
        <v>11</v>
      </c>
      <c r="D6193" s="17" t="s">
        <v>32</v>
      </c>
      <c r="E6193" s="17" t="s">
        <v>20</v>
      </c>
      <c r="F6193" s="16" t="s">
        <v>18944</v>
      </c>
    </row>
    <row r="6194" spans="1:6" x14ac:dyDescent="0.25">
      <c r="A6194" s="16" t="s">
        <v>18945</v>
      </c>
      <c r="B6194" s="17" t="s">
        <v>18946</v>
      </c>
      <c r="C6194" s="17" t="s">
        <v>11</v>
      </c>
      <c r="D6194" s="17" t="s">
        <v>148</v>
      </c>
      <c r="E6194" s="17" t="s">
        <v>20</v>
      </c>
      <c r="F6194" s="16" t="s">
        <v>18947</v>
      </c>
    </row>
    <row r="6195" spans="1:6" x14ac:dyDescent="0.25">
      <c r="A6195" s="16" t="s">
        <v>18948</v>
      </c>
      <c r="B6195" s="17" t="s">
        <v>18949</v>
      </c>
      <c r="C6195" s="17" t="s">
        <v>11</v>
      </c>
      <c r="D6195" s="17" t="s">
        <v>19</v>
      </c>
      <c r="E6195" s="17" t="s">
        <v>20</v>
      </c>
      <c r="F6195" s="16" t="s">
        <v>18950</v>
      </c>
    </row>
    <row r="6196" spans="1:6" x14ac:dyDescent="0.25">
      <c r="A6196" s="16" t="s">
        <v>18951</v>
      </c>
      <c r="B6196" s="17" t="s">
        <v>18952</v>
      </c>
      <c r="C6196" s="17" t="s">
        <v>11</v>
      </c>
      <c r="D6196" s="17" t="s">
        <v>250</v>
      </c>
      <c r="E6196" s="17" t="s">
        <v>20</v>
      </c>
      <c r="F6196" s="16" t="s">
        <v>18953</v>
      </c>
    </row>
    <row r="6197" spans="1:6" x14ac:dyDescent="0.25">
      <c r="A6197" s="16" t="s">
        <v>18954</v>
      </c>
      <c r="B6197" s="17" t="s">
        <v>18955</v>
      </c>
      <c r="C6197" s="17" t="s">
        <v>11</v>
      </c>
      <c r="D6197" s="17" t="s">
        <v>26</v>
      </c>
      <c r="E6197" s="17" t="s">
        <v>20</v>
      </c>
      <c r="F6197" s="16" t="s">
        <v>18956</v>
      </c>
    </row>
    <row r="6198" spans="1:6" x14ac:dyDescent="0.25">
      <c r="A6198" s="16" t="s">
        <v>18957</v>
      </c>
      <c r="B6198" s="17" t="s">
        <v>18958</v>
      </c>
      <c r="C6198" s="17" t="s">
        <v>11</v>
      </c>
      <c r="D6198" s="17" t="s">
        <v>59</v>
      </c>
      <c r="E6198" s="17" t="s">
        <v>13</v>
      </c>
      <c r="F6198" s="16" t="s">
        <v>18959</v>
      </c>
    </row>
    <row r="6199" spans="1:6" x14ac:dyDescent="0.25">
      <c r="A6199" s="16" t="s">
        <v>18960</v>
      </c>
      <c r="B6199" s="17" t="s">
        <v>18961</v>
      </c>
      <c r="C6199" s="17" t="s">
        <v>11</v>
      </c>
      <c r="D6199" s="17" t="s">
        <v>32</v>
      </c>
      <c r="E6199" s="17" t="s">
        <v>20</v>
      </c>
      <c r="F6199" s="16" t="s">
        <v>18962</v>
      </c>
    </row>
    <row r="6200" spans="1:6" x14ac:dyDescent="0.25">
      <c r="A6200" s="16" t="s">
        <v>18963</v>
      </c>
      <c r="B6200" s="17" t="s">
        <v>18964</v>
      </c>
      <c r="C6200" s="17" t="s">
        <v>11</v>
      </c>
      <c r="D6200" s="17" t="s">
        <v>233</v>
      </c>
      <c r="E6200" s="17" t="s">
        <v>20</v>
      </c>
      <c r="F6200" s="16" t="s">
        <v>18965</v>
      </c>
    </row>
    <row r="6201" spans="1:6" x14ac:dyDescent="0.25">
      <c r="A6201" s="16" t="s">
        <v>18966</v>
      </c>
      <c r="B6201" s="17" t="s">
        <v>18967</v>
      </c>
      <c r="C6201" s="17" t="s">
        <v>11</v>
      </c>
      <c r="D6201" s="17" t="s">
        <v>80</v>
      </c>
      <c r="E6201" s="17" t="s">
        <v>20</v>
      </c>
      <c r="F6201" s="16" t="s">
        <v>18968</v>
      </c>
    </row>
    <row r="6202" spans="1:6" x14ac:dyDescent="0.25">
      <c r="A6202" s="16" t="s">
        <v>18969</v>
      </c>
      <c r="B6202" s="17" t="s">
        <v>18970</v>
      </c>
      <c r="C6202" s="17" t="s">
        <v>11</v>
      </c>
      <c r="D6202" s="17" t="s">
        <v>649</v>
      </c>
      <c r="E6202" s="17" t="s">
        <v>20</v>
      </c>
      <c r="F6202" s="16" t="s">
        <v>18971</v>
      </c>
    </row>
    <row r="6203" spans="1:6" x14ac:dyDescent="0.25">
      <c r="A6203" s="16" t="s">
        <v>18972</v>
      </c>
      <c r="B6203" s="17" t="s">
        <v>18973</v>
      </c>
      <c r="C6203" s="17" t="s">
        <v>11</v>
      </c>
      <c r="D6203" s="17" t="s">
        <v>12</v>
      </c>
      <c r="E6203" s="17" t="s">
        <v>13</v>
      </c>
      <c r="F6203" s="16" t="s">
        <v>18974</v>
      </c>
    </row>
    <row r="6204" spans="1:6" x14ac:dyDescent="0.25">
      <c r="A6204" s="16" t="s">
        <v>18975</v>
      </c>
      <c r="B6204" s="17" t="s">
        <v>18976</v>
      </c>
      <c r="C6204" s="17" t="s">
        <v>11</v>
      </c>
      <c r="D6204" s="17" t="s">
        <v>12</v>
      </c>
      <c r="E6204" s="17" t="s">
        <v>13</v>
      </c>
      <c r="F6204" s="16" t="s">
        <v>18977</v>
      </c>
    </row>
    <row r="6205" spans="1:6" x14ac:dyDescent="0.25">
      <c r="A6205" s="16" t="s">
        <v>18978</v>
      </c>
      <c r="B6205" s="17" t="s">
        <v>18979</v>
      </c>
      <c r="C6205" s="17" t="s">
        <v>11</v>
      </c>
      <c r="D6205" s="17" t="s">
        <v>59</v>
      </c>
      <c r="E6205" s="17" t="s">
        <v>13</v>
      </c>
      <c r="F6205" s="16" t="s">
        <v>18980</v>
      </c>
    </row>
    <row r="6206" spans="1:6" x14ac:dyDescent="0.25">
      <c r="A6206" s="16" t="s">
        <v>18981</v>
      </c>
      <c r="B6206" s="17" t="s">
        <v>18982</v>
      </c>
      <c r="C6206" s="17" t="s">
        <v>11</v>
      </c>
      <c r="D6206" s="17" t="s">
        <v>80</v>
      </c>
      <c r="E6206" s="17" t="s">
        <v>20</v>
      </c>
      <c r="F6206" s="16" t="s">
        <v>18983</v>
      </c>
    </row>
    <row r="6207" spans="1:6" x14ac:dyDescent="0.25">
      <c r="A6207" s="16" t="s">
        <v>18984</v>
      </c>
      <c r="B6207" s="17" t="s">
        <v>18985</v>
      </c>
      <c r="C6207" s="17" t="s">
        <v>11</v>
      </c>
      <c r="D6207" s="17" t="s">
        <v>186</v>
      </c>
      <c r="E6207" s="17" t="s">
        <v>20</v>
      </c>
      <c r="F6207" s="16" t="s">
        <v>18986</v>
      </c>
    </row>
    <row r="6208" spans="1:6" x14ac:dyDescent="0.25">
      <c r="A6208" s="16" t="s">
        <v>18987</v>
      </c>
      <c r="B6208" s="17" t="s">
        <v>18988</v>
      </c>
      <c r="C6208" s="17" t="s">
        <v>11</v>
      </c>
      <c r="D6208" s="17" t="s">
        <v>182</v>
      </c>
      <c r="E6208" s="17" t="s">
        <v>20</v>
      </c>
      <c r="F6208" s="16" t="s">
        <v>18989</v>
      </c>
    </row>
    <row r="6209" spans="1:6" x14ac:dyDescent="0.25">
      <c r="A6209" s="16" t="s">
        <v>18990</v>
      </c>
      <c r="B6209" s="17" t="s">
        <v>18991</v>
      </c>
      <c r="C6209" s="17" t="s">
        <v>11</v>
      </c>
      <c r="D6209" s="17" t="s">
        <v>544</v>
      </c>
      <c r="E6209" s="17" t="s">
        <v>20</v>
      </c>
      <c r="F6209" s="16" t="s">
        <v>18992</v>
      </c>
    </row>
    <row r="6210" spans="1:6" x14ac:dyDescent="0.25">
      <c r="A6210" s="16" t="s">
        <v>18993</v>
      </c>
      <c r="B6210" s="17" t="s">
        <v>18994</v>
      </c>
      <c r="C6210" s="17" t="s">
        <v>11</v>
      </c>
      <c r="D6210" s="17" t="s">
        <v>80</v>
      </c>
      <c r="E6210" s="17" t="s">
        <v>20</v>
      </c>
      <c r="F6210" s="16" t="s">
        <v>18995</v>
      </c>
    </row>
    <row r="6211" spans="1:6" x14ac:dyDescent="0.25">
      <c r="A6211" s="16" t="s">
        <v>18996</v>
      </c>
      <c r="B6211" s="17" t="s">
        <v>18997</v>
      </c>
      <c r="C6211" s="17" t="s">
        <v>11</v>
      </c>
      <c r="D6211" s="17" t="s">
        <v>148</v>
      </c>
      <c r="E6211" s="17" t="s">
        <v>20</v>
      </c>
      <c r="F6211" s="16" t="s">
        <v>18998</v>
      </c>
    </row>
    <row r="6212" spans="1:6" x14ac:dyDescent="0.25">
      <c r="A6212" s="16" t="s">
        <v>18999</v>
      </c>
      <c r="B6212" s="17" t="s">
        <v>19000</v>
      </c>
      <c r="C6212" s="17" t="s">
        <v>11</v>
      </c>
      <c r="D6212" s="17" t="s">
        <v>291</v>
      </c>
      <c r="E6212" s="17" t="s">
        <v>20</v>
      </c>
      <c r="F6212" s="16" t="s">
        <v>19001</v>
      </c>
    </row>
    <row r="6213" spans="1:6" x14ac:dyDescent="0.25">
      <c r="A6213" s="16" t="s">
        <v>19002</v>
      </c>
      <c r="B6213" s="17" t="s">
        <v>19003</v>
      </c>
      <c r="C6213" s="17" t="s">
        <v>11</v>
      </c>
      <c r="D6213" s="17" t="s">
        <v>32</v>
      </c>
      <c r="E6213" s="17" t="s">
        <v>20</v>
      </c>
      <c r="F6213" s="16" t="s">
        <v>19004</v>
      </c>
    </row>
    <row r="6214" spans="1:6" x14ac:dyDescent="0.25">
      <c r="A6214" s="16" t="s">
        <v>19005</v>
      </c>
      <c r="B6214" s="17" t="s">
        <v>19006</v>
      </c>
      <c r="C6214" s="17" t="s">
        <v>11</v>
      </c>
      <c r="D6214" s="17" t="s">
        <v>182</v>
      </c>
      <c r="E6214" s="17" t="s">
        <v>20</v>
      </c>
      <c r="F6214" s="16" t="s">
        <v>19007</v>
      </c>
    </row>
    <row r="6215" spans="1:6" x14ac:dyDescent="0.25">
      <c r="A6215" s="16" t="s">
        <v>19008</v>
      </c>
      <c r="B6215" s="17" t="s">
        <v>19009</v>
      </c>
      <c r="C6215" s="17" t="s">
        <v>11</v>
      </c>
      <c r="D6215" s="17" t="s">
        <v>182</v>
      </c>
      <c r="E6215" s="17" t="s">
        <v>20</v>
      </c>
      <c r="F6215" s="16" t="s">
        <v>19010</v>
      </c>
    </row>
    <row r="6216" spans="1:6" x14ac:dyDescent="0.25">
      <c r="A6216" s="16" t="s">
        <v>19011</v>
      </c>
      <c r="B6216" s="17" t="s">
        <v>19012</v>
      </c>
      <c r="C6216" s="17" t="s">
        <v>11</v>
      </c>
      <c r="D6216" s="17" t="s">
        <v>32</v>
      </c>
      <c r="E6216" s="17" t="s">
        <v>20</v>
      </c>
      <c r="F6216" s="16" t="s">
        <v>19013</v>
      </c>
    </row>
    <row r="6217" spans="1:6" x14ac:dyDescent="0.25">
      <c r="A6217" s="16" t="s">
        <v>19014</v>
      </c>
      <c r="B6217" s="17" t="s">
        <v>19015</v>
      </c>
      <c r="C6217" s="17" t="s">
        <v>11</v>
      </c>
      <c r="D6217" s="17" t="s">
        <v>32</v>
      </c>
      <c r="E6217" s="17" t="s">
        <v>20</v>
      </c>
      <c r="F6217" s="16" t="s">
        <v>19016</v>
      </c>
    </row>
    <row r="6218" spans="1:6" x14ac:dyDescent="0.25">
      <c r="A6218" s="16" t="s">
        <v>19017</v>
      </c>
      <c r="B6218" s="17" t="s">
        <v>19018</v>
      </c>
      <c r="C6218" s="17" t="s">
        <v>11</v>
      </c>
      <c r="D6218" s="17" t="s">
        <v>32</v>
      </c>
      <c r="E6218" s="17" t="s">
        <v>20</v>
      </c>
      <c r="F6218" s="16" t="s">
        <v>19019</v>
      </c>
    </row>
    <row r="6219" spans="1:6" x14ac:dyDescent="0.25">
      <c r="A6219" s="16" t="s">
        <v>19020</v>
      </c>
      <c r="B6219" s="17" t="s">
        <v>19021</v>
      </c>
      <c r="C6219" s="17" t="s">
        <v>11</v>
      </c>
      <c r="D6219" s="17" t="s">
        <v>26</v>
      </c>
      <c r="E6219" s="17" t="s">
        <v>20</v>
      </c>
      <c r="F6219" s="16" t="s">
        <v>19022</v>
      </c>
    </row>
    <row r="6220" spans="1:6" x14ac:dyDescent="0.25">
      <c r="A6220" s="16" t="s">
        <v>19023</v>
      </c>
      <c r="B6220" s="17" t="s">
        <v>19024</v>
      </c>
      <c r="C6220" s="17" t="s">
        <v>11</v>
      </c>
      <c r="D6220" s="17" t="s">
        <v>32</v>
      </c>
      <c r="E6220" s="17" t="s">
        <v>20</v>
      </c>
      <c r="F6220" s="16" t="s">
        <v>19025</v>
      </c>
    </row>
    <row r="6221" spans="1:6" x14ac:dyDescent="0.25">
      <c r="A6221" s="16" t="s">
        <v>19026</v>
      </c>
      <c r="B6221" s="17" t="s">
        <v>19027</v>
      </c>
      <c r="C6221" s="17" t="s">
        <v>11</v>
      </c>
      <c r="D6221" s="17" t="s">
        <v>26</v>
      </c>
      <c r="E6221" s="17" t="s">
        <v>20</v>
      </c>
      <c r="F6221" s="16" t="s">
        <v>19028</v>
      </c>
    </row>
    <row r="6222" spans="1:6" x14ac:dyDescent="0.25">
      <c r="A6222" s="16" t="s">
        <v>19029</v>
      </c>
      <c r="B6222" s="17" t="s">
        <v>19030</v>
      </c>
      <c r="C6222" s="17" t="s">
        <v>11</v>
      </c>
      <c r="D6222" s="17" t="s">
        <v>26</v>
      </c>
      <c r="E6222" s="17" t="s">
        <v>20</v>
      </c>
      <c r="F6222" s="16" t="s">
        <v>19031</v>
      </c>
    </row>
    <row r="6223" spans="1:6" x14ac:dyDescent="0.25">
      <c r="A6223" s="16" t="s">
        <v>19032</v>
      </c>
      <c r="B6223" s="17" t="s">
        <v>19033</v>
      </c>
      <c r="C6223" s="17" t="s">
        <v>11</v>
      </c>
      <c r="D6223" s="17" t="s">
        <v>32</v>
      </c>
      <c r="E6223" s="17" t="s">
        <v>20</v>
      </c>
      <c r="F6223" s="16" t="s">
        <v>19034</v>
      </c>
    </row>
    <row r="6224" spans="1:6" x14ac:dyDescent="0.25">
      <c r="A6224" s="16" t="s">
        <v>19035</v>
      </c>
      <c r="B6224" s="17" t="s">
        <v>19036</v>
      </c>
      <c r="C6224" s="17" t="s">
        <v>11</v>
      </c>
      <c r="D6224" s="17" t="s">
        <v>182</v>
      </c>
      <c r="E6224" s="17" t="s">
        <v>20</v>
      </c>
      <c r="F6224" s="16" t="s">
        <v>19037</v>
      </c>
    </row>
    <row r="6225" spans="1:6" x14ac:dyDescent="0.25">
      <c r="A6225" s="16" t="s">
        <v>19038</v>
      </c>
      <c r="B6225" s="17" t="s">
        <v>19039</v>
      </c>
      <c r="C6225" s="17" t="s">
        <v>11</v>
      </c>
      <c r="D6225" s="17" t="s">
        <v>32</v>
      </c>
      <c r="E6225" s="17" t="s">
        <v>20</v>
      </c>
      <c r="F6225" s="16" t="s">
        <v>19040</v>
      </c>
    </row>
    <row r="6226" spans="1:6" x14ac:dyDescent="0.25">
      <c r="A6226" s="16" t="s">
        <v>19041</v>
      </c>
      <c r="B6226" s="17" t="s">
        <v>19042</v>
      </c>
      <c r="C6226" s="17" t="s">
        <v>11</v>
      </c>
      <c r="D6226" s="17" t="s">
        <v>148</v>
      </c>
      <c r="E6226" s="17" t="s">
        <v>20</v>
      </c>
      <c r="F6226" s="16" t="s">
        <v>19043</v>
      </c>
    </row>
    <row r="6227" spans="1:6" x14ac:dyDescent="0.25">
      <c r="A6227" s="16" t="s">
        <v>19044</v>
      </c>
      <c r="B6227" s="17" t="s">
        <v>19045</v>
      </c>
      <c r="C6227" s="17" t="s">
        <v>11</v>
      </c>
      <c r="D6227" s="17" t="s">
        <v>83</v>
      </c>
      <c r="E6227" s="17" t="s">
        <v>20</v>
      </c>
      <c r="F6227" s="16" t="s">
        <v>19046</v>
      </c>
    </row>
    <row r="6228" spans="1:6" x14ac:dyDescent="0.25">
      <c r="A6228" s="16" t="s">
        <v>19047</v>
      </c>
      <c r="B6228" s="17" t="s">
        <v>19048</v>
      </c>
      <c r="C6228" s="17" t="s">
        <v>11</v>
      </c>
      <c r="D6228" s="17" t="s">
        <v>32</v>
      </c>
      <c r="E6228" s="17" t="s">
        <v>20</v>
      </c>
      <c r="F6228" s="16" t="s">
        <v>19049</v>
      </c>
    </row>
    <row r="6229" spans="1:6" x14ac:dyDescent="0.25">
      <c r="A6229" s="16" t="s">
        <v>19050</v>
      </c>
      <c r="B6229" s="17" t="s">
        <v>19051</v>
      </c>
      <c r="C6229" s="17" t="s">
        <v>11</v>
      </c>
      <c r="D6229" s="17" t="s">
        <v>32</v>
      </c>
      <c r="E6229" s="17" t="s">
        <v>20</v>
      </c>
      <c r="F6229" s="16" t="s">
        <v>19052</v>
      </c>
    </row>
    <row r="6230" spans="1:6" x14ac:dyDescent="0.25">
      <c r="A6230" s="16" t="s">
        <v>19053</v>
      </c>
      <c r="B6230" s="17" t="s">
        <v>19054</v>
      </c>
      <c r="C6230" s="17" t="s">
        <v>11</v>
      </c>
      <c r="D6230" s="17" t="s">
        <v>89</v>
      </c>
      <c r="E6230" s="17" t="s">
        <v>20</v>
      </c>
      <c r="F6230" s="16" t="s">
        <v>19055</v>
      </c>
    </row>
    <row r="6231" spans="1:6" x14ac:dyDescent="0.25">
      <c r="A6231" s="16" t="s">
        <v>19056</v>
      </c>
      <c r="B6231" s="17" t="s">
        <v>19057</v>
      </c>
      <c r="C6231" s="17" t="s">
        <v>1235</v>
      </c>
      <c r="D6231" s="17" t="s">
        <v>10860</v>
      </c>
      <c r="E6231" s="17" t="s">
        <v>1237</v>
      </c>
      <c r="F6231" s="16" t="s">
        <v>19058</v>
      </c>
    </row>
    <row r="6232" spans="1:6" x14ac:dyDescent="0.25">
      <c r="A6232" s="16" t="s">
        <v>19059</v>
      </c>
      <c r="B6232" s="17" t="s">
        <v>19060</v>
      </c>
      <c r="C6232" s="17" t="s">
        <v>11</v>
      </c>
      <c r="D6232" s="17" t="s">
        <v>148</v>
      </c>
      <c r="E6232" s="17" t="s">
        <v>20</v>
      </c>
      <c r="F6232" s="16" t="s">
        <v>19061</v>
      </c>
    </row>
    <row r="6233" spans="1:6" x14ac:dyDescent="0.25">
      <c r="A6233" s="16" t="s">
        <v>19062</v>
      </c>
      <c r="B6233" s="17" t="s">
        <v>19063</v>
      </c>
      <c r="C6233" s="17" t="s">
        <v>1235</v>
      </c>
      <c r="D6233" s="17" t="s">
        <v>3377</v>
      </c>
      <c r="E6233" s="17" t="s">
        <v>1237</v>
      </c>
      <c r="F6233" s="16" t="s">
        <v>19064</v>
      </c>
    </row>
    <row r="6234" spans="1:6" x14ac:dyDescent="0.25">
      <c r="A6234" s="16" t="s">
        <v>19065</v>
      </c>
      <c r="B6234" s="17" t="s">
        <v>19066</v>
      </c>
      <c r="C6234" s="17" t="s">
        <v>11</v>
      </c>
      <c r="D6234" s="17" t="s">
        <v>32</v>
      </c>
      <c r="E6234" s="17" t="s">
        <v>20</v>
      </c>
      <c r="F6234" s="16" t="s">
        <v>19067</v>
      </c>
    </row>
    <row r="6235" spans="1:6" x14ac:dyDescent="0.25">
      <c r="A6235" s="16" t="s">
        <v>19068</v>
      </c>
      <c r="B6235" s="17" t="s">
        <v>19069</v>
      </c>
      <c r="C6235" s="17" t="s">
        <v>11</v>
      </c>
      <c r="D6235" s="17" t="s">
        <v>32</v>
      </c>
      <c r="E6235" s="17" t="s">
        <v>20</v>
      </c>
      <c r="F6235" s="16" t="s">
        <v>19070</v>
      </c>
    </row>
    <row r="6236" spans="1:6" x14ac:dyDescent="0.25">
      <c r="A6236" s="16" t="s">
        <v>19071</v>
      </c>
      <c r="B6236" s="17" t="s">
        <v>19072</v>
      </c>
      <c r="C6236" s="17" t="s">
        <v>11</v>
      </c>
      <c r="D6236" s="17" t="s">
        <v>32</v>
      </c>
      <c r="E6236" s="17" t="s">
        <v>20</v>
      </c>
      <c r="F6236" s="16" t="s">
        <v>19073</v>
      </c>
    </row>
    <row r="6237" spans="1:6" x14ac:dyDescent="0.25">
      <c r="A6237" s="16" t="s">
        <v>19074</v>
      </c>
      <c r="B6237" s="17" t="s">
        <v>19075</v>
      </c>
      <c r="C6237" s="17" t="s">
        <v>11</v>
      </c>
      <c r="D6237" s="17" t="s">
        <v>32</v>
      </c>
      <c r="E6237" s="17" t="s">
        <v>20</v>
      </c>
      <c r="F6237" s="16" t="s">
        <v>19076</v>
      </c>
    </row>
    <row r="6238" spans="1:6" x14ac:dyDescent="0.25">
      <c r="A6238" s="16" t="s">
        <v>19077</v>
      </c>
      <c r="B6238" s="17" t="s">
        <v>19078</v>
      </c>
      <c r="C6238" s="17" t="s">
        <v>11</v>
      </c>
      <c r="D6238" s="17" t="s">
        <v>32</v>
      </c>
      <c r="E6238" s="17" t="s">
        <v>20</v>
      </c>
      <c r="F6238" s="16" t="s">
        <v>19079</v>
      </c>
    </row>
    <row r="6239" spans="1:6" x14ac:dyDescent="0.25">
      <c r="A6239" s="16" t="s">
        <v>19080</v>
      </c>
      <c r="B6239" s="17" t="s">
        <v>19081</v>
      </c>
      <c r="C6239" s="17" t="s">
        <v>11</v>
      </c>
      <c r="D6239" s="17" t="s">
        <v>32</v>
      </c>
      <c r="E6239" s="17" t="s">
        <v>20</v>
      </c>
      <c r="F6239" s="16" t="s">
        <v>19082</v>
      </c>
    </row>
    <row r="6240" spans="1:6" x14ac:dyDescent="0.25">
      <c r="A6240" s="16" t="s">
        <v>19083</v>
      </c>
      <c r="B6240" s="17" t="s">
        <v>19084</v>
      </c>
      <c r="C6240" s="17" t="s">
        <v>11</v>
      </c>
      <c r="D6240" s="17" t="s">
        <v>32</v>
      </c>
      <c r="E6240" s="17" t="s">
        <v>20</v>
      </c>
      <c r="F6240" s="16" t="s">
        <v>19085</v>
      </c>
    </row>
    <row r="6241" spans="1:6" x14ac:dyDescent="0.25">
      <c r="A6241" s="16" t="s">
        <v>19086</v>
      </c>
      <c r="B6241" s="17" t="s">
        <v>19087</v>
      </c>
      <c r="C6241" s="17" t="s">
        <v>11</v>
      </c>
      <c r="D6241" s="17" t="s">
        <v>32</v>
      </c>
      <c r="E6241" s="17" t="s">
        <v>20</v>
      </c>
      <c r="F6241" s="16" t="s">
        <v>19088</v>
      </c>
    </row>
    <row r="6242" spans="1:6" x14ac:dyDescent="0.25">
      <c r="A6242" s="16" t="s">
        <v>19089</v>
      </c>
      <c r="B6242" s="17" t="s">
        <v>19090</v>
      </c>
      <c r="C6242" s="17" t="s">
        <v>11</v>
      </c>
      <c r="D6242" s="17" t="s">
        <v>32</v>
      </c>
      <c r="E6242" s="17" t="s">
        <v>20</v>
      </c>
      <c r="F6242" s="16" t="s">
        <v>19091</v>
      </c>
    </row>
    <row r="6243" spans="1:6" x14ac:dyDescent="0.25">
      <c r="A6243" s="16" t="s">
        <v>19092</v>
      </c>
      <c r="B6243" s="17" t="s">
        <v>19093</v>
      </c>
      <c r="C6243" s="17" t="s">
        <v>11</v>
      </c>
      <c r="D6243" s="17" t="s">
        <v>83</v>
      </c>
      <c r="E6243" s="17" t="s">
        <v>20</v>
      </c>
      <c r="F6243" s="16" t="s">
        <v>19094</v>
      </c>
    </row>
    <row r="6244" spans="1:6" x14ac:dyDescent="0.25">
      <c r="A6244" s="16" t="s">
        <v>19095</v>
      </c>
      <c r="B6244" s="17" t="s">
        <v>19096</v>
      </c>
      <c r="C6244" s="17" t="s">
        <v>11</v>
      </c>
      <c r="D6244" s="17" t="s">
        <v>32</v>
      </c>
      <c r="E6244" s="17" t="s">
        <v>20</v>
      </c>
      <c r="F6244" s="16" t="s">
        <v>19097</v>
      </c>
    </row>
    <row r="6245" spans="1:6" x14ac:dyDescent="0.25">
      <c r="A6245" s="16" t="s">
        <v>19098</v>
      </c>
      <c r="B6245" s="17" t="s">
        <v>19099</v>
      </c>
      <c r="C6245" s="17" t="s">
        <v>11</v>
      </c>
      <c r="D6245" s="17" t="s">
        <v>83</v>
      </c>
      <c r="E6245" s="17" t="s">
        <v>20</v>
      </c>
      <c r="F6245" s="16" t="s">
        <v>19100</v>
      </c>
    </row>
    <row r="6246" spans="1:6" x14ac:dyDescent="0.25">
      <c r="A6246" s="16" t="s">
        <v>19101</v>
      </c>
      <c r="B6246" s="17" t="s">
        <v>19102</v>
      </c>
      <c r="C6246" s="17" t="s">
        <v>11</v>
      </c>
      <c r="D6246" s="17" t="s">
        <v>1337</v>
      </c>
      <c r="E6246" s="17" t="s">
        <v>1299</v>
      </c>
      <c r="F6246" s="16" t="s">
        <v>19103</v>
      </c>
    </row>
    <row r="6247" spans="1:6" x14ac:dyDescent="0.25">
      <c r="A6247" s="16" t="s">
        <v>19104</v>
      </c>
      <c r="B6247" s="17" t="s">
        <v>19105</v>
      </c>
      <c r="C6247" s="17" t="s">
        <v>11</v>
      </c>
      <c r="D6247" s="17" t="s">
        <v>83</v>
      </c>
      <c r="E6247" s="17" t="s">
        <v>20</v>
      </c>
      <c r="F6247" s="16" t="s">
        <v>19106</v>
      </c>
    </row>
    <row r="6248" spans="1:6" x14ac:dyDescent="0.25">
      <c r="A6248" s="16" t="s">
        <v>19107</v>
      </c>
      <c r="B6248" s="17" t="s">
        <v>19108</v>
      </c>
      <c r="C6248" s="17" t="s">
        <v>11</v>
      </c>
      <c r="D6248" s="17" t="s">
        <v>83</v>
      </c>
      <c r="E6248" s="17" t="s">
        <v>20</v>
      </c>
      <c r="F6248" s="16" t="s">
        <v>19109</v>
      </c>
    </row>
    <row r="6249" spans="1:6" x14ac:dyDescent="0.25">
      <c r="A6249" s="16" t="s">
        <v>19110</v>
      </c>
      <c r="B6249" s="17" t="s">
        <v>19111</v>
      </c>
      <c r="C6249" s="17" t="s">
        <v>11</v>
      </c>
      <c r="D6249" s="17" t="s">
        <v>26</v>
      </c>
      <c r="E6249" s="17" t="s">
        <v>20</v>
      </c>
      <c r="F6249" s="16" t="s">
        <v>19112</v>
      </c>
    </row>
    <row r="6250" spans="1:6" x14ac:dyDescent="0.25">
      <c r="A6250" s="16" t="s">
        <v>19113</v>
      </c>
      <c r="B6250" s="17" t="s">
        <v>19114</v>
      </c>
      <c r="C6250" s="17" t="s">
        <v>11</v>
      </c>
      <c r="D6250" s="17" t="s">
        <v>32</v>
      </c>
      <c r="E6250" s="17" t="s">
        <v>20</v>
      </c>
      <c r="F6250" s="16" t="s">
        <v>19115</v>
      </c>
    </row>
    <row r="6251" spans="1:6" x14ac:dyDescent="0.25">
      <c r="A6251" s="16" t="s">
        <v>19116</v>
      </c>
      <c r="B6251" s="17" t="s">
        <v>19117</v>
      </c>
      <c r="C6251" s="17" t="s">
        <v>11</v>
      </c>
      <c r="D6251" s="17" t="s">
        <v>83</v>
      </c>
      <c r="E6251" s="17" t="s">
        <v>20</v>
      </c>
      <c r="F6251" s="16" t="s">
        <v>19118</v>
      </c>
    </row>
    <row r="6252" spans="1:6" x14ac:dyDescent="0.25">
      <c r="A6252" s="16" t="s">
        <v>19119</v>
      </c>
      <c r="B6252" s="17" t="s">
        <v>19120</v>
      </c>
      <c r="C6252" s="17" t="s">
        <v>11</v>
      </c>
      <c r="D6252" s="17" t="s">
        <v>32</v>
      </c>
      <c r="E6252" s="17" t="s">
        <v>20</v>
      </c>
      <c r="F6252" s="16" t="s">
        <v>19121</v>
      </c>
    </row>
    <row r="6253" spans="1:6" x14ac:dyDescent="0.25">
      <c r="A6253" s="16" t="s">
        <v>19122</v>
      </c>
      <c r="B6253" s="17" t="s">
        <v>19123</v>
      </c>
      <c r="C6253" s="17" t="s">
        <v>214</v>
      </c>
      <c r="D6253" s="17" t="s">
        <v>32</v>
      </c>
      <c r="E6253" s="17" t="s">
        <v>20</v>
      </c>
      <c r="F6253" s="16" t="s">
        <v>19124</v>
      </c>
    </row>
    <row r="6254" spans="1:6" x14ac:dyDescent="0.25">
      <c r="A6254" s="16" t="s">
        <v>19125</v>
      </c>
      <c r="B6254" s="17" t="s">
        <v>19126</v>
      </c>
      <c r="C6254" s="17" t="s">
        <v>11</v>
      </c>
      <c r="D6254" s="17" t="s">
        <v>83</v>
      </c>
      <c r="E6254" s="17" t="s">
        <v>20</v>
      </c>
      <c r="F6254" s="16" t="s">
        <v>19127</v>
      </c>
    </row>
    <row r="6255" spans="1:6" x14ac:dyDescent="0.25">
      <c r="A6255" s="16" t="s">
        <v>19128</v>
      </c>
      <c r="B6255" s="17" t="s">
        <v>19129</v>
      </c>
      <c r="C6255" s="17" t="s">
        <v>11</v>
      </c>
      <c r="D6255" s="17" t="s">
        <v>83</v>
      </c>
      <c r="E6255" s="17" t="s">
        <v>20</v>
      </c>
      <c r="F6255" s="16" t="s">
        <v>19130</v>
      </c>
    </row>
    <row r="6256" spans="1:6" x14ac:dyDescent="0.25">
      <c r="A6256" s="16" t="s">
        <v>19131</v>
      </c>
      <c r="B6256" s="17" t="s">
        <v>19132</v>
      </c>
      <c r="C6256" s="17" t="s">
        <v>11</v>
      </c>
      <c r="D6256" s="17" t="s">
        <v>83</v>
      </c>
      <c r="E6256" s="17" t="s">
        <v>20</v>
      </c>
      <c r="F6256" s="16" t="s">
        <v>19133</v>
      </c>
    </row>
    <row r="6257" spans="1:6" x14ac:dyDescent="0.25">
      <c r="A6257" s="16" t="s">
        <v>19134</v>
      </c>
      <c r="B6257" s="17" t="s">
        <v>19135</v>
      </c>
      <c r="C6257" s="17" t="s">
        <v>11</v>
      </c>
      <c r="D6257" s="17" t="s">
        <v>32</v>
      </c>
      <c r="E6257" s="17" t="s">
        <v>20</v>
      </c>
      <c r="F6257" s="16" t="s">
        <v>19136</v>
      </c>
    </row>
    <row r="6258" spans="1:6" x14ac:dyDescent="0.25">
      <c r="A6258" s="16" t="s">
        <v>19137</v>
      </c>
      <c r="B6258" s="17" t="s">
        <v>19138</v>
      </c>
      <c r="C6258" s="17" t="s">
        <v>11</v>
      </c>
      <c r="D6258" s="17" t="s">
        <v>32</v>
      </c>
      <c r="E6258" s="17" t="s">
        <v>20</v>
      </c>
      <c r="F6258" s="16" t="s">
        <v>19139</v>
      </c>
    </row>
    <row r="6259" spans="1:6" x14ac:dyDescent="0.25">
      <c r="A6259" s="16" t="s">
        <v>19140</v>
      </c>
      <c r="B6259" s="17" t="s">
        <v>19141</v>
      </c>
      <c r="C6259" s="17" t="s">
        <v>11</v>
      </c>
      <c r="D6259" s="17" t="s">
        <v>32</v>
      </c>
      <c r="E6259" s="17" t="s">
        <v>20</v>
      </c>
      <c r="F6259" s="16" t="s">
        <v>19142</v>
      </c>
    </row>
    <row r="6260" spans="1:6" x14ac:dyDescent="0.25">
      <c r="A6260" s="16" t="s">
        <v>19143</v>
      </c>
      <c r="B6260" s="17" t="s">
        <v>19144</v>
      </c>
      <c r="C6260" s="17" t="s">
        <v>11</v>
      </c>
      <c r="D6260" s="17" t="s">
        <v>83</v>
      </c>
      <c r="E6260" s="17" t="s">
        <v>20</v>
      </c>
      <c r="F6260" s="16" t="s">
        <v>19145</v>
      </c>
    </row>
    <row r="6261" spans="1:6" x14ac:dyDescent="0.25">
      <c r="A6261" s="16" t="s">
        <v>19146</v>
      </c>
      <c r="B6261" s="17" t="s">
        <v>19147</v>
      </c>
      <c r="C6261" s="17" t="s">
        <v>11</v>
      </c>
      <c r="D6261" s="17" t="s">
        <v>83</v>
      </c>
      <c r="E6261" s="17" t="s">
        <v>20</v>
      </c>
      <c r="F6261" s="16" t="s">
        <v>19148</v>
      </c>
    </row>
    <row r="6262" spans="1:6" x14ac:dyDescent="0.25">
      <c r="A6262" s="16" t="s">
        <v>19149</v>
      </c>
      <c r="B6262" s="17" t="s">
        <v>19150</v>
      </c>
      <c r="C6262" s="17" t="s">
        <v>11</v>
      </c>
      <c r="D6262" s="17" t="s">
        <v>83</v>
      </c>
      <c r="E6262" s="17" t="s">
        <v>20</v>
      </c>
      <c r="F6262" s="16" t="s">
        <v>19151</v>
      </c>
    </row>
    <row r="6263" spans="1:6" x14ac:dyDescent="0.25">
      <c r="A6263" s="16" t="s">
        <v>19152</v>
      </c>
      <c r="B6263" s="17" t="s">
        <v>19153</v>
      </c>
      <c r="C6263" s="17" t="s">
        <v>11</v>
      </c>
      <c r="D6263" s="17" t="s">
        <v>32</v>
      </c>
      <c r="E6263" s="17" t="s">
        <v>20</v>
      </c>
      <c r="F6263" s="16" t="s">
        <v>19154</v>
      </c>
    </row>
    <row r="6264" spans="1:6" x14ac:dyDescent="0.25">
      <c r="A6264" s="16" t="s">
        <v>19155</v>
      </c>
      <c r="B6264" s="17" t="s">
        <v>19156</v>
      </c>
      <c r="C6264" s="17" t="s">
        <v>11</v>
      </c>
      <c r="D6264" s="17" t="s">
        <v>83</v>
      </c>
      <c r="E6264" s="17" t="s">
        <v>20</v>
      </c>
      <c r="F6264" s="16" t="s">
        <v>19157</v>
      </c>
    </row>
    <row r="6265" spans="1:6" x14ac:dyDescent="0.25">
      <c r="A6265" s="16" t="s">
        <v>19158</v>
      </c>
      <c r="B6265" s="17" t="s">
        <v>19159</v>
      </c>
      <c r="C6265" s="17" t="s">
        <v>11</v>
      </c>
      <c r="D6265" s="17" t="s">
        <v>32</v>
      </c>
      <c r="E6265" s="17" t="s">
        <v>20</v>
      </c>
      <c r="F6265" s="16" t="s">
        <v>19160</v>
      </c>
    </row>
    <row r="6266" spans="1:6" x14ac:dyDescent="0.25">
      <c r="A6266" s="16" t="s">
        <v>19161</v>
      </c>
      <c r="B6266" s="17" t="s">
        <v>19162</v>
      </c>
      <c r="C6266" s="17" t="s">
        <v>11</v>
      </c>
      <c r="D6266" s="17" t="s">
        <v>32</v>
      </c>
      <c r="E6266" s="17" t="s">
        <v>20</v>
      </c>
      <c r="F6266" s="16" t="s">
        <v>19163</v>
      </c>
    </row>
    <row r="6267" spans="1:6" x14ac:dyDescent="0.25">
      <c r="A6267" s="16" t="s">
        <v>19164</v>
      </c>
      <c r="B6267" s="17" t="s">
        <v>19165</v>
      </c>
      <c r="C6267" s="17" t="s">
        <v>11</v>
      </c>
      <c r="D6267" s="17" t="s">
        <v>544</v>
      </c>
      <c r="E6267" s="17" t="s">
        <v>20</v>
      </c>
      <c r="F6267" s="16" t="s">
        <v>19166</v>
      </c>
    </row>
    <row r="6268" spans="1:6" x14ac:dyDescent="0.25">
      <c r="A6268" s="16" t="s">
        <v>19167</v>
      </c>
      <c r="B6268" s="17" t="s">
        <v>19168</v>
      </c>
      <c r="C6268" s="17" t="s">
        <v>11</v>
      </c>
      <c r="D6268" s="17" t="s">
        <v>83</v>
      </c>
      <c r="E6268" s="17" t="s">
        <v>20</v>
      </c>
      <c r="F6268" s="16" t="s">
        <v>19169</v>
      </c>
    </row>
    <row r="6269" spans="1:6" x14ac:dyDescent="0.25">
      <c r="A6269" s="16" t="s">
        <v>19170</v>
      </c>
      <c r="B6269" s="17" t="s">
        <v>19171</v>
      </c>
      <c r="C6269" s="17" t="s">
        <v>11</v>
      </c>
      <c r="D6269" s="17" t="s">
        <v>26</v>
      </c>
      <c r="E6269" s="17" t="s">
        <v>20</v>
      </c>
      <c r="F6269" s="16" t="s">
        <v>19172</v>
      </c>
    </row>
    <row r="6270" spans="1:6" x14ac:dyDescent="0.25">
      <c r="A6270" s="16" t="s">
        <v>19173</v>
      </c>
      <c r="B6270" s="17" t="s">
        <v>19174</v>
      </c>
      <c r="C6270" s="17" t="s">
        <v>11</v>
      </c>
      <c r="D6270" s="17" t="s">
        <v>148</v>
      </c>
      <c r="E6270" s="17" t="s">
        <v>20</v>
      </c>
      <c r="F6270" s="16" t="s">
        <v>19175</v>
      </c>
    </row>
    <row r="6271" spans="1:6" x14ac:dyDescent="0.25">
      <c r="A6271" s="16" t="s">
        <v>19176</v>
      </c>
      <c r="B6271" s="17" t="s">
        <v>19177</v>
      </c>
      <c r="C6271" s="17" t="s">
        <v>11</v>
      </c>
      <c r="D6271" s="17" t="s">
        <v>83</v>
      </c>
      <c r="E6271" s="17" t="s">
        <v>20</v>
      </c>
      <c r="F6271" s="16" t="s">
        <v>19178</v>
      </c>
    </row>
    <row r="6272" spans="1:6" x14ac:dyDescent="0.25">
      <c r="A6272" s="16" t="s">
        <v>19179</v>
      </c>
      <c r="B6272" s="17" t="s">
        <v>19180</v>
      </c>
      <c r="C6272" s="17" t="s">
        <v>11</v>
      </c>
      <c r="D6272" s="17" t="s">
        <v>32</v>
      </c>
      <c r="E6272" s="17" t="s">
        <v>20</v>
      </c>
      <c r="F6272" s="16" t="s">
        <v>19181</v>
      </c>
    </row>
    <row r="6273" spans="1:6" x14ac:dyDescent="0.25">
      <c r="A6273" s="16" t="s">
        <v>19182</v>
      </c>
      <c r="B6273" s="17" t="s">
        <v>19183</v>
      </c>
      <c r="C6273" s="17" t="s">
        <v>11</v>
      </c>
      <c r="D6273" s="17" t="s">
        <v>26</v>
      </c>
      <c r="E6273" s="17" t="s">
        <v>20</v>
      </c>
      <c r="F6273" s="16" t="s">
        <v>19184</v>
      </c>
    </row>
    <row r="6274" spans="1:6" x14ac:dyDescent="0.25">
      <c r="A6274" s="16" t="s">
        <v>19185</v>
      </c>
      <c r="B6274" s="17" t="s">
        <v>19186</v>
      </c>
      <c r="C6274" s="17" t="s">
        <v>11</v>
      </c>
      <c r="D6274" s="17" t="s">
        <v>32</v>
      </c>
      <c r="E6274" s="17" t="s">
        <v>20</v>
      </c>
      <c r="F6274" s="16" t="s">
        <v>19187</v>
      </c>
    </row>
    <row r="6275" spans="1:6" x14ac:dyDescent="0.25">
      <c r="A6275" s="16" t="s">
        <v>19188</v>
      </c>
      <c r="B6275" s="17" t="s">
        <v>19189</v>
      </c>
      <c r="C6275" s="17" t="s">
        <v>11</v>
      </c>
      <c r="D6275" s="17" t="s">
        <v>83</v>
      </c>
      <c r="E6275" s="17" t="s">
        <v>20</v>
      </c>
      <c r="F6275" s="16" t="s">
        <v>19190</v>
      </c>
    </row>
    <row r="6276" spans="1:6" x14ac:dyDescent="0.25">
      <c r="A6276" s="16" t="s">
        <v>19191</v>
      </c>
      <c r="B6276" s="17" t="s">
        <v>19192</v>
      </c>
      <c r="C6276" s="17" t="s">
        <v>11</v>
      </c>
      <c r="D6276" s="17" t="s">
        <v>32</v>
      </c>
      <c r="E6276" s="17" t="s">
        <v>20</v>
      </c>
      <c r="F6276" s="16" t="s">
        <v>19193</v>
      </c>
    </row>
    <row r="6277" spans="1:6" x14ac:dyDescent="0.25">
      <c r="A6277" s="16" t="s">
        <v>19194</v>
      </c>
      <c r="B6277" s="17" t="s">
        <v>19195</v>
      </c>
      <c r="C6277" s="17" t="s">
        <v>11</v>
      </c>
      <c r="D6277" s="17" t="s">
        <v>32</v>
      </c>
      <c r="E6277" s="17" t="s">
        <v>20</v>
      </c>
      <c r="F6277" s="16" t="s">
        <v>19196</v>
      </c>
    </row>
    <row r="6278" spans="1:6" x14ac:dyDescent="0.25">
      <c r="A6278" s="16" t="s">
        <v>19197</v>
      </c>
      <c r="B6278" s="17" t="s">
        <v>19198</v>
      </c>
      <c r="C6278" s="17" t="s">
        <v>11</v>
      </c>
      <c r="D6278" s="17" t="s">
        <v>32</v>
      </c>
      <c r="E6278" s="17" t="s">
        <v>20</v>
      </c>
      <c r="F6278" s="16" t="s">
        <v>19199</v>
      </c>
    </row>
    <row r="6279" spans="1:6" x14ac:dyDescent="0.25">
      <c r="A6279" s="16" t="s">
        <v>19200</v>
      </c>
      <c r="B6279" s="17" t="s">
        <v>19201</v>
      </c>
      <c r="C6279" s="17" t="s">
        <v>11</v>
      </c>
      <c r="D6279" s="17" t="s">
        <v>83</v>
      </c>
      <c r="E6279" s="17" t="s">
        <v>20</v>
      </c>
      <c r="F6279" s="16" t="s">
        <v>19202</v>
      </c>
    </row>
    <row r="6280" spans="1:6" x14ac:dyDescent="0.25">
      <c r="A6280" s="16" t="s">
        <v>19203</v>
      </c>
      <c r="B6280" s="17" t="s">
        <v>19204</v>
      </c>
      <c r="C6280" s="17" t="s">
        <v>11</v>
      </c>
      <c r="D6280" s="17" t="s">
        <v>32</v>
      </c>
      <c r="E6280" s="17" t="s">
        <v>20</v>
      </c>
      <c r="F6280" s="16" t="s">
        <v>19205</v>
      </c>
    </row>
    <row r="6281" spans="1:6" x14ac:dyDescent="0.25">
      <c r="A6281" s="16" t="s">
        <v>19206</v>
      </c>
      <c r="B6281" s="17" t="s">
        <v>19207</v>
      </c>
      <c r="C6281" s="17" t="s">
        <v>11</v>
      </c>
      <c r="D6281" s="17" t="s">
        <v>83</v>
      </c>
      <c r="E6281" s="17" t="s">
        <v>20</v>
      </c>
      <c r="F6281" s="16" t="s">
        <v>19208</v>
      </c>
    </row>
    <row r="6282" spans="1:6" x14ac:dyDescent="0.25">
      <c r="A6282" s="16" t="s">
        <v>19209</v>
      </c>
      <c r="B6282" s="17" t="s">
        <v>19210</v>
      </c>
      <c r="C6282" s="17" t="s">
        <v>11</v>
      </c>
      <c r="D6282" s="17" t="s">
        <v>32</v>
      </c>
      <c r="E6282" s="17" t="s">
        <v>20</v>
      </c>
      <c r="F6282" s="16" t="s">
        <v>19211</v>
      </c>
    </row>
    <row r="6283" spans="1:6" x14ac:dyDescent="0.25">
      <c r="A6283" s="16" t="s">
        <v>19212</v>
      </c>
      <c r="B6283" s="17" t="s">
        <v>19213</v>
      </c>
      <c r="C6283" s="17" t="s">
        <v>11</v>
      </c>
      <c r="D6283" s="17" t="s">
        <v>32</v>
      </c>
      <c r="E6283" s="17" t="s">
        <v>20</v>
      </c>
      <c r="F6283" s="16" t="s">
        <v>19214</v>
      </c>
    </row>
    <row r="6284" spans="1:6" x14ac:dyDescent="0.25">
      <c r="A6284" s="16" t="s">
        <v>19215</v>
      </c>
      <c r="B6284" s="17" t="s">
        <v>19216</v>
      </c>
      <c r="C6284" s="17" t="s">
        <v>11</v>
      </c>
      <c r="D6284" s="17" t="s">
        <v>32</v>
      </c>
      <c r="E6284" s="17" t="s">
        <v>20</v>
      </c>
      <c r="F6284" s="16" t="s">
        <v>19217</v>
      </c>
    </row>
    <row r="6285" spans="1:6" x14ac:dyDescent="0.25">
      <c r="A6285" s="16" t="s">
        <v>19218</v>
      </c>
      <c r="B6285" s="17" t="s">
        <v>19219</v>
      </c>
      <c r="C6285" s="17" t="s">
        <v>11</v>
      </c>
      <c r="D6285" s="17" t="s">
        <v>26</v>
      </c>
      <c r="E6285" s="17" t="s">
        <v>20</v>
      </c>
      <c r="F6285" s="16" t="s">
        <v>19220</v>
      </c>
    </row>
    <row r="6286" spans="1:6" x14ac:dyDescent="0.25">
      <c r="A6286" s="16" t="s">
        <v>19221</v>
      </c>
      <c r="B6286" s="17" t="s">
        <v>19222</v>
      </c>
      <c r="C6286" s="17" t="s">
        <v>11</v>
      </c>
      <c r="D6286" s="17" t="s">
        <v>148</v>
      </c>
      <c r="E6286" s="17" t="s">
        <v>20</v>
      </c>
      <c r="F6286" s="16" t="s">
        <v>19223</v>
      </c>
    </row>
    <row r="6287" spans="1:6" x14ac:dyDescent="0.25">
      <c r="A6287" s="16" t="s">
        <v>19224</v>
      </c>
      <c r="B6287" s="17" t="s">
        <v>19225</v>
      </c>
      <c r="C6287" s="17" t="s">
        <v>11</v>
      </c>
      <c r="D6287" s="17" t="s">
        <v>32</v>
      </c>
      <c r="E6287" s="17" t="s">
        <v>20</v>
      </c>
      <c r="F6287" s="16" t="s">
        <v>19226</v>
      </c>
    </row>
    <row r="6288" spans="1:6" x14ac:dyDescent="0.25">
      <c r="A6288" s="16" t="s">
        <v>19227</v>
      </c>
      <c r="B6288" s="17" t="s">
        <v>19228</v>
      </c>
      <c r="C6288" s="17" t="s">
        <v>11</v>
      </c>
      <c r="D6288" s="17" t="s">
        <v>32</v>
      </c>
      <c r="E6288" s="17" t="s">
        <v>20</v>
      </c>
      <c r="F6288" s="16" t="s">
        <v>19229</v>
      </c>
    </row>
    <row r="6289" spans="1:6" x14ac:dyDescent="0.25">
      <c r="A6289" s="16" t="s">
        <v>19230</v>
      </c>
      <c r="B6289" s="17" t="s">
        <v>19231</v>
      </c>
      <c r="C6289" s="17" t="s">
        <v>11</v>
      </c>
      <c r="D6289" s="17" t="s">
        <v>148</v>
      </c>
      <c r="E6289" s="17" t="s">
        <v>20</v>
      </c>
      <c r="F6289" s="16" t="s">
        <v>19232</v>
      </c>
    </row>
    <row r="6290" spans="1:6" x14ac:dyDescent="0.25">
      <c r="A6290" s="16" t="s">
        <v>19233</v>
      </c>
      <c r="B6290" s="17" t="s">
        <v>19234</v>
      </c>
      <c r="C6290" s="17" t="s">
        <v>11</v>
      </c>
      <c r="D6290" s="17" t="s">
        <v>32</v>
      </c>
      <c r="E6290" s="17" t="s">
        <v>20</v>
      </c>
      <c r="F6290" s="16" t="s">
        <v>19235</v>
      </c>
    </row>
    <row r="6291" spans="1:6" x14ac:dyDescent="0.25">
      <c r="A6291" s="16" t="s">
        <v>19236</v>
      </c>
      <c r="B6291" s="17" t="s">
        <v>19237</v>
      </c>
      <c r="C6291" s="17" t="s">
        <v>11</v>
      </c>
      <c r="D6291" s="17" t="s">
        <v>26</v>
      </c>
      <c r="E6291" s="17" t="s">
        <v>20</v>
      </c>
      <c r="F6291" s="16" t="s">
        <v>19238</v>
      </c>
    </row>
    <row r="6292" spans="1:6" x14ac:dyDescent="0.25">
      <c r="A6292" s="16" t="s">
        <v>19239</v>
      </c>
      <c r="B6292" s="17" t="s">
        <v>19240</v>
      </c>
      <c r="C6292" s="17" t="s">
        <v>11</v>
      </c>
      <c r="D6292" s="17" t="s">
        <v>3463</v>
      </c>
      <c r="E6292" s="17" t="s">
        <v>1299</v>
      </c>
      <c r="F6292" s="16" t="s">
        <v>19241</v>
      </c>
    </row>
    <row r="6293" spans="1:6" x14ac:dyDescent="0.25">
      <c r="A6293" s="16" t="s">
        <v>19242</v>
      </c>
      <c r="B6293" s="17" t="s">
        <v>19243</v>
      </c>
      <c r="C6293" s="17" t="s">
        <v>11</v>
      </c>
      <c r="D6293" s="17" t="s">
        <v>83</v>
      </c>
      <c r="E6293" s="17" t="s">
        <v>20</v>
      </c>
      <c r="F6293" s="16" t="s">
        <v>19244</v>
      </c>
    </row>
    <row r="6294" spans="1:6" x14ac:dyDescent="0.25">
      <c r="A6294" s="16" t="s">
        <v>19245</v>
      </c>
      <c r="B6294" s="17" t="s">
        <v>19246</v>
      </c>
      <c r="C6294" s="17" t="s">
        <v>11</v>
      </c>
      <c r="D6294" s="17" t="s">
        <v>32</v>
      </c>
      <c r="E6294" s="17" t="s">
        <v>20</v>
      </c>
      <c r="F6294" s="16" t="s">
        <v>19247</v>
      </c>
    </row>
    <row r="6295" spans="1:6" x14ac:dyDescent="0.25">
      <c r="A6295" s="16" t="s">
        <v>19248</v>
      </c>
      <c r="B6295" s="17" t="s">
        <v>19249</v>
      </c>
      <c r="C6295" s="17" t="s">
        <v>11</v>
      </c>
      <c r="D6295" s="17" t="s">
        <v>83</v>
      </c>
      <c r="E6295" s="17" t="s">
        <v>20</v>
      </c>
      <c r="F6295" s="16" t="s">
        <v>19250</v>
      </c>
    </row>
    <row r="6296" spans="1:6" x14ac:dyDescent="0.25">
      <c r="A6296" s="16" t="s">
        <v>19251</v>
      </c>
      <c r="B6296" s="17" t="s">
        <v>19252</v>
      </c>
      <c r="C6296" s="17" t="s">
        <v>11</v>
      </c>
      <c r="D6296" s="17" t="s">
        <v>32</v>
      </c>
      <c r="E6296" s="17" t="s">
        <v>20</v>
      </c>
      <c r="F6296" s="16" t="s">
        <v>19253</v>
      </c>
    </row>
    <row r="6297" spans="1:6" x14ac:dyDescent="0.25">
      <c r="A6297" s="16" t="s">
        <v>19254</v>
      </c>
      <c r="B6297" s="17" t="s">
        <v>19255</v>
      </c>
      <c r="C6297" s="17" t="s">
        <v>11</v>
      </c>
      <c r="D6297" s="17" t="s">
        <v>26</v>
      </c>
      <c r="E6297" s="17" t="s">
        <v>20</v>
      </c>
      <c r="F6297" s="16" t="s">
        <v>19256</v>
      </c>
    </row>
    <row r="6298" spans="1:6" x14ac:dyDescent="0.25">
      <c r="A6298" s="16" t="s">
        <v>19257</v>
      </c>
      <c r="B6298" s="17" t="s">
        <v>19258</v>
      </c>
      <c r="C6298" s="17" t="s">
        <v>11</v>
      </c>
      <c r="D6298" s="17" t="s">
        <v>32</v>
      </c>
      <c r="E6298" s="17" t="s">
        <v>20</v>
      </c>
      <c r="F6298" s="16" t="s">
        <v>19259</v>
      </c>
    </row>
    <row r="6299" spans="1:6" x14ac:dyDescent="0.25">
      <c r="A6299" s="16" t="s">
        <v>19260</v>
      </c>
      <c r="B6299" s="17" t="s">
        <v>19261</v>
      </c>
      <c r="C6299" s="17" t="s">
        <v>11</v>
      </c>
      <c r="D6299" s="17" t="s">
        <v>32</v>
      </c>
      <c r="E6299" s="17" t="s">
        <v>20</v>
      </c>
      <c r="F6299" s="16" t="s">
        <v>19262</v>
      </c>
    </row>
    <row r="6300" spans="1:6" x14ac:dyDescent="0.25">
      <c r="A6300" s="16" t="s">
        <v>19263</v>
      </c>
      <c r="B6300" s="17" t="s">
        <v>19264</v>
      </c>
      <c r="C6300" s="17" t="s">
        <v>11</v>
      </c>
      <c r="D6300" s="17" t="s">
        <v>32</v>
      </c>
      <c r="E6300" s="17" t="s">
        <v>20</v>
      </c>
      <c r="F6300" s="16" t="s">
        <v>19265</v>
      </c>
    </row>
    <row r="6301" spans="1:6" x14ac:dyDescent="0.25">
      <c r="A6301" s="16" t="s">
        <v>19266</v>
      </c>
      <c r="B6301" s="17" t="s">
        <v>19267</v>
      </c>
      <c r="C6301" s="17" t="s">
        <v>11</v>
      </c>
      <c r="D6301" s="17" t="s">
        <v>26</v>
      </c>
      <c r="E6301" s="17" t="s">
        <v>20</v>
      </c>
      <c r="F6301" s="16" t="s">
        <v>19268</v>
      </c>
    </row>
    <row r="6302" spans="1:6" x14ac:dyDescent="0.25">
      <c r="A6302" s="16" t="s">
        <v>19269</v>
      </c>
      <c r="B6302" s="17" t="s">
        <v>19270</v>
      </c>
      <c r="C6302" s="17" t="s">
        <v>11</v>
      </c>
      <c r="D6302" s="17" t="s">
        <v>32</v>
      </c>
      <c r="E6302" s="17" t="s">
        <v>20</v>
      </c>
      <c r="F6302" s="16" t="s">
        <v>19271</v>
      </c>
    </row>
    <row r="6303" spans="1:6" x14ac:dyDescent="0.25">
      <c r="A6303" s="16" t="s">
        <v>19272</v>
      </c>
      <c r="B6303" s="17" t="s">
        <v>19273</v>
      </c>
      <c r="C6303" s="17" t="s">
        <v>11</v>
      </c>
      <c r="D6303" s="17" t="s">
        <v>26</v>
      </c>
      <c r="E6303" s="17" t="s">
        <v>20</v>
      </c>
      <c r="F6303" s="16" t="s">
        <v>19274</v>
      </c>
    </row>
    <row r="6304" spans="1:6" x14ac:dyDescent="0.25">
      <c r="A6304" s="16" t="s">
        <v>19275</v>
      </c>
      <c r="B6304" s="17" t="s">
        <v>19276</v>
      </c>
      <c r="C6304" s="17" t="s">
        <v>11</v>
      </c>
      <c r="D6304" s="17" t="s">
        <v>32</v>
      </c>
      <c r="E6304" s="17" t="s">
        <v>20</v>
      </c>
      <c r="F6304" s="16" t="s">
        <v>19277</v>
      </c>
    </row>
    <row r="6305" spans="1:6" x14ac:dyDescent="0.25">
      <c r="A6305" s="16" t="s">
        <v>19278</v>
      </c>
      <c r="B6305" s="17" t="s">
        <v>19279</v>
      </c>
      <c r="C6305" s="17" t="s">
        <v>11</v>
      </c>
      <c r="D6305" s="17" t="s">
        <v>32</v>
      </c>
      <c r="E6305" s="17" t="s">
        <v>20</v>
      </c>
      <c r="F6305" s="16" t="s">
        <v>19280</v>
      </c>
    </row>
    <row r="6306" spans="1:6" x14ac:dyDescent="0.25">
      <c r="A6306" s="16" t="s">
        <v>19281</v>
      </c>
      <c r="B6306" s="17" t="s">
        <v>19282</v>
      </c>
      <c r="C6306" s="17" t="s">
        <v>11</v>
      </c>
      <c r="D6306" s="17" t="s">
        <v>32</v>
      </c>
      <c r="E6306" s="17" t="s">
        <v>20</v>
      </c>
      <c r="F6306" s="16" t="s">
        <v>19283</v>
      </c>
    </row>
    <row r="6307" spans="1:6" x14ac:dyDescent="0.25">
      <c r="A6307" s="16" t="s">
        <v>19284</v>
      </c>
      <c r="B6307" s="17" t="s">
        <v>19285</v>
      </c>
      <c r="C6307" s="17" t="s">
        <v>1235</v>
      </c>
      <c r="D6307" s="17" t="s">
        <v>17083</v>
      </c>
      <c r="E6307" s="17" t="s">
        <v>1237</v>
      </c>
      <c r="F6307" s="16" t="s">
        <v>19286</v>
      </c>
    </row>
    <row r="6308" spans="1:6" x14ac:dyDescent="0.25">
      <c r="A6308" s="16" t="s">
        <v>19287</v>
      </c>
      <c r="B6308" s="17" t="s">
        <v>19288</v>
      </c>
      <c r="C6308" s="17" t="s">
        <v>1235</v>
      </c>
      <c r="D6308" s="17" t="s">
        <v>17083</v>
      </c>
      <c r="E6308" s="17" t="s">
        <v>1237</v>
      </c>
      <c r="F6308" s="16" t="s">
        <v>19289</v>
      </c>
    </row>
    <row r="6309" spans="1:6" x14ac:dyDescent="0.25">
      <c r="A6309" s="16" t="s">
        <v>19290</v>
      </c>
      <c r="B6309" s="17" t="s">
        <v>19291</v>
      </c>
      <c r="C6309" s="17" t="s">
        <v>11</v>
      </c>
      <c r="D6309" s="17" t="s">
        <v>32</v>
      </c>
      <c r="E6309" s="17" t="s">
        <v>20</v>
      </c>
      <c r="F6309" s="16" t="s">
        <v>19292</v>
      </c>
    </row>
    <row r="6310" spans="1:6" x14ac:dyDescent="0.25">
      <c r="A6310" s="16" t="s">
        <v>19293</v>
      </c>
      <c r="B6310" s="17" t="s">
        <v>19294</v>
      </c>
      <c r="C6310" s="17" t="s">
        <v>11</v>
      </c>
      <c r="D6310" s="17" t="s">
        <v>32</v>
      </c>
      <c r="E6310" s="17" t="s">
        <v>20</v>
      </c>
      <c r="F6310" s="16" t="s">
        <v>19295</v>
      </c>
    </row>
    <row r="6311" spans="1:6" x14ac:dyDescent="0.25">
      <c r="A6311" s="16" t="s">
        <v>19296</v>
      </c>
      <c r="B6311" s="17" t="s">
        <v>19297</v>
      </c>
      <c r="C6311" s="17" t="s">
        <v>11</v>
      </c>
      <c r="D6311" s="17" t="s">
        <v>83</v>
      </c>
      <c r="E6311" s="17" t="s">
        <v>20</v>
      </c>
      <c r="F6311" s="16" t="s">
        <v>19298</v>
      </c>
    </row>
    <row r="6312" spans="1:6" x14ac:dyDescent="0.25">
      <c r="A6312" s="16" t="s">
        <v>19299</v>
      </c>
      <c r="B6312" s="17" t="s">
        <v>19300</v>
      </c>
      <c r="C6312" s="17" t="s">
        <v>11</v>
      </c>
      <c r="D6312" s="17" t="s">
        <v>148</v>
      </c>
      <c r="E6312" s="17" t="s">
        <v>20</v>
      </c>
      <c r="F6312" s="16" t="s">
        <v>19301</v>
      </c>
    </row>
    <row r="6313" spans="1:6" x14ac:dyDescent="0.25">
      <c r="A6313" s="16" t="s">
        <v>19302</v>
      </c>
      <c r="B6313" s="17" t="s">
        <v>19303</v>
      </c>
      <c r="C6313" s="17" t="s">
        <v>11</v>
      </c>
      <c r="D6313" s="17" t="s">
        <v>32</v>
      </c>
      <c r="E6313" s="17" t="s">
        <v>20</v>
      </c>
      <c r="F6313" s="16" t="s">
        <v>19304</v>
      </c>
    </row>
    <row r="6314" spans="1:6" x14ac:dyDescent="0.25">
      <c r="A6314" s="16" t="s">
        <v>19305</v>
      </c>
      <c r="B6314" s="17" t="s">
        <v>19306</v>
      </c>
      <c r="C6314" s="17" t="s">
        <v>11</v>
      </c>
      <c r="D6314" s="17" t="s">
        <v>32</v>
      </c>
      <c r="E6314" s="17" t="s">
        <v>20</v>
      </c>
      <c r="F6314" s="16" t="s">
        <v>19307</v>
      </c>
    </row>
    <row r="6315" spans="1:6" x14ac:dyDescent="0.25">
      <c r="A6315" s="16" t="s">
        <v>19308</v>
      </c>
      <c r="B6315" s="17" t="s">
        <v>19309</v>
      </c>
      <c r="C6315" s="17" t="s">
        <v>11</v>
      </c>
      <c r="D6315" s="17" t="s">
        <v>32</v>
      </c>
      <c r="E6315" s="17" t="s">
        <v>20</v>
      </c>
      <c r="F6315" s="16" t="s">
        <v>19310</v>
      </c>
    </row>
    <row r="6316" spans="1:6" x14ac:dyDescent="0.25">
      <c r="A6316" s="16" t="s">
        <v>19311</v>
      </c>
      <c r="B6316" s="17" t="s">
        <v>19312</v>
      </c>
      <c r="C6316" s="17" t="s">
        <v>1235</v>
      </c>
      <c r="D6316" s="17" t="s">
        <v>4374</v>
      </c>
      <c r="E6316" s="17" t="s">
        <v>1237</v>
      </c>
      <c r="F6316" s="16" t="s">
        <v>19313</v>
      </c>
    </row>
    <row r="6317" spans="1:6" x14ac:dyDescent="0.25">
      <c r="A6317" s="16" t="s">
        <v>19314</v>
      </c>
      <c r="B6317" s="17" t="s">
        <v>19315</v>
      </c>
      <c r="C6317" s="17" t="s">
        <v>11</v>
      </c>
      <c r="D6317" s="17" t="s">
        <v>32</v>
      </c>
      <c r="E6317" s="17" t="s">
        <v>20</v>
      </c>
      <c r="F6317" s="16" t="s">
        <v>19316</v>
      </c>
    </row>
    <row r="6318" spans="1:6" x14ac:dyDescent="0.25">
      <c r="A6318" s="16" t="s">
        <v>19317</v>
      </c>
      <c r="B6318" s="17" t="s">
        <v>19318</v>
      </c>
      <c r="C6318" s="17" t="s">
        <v>11</v>
      </c>
      <c r="D6318" s="17" t="s">
        <v>32</v>
      </c>
      <c r="E6318" s="17" t="s">
        <v>20</v>
      </c>
      <c r="F6318" s="16" t="s">
        <v>19319</v>
      </c>
    </row>
    <row r="6319" spans="1:6" x14ac:dyDescent="0.25">
      <c r="A6319" s="16" t="s">
        <v>19320</v>
      </c>
      <c r="B6319" s="17" t="s">
        <v>19321</v>
      </c>
      <c r="C6319" s="17" t="s">
        <v>11</v>
      </c>
      <c r="D6319" s="17" t="s">
        <v>32</v>
      </c>
      <c r="E6319" s="17" t="s">
        <v>20</v>
      </c>
      <c r="F6319" s="16" t="s">
        <v>19322</v>
      </c>
    </row>
    <row r="6320" spans="1:6" x14ac:dyDescent="0.25">
      <c r="A6320" s="16" t="s">
        <v>19323</v>
      </c>
      <c r="B6320" s="17" t="s">
        <v>19324</v>
      </c>
      <c r="C6320" s="17" t="s">
        <v>11</v>
      </c>
      <c r="D6320" s="17" t="s">
        <v>32</v>
      </c>
      <c r="E6320" s="17" t="s">
        <v>20</v>
      </c>
      <c r="F6320" s="16" t="s">
        <v>19325</v>
      </c>
    </row>
    <row r="6321" spans="1:6" x14ac:dyDescent="0.25">
      <c r="A6321" s="16" t="s">
        <v>19326</v>
      </c>
      <c r="B6321" s="17" t="s">
        <v>19327</v>
      </c>
      <c r="C6321" s="17" t="s">
        <v>11</v>
      </c>
      <c r="D6321" s="17" t="s">
        <v>32</v>
      </c>
      <c r="E6321" s="17" t="s">
        <v>20</v>
      </c>
      <c r="F6321" s="16" t="s">
        <v>19328</v>
      </c>
    </row>
    <row r="6322" spans="1:6" x14ac:dyDescent="0.25">
      <c r="A6322" s="16" t="s">
        <v>19329</v>
      </c>
      <c r="B6322" s="17" t="s">
        <v>19330</v>
      </c>
      <c r="C6322" s="17" t="s">
        <v>11</v>
      </c>
      <c r="D6322" s="17" t="s">
        <v>32</v>
      </c>
      <c r="E6322" s="17" t="s">
        <v>20</v>
      </c>
      <c r="F6322" s="16" t="s">
        <v>19331</v>
      </c>
    </row>
    <row r="6323" spans="1:6" x14ac:dyDescent="0.25">
      <c r="A6323" s="16" t="s">
        <v>19332</v>
      </c>
      <c r="B6323" s="17" t="s">
        <v>19333</v>
      </c>
      <c r="C6323" s="17" t="s">
        <v>11</v>
      </c>
      <c r="D6323" s="17" t="s">
        <v>83</v>
      </c>
      <c r="E6323" s="17" t="s">
        <v>20</v>
      </c>
      <c r="F6323" s="16" t="s">
        <v>19334</v>
      </c>
    </row>
    <row r="6324" spans="1:6" x14ac:dyDescent="0.25">
      <c r="A6324" s="16" t="s">
        <v>19335</v>
      </c>
      <c r="B6324" s="17" t="s">
        <v>19336</v>
      </c>
      <c r="C6324" s="17" t="s">
        <v>11</v>
      </c>
      <c r="D6324" s="17" t="s">
        <v>26</v>
      </c>
      <c r="E6324" s="17" t="s">
        <v>20</v>
      </c>
      <c r="F6324" s="16" t="s">
        <v>19337</v>
      </c>
    </row>
    <row r="6325" spans="1:6" x14ac:dyDescent="0.25">
      <c r="A6325" s="16" t="s">
        <v>19338</v>
      </c>
      <c r="B6325" s="17" t="s">
        <v>19339</v>
      </c>
      <c r="C6325" s="17" t="s">
        <v>11</v>
      </c>
      <c r="D6325" s="17" t="s">
        <v>32</v>
      </c>
      <c r="E6325" s="17" t="s">
        <v>20</v>
      </c>
      <c r="F6325" s="16" t="s">
        <v>19340</v>
      </c>
    </row>
    <row r="6326" spans="1:6" x14ac:dyDescent="0.25">
      <c r="A6326" s="16" t="s">
        <v>19341</v>
      </c>
      <c r="B6326" s="17" t="s">
        <v>19342</v>
      </c>
      <c r="C6326" s="17" t="s">
        <v>11</v>
      </c>
      <c r="D6326" s="17" t="s">
        <v>32</v>
      </c>
      <c r="E6326" s="17" t="s">
        <v>20</v>
      </c>
      <c r="F6326" s="16" t="s">
        <v>19343</v>
      </c>
    </row>
    <row r="6327" spans="1:6" x14ac:dyDescent="0.25">
      <c r="A6327" s="16" t="s">
        <v>19344</v>
      </c>
      <c r="B6327" s="17" t="s">
        <v>19345</v>
      </c>
      <c r="C6327" s="17" t="s">
        <v>11</v>
      </c>
      <c r="D6327" s="17" t="s">
        <v>83</v>
      </c>
      <c r="E6327" s="17" t="s">
        <v>20</v>
      </c>
      <c r="F6327" s="16" t="s">
        <v>19346</v>
      </c>
    </row>
    <row r="6328" spans="1:6" x14ac:dyDescent="0.25">
      <c r="A6328" s="16" t="s">
        <v>19347</v>
      </c>
      <c r="B6328" s="17" t="s">
        <v>19348</v>
      </c>
      <c r="C6328" s="17" t="s">
        <v>11</v>
      </c>
      <c r="D6328" s="17" t="s">
        <v>32</v>
      </c>
      <c r="E6328" s="17" t="s">
        <v>20</v>
      </c>
      <c r="F6328" s="16" t="s">
        <v>19349</v>
      </c>
    </row>
    <row r="6329" spans="1:6" x14ac:dyDescent="0.25">
      <c r="A6329" s="16" t="s">
        <v>19350</v>
      </c>
      <c r="B6329" s="17" t="s">
        <v>19351</v>
      </c>
      <c r="C6329" s="17" t="s">
        <v>11</v>
      </c>
      <c r="D6329" s="17" t="s">
        <v>83</v>
      </c>
      <c r="E6329" s="17" t="s">
        <v>20</v>
      </c>
      <c r="F6329" s="16" t="s">
        <v>19352</v>
      </c>
    </row>
    <row r="6330" spans="1:6" x14ac:dyDescent="0.25">
      <c r="A6330" s="16" t="s">
        <v>19353</v>
      </c>
      <c r="B6330" s="17" t="s">
        <v>19354</v>
      </c>
      <c r="C6330" s="17" t="s">
        <v>11</v>
      </c>
      <c r="D6330" s="17" t="s">
        <v>26</v>
      </c>
      <c r="E6330" s="17" t="s">
        <v>20</v>
      </c>
      <c r="F6330" s="16" t="s">
        <v>19355</v>
      </c>
    </row>
    <row r="6331" spans="1:6" x14ac:dyDescent="0.25">
      <c r="A6331" s="16" t="s">
        <v>19356</v>
      </c>
      <c r="B6331" s="17" t="s">
        <v>19357</v>
      </c>
      <c r="C6331" s="17" t="s">
        <v>11</v>
      </c>
      <c r="D6331" s="17" t="s">
        <v>26</v>
      </c>
      <c r="E6331" s="17" t="s">
        <v>20</v>
      </c>
      <c r="F6331" s="16" t="s">
        <v>19358</v>
      </c>
    </row>
    <row r="6332" spans="1:6" x14ac:dyDescent="0.25">
      <c r="A6332" s="16" t="s">
        <v>19359</v>
      </c>
      <c r="B6332" s="17" t="s">
        <v>19360</v>
      </c>
      <c r="C6332" s="17" t="s">
        <v>11</v>
      </c>
      <c r="D6332" s="17" t="s">
        <v>83</v>
      </c>
      <c r="E6332" s="17" t="s">
        <v>20</v>
      </c>
      <c r="F6332" s="16" t="s">
        <v>19361</v>
      </c>
    </row>
    <row r="6333" spans="1:6" x14ac:dyDescent="0.25">
      <c r="A6333" s="16" t="s">
        <v>19362</v>
      </c>
      <c r="B6333" s="17" t="s">
        <v>19363</v>
      </c>
      <c r="C6333" s="17" t="s">
        <v>11</v>
      </c>
      <c r="D6333" s="17" t="s">
        <v>26</v>
      </c>
      <c r="E6333" s="17" t="s">
        <v>20</v>
      </c>
      <c r="F6333" s="16" t="s">
        <v>19364</v>
      </c>
    </row>
    <row r="6334" spans="1:6" x14ac:dyDescent="0.25">
      <c r="A6334" s="16" t="s">
        <v>19365</v>
      </c>
      <c r="B6334" s="17" t="s">
        <v>19366</v>
      </c>
      <c r="C6334" s="17" t="s">
        <v>11</v>
      </c>
      <c r="D6334" s="17" t="s">
        <v>32</v>
      </c>
      <c r="E6334" s="17" t="s">
        <v>20</v>
      </c>
      <c r="F6334" s="16" t="s">
        <v>19367</v>
      </c>
    </row>
    <row r="6335" spans="1:6" x14ac:dyDescent="0.25">
      <c r="A6335" s="16" t="s">
        <v>19368</v>
      </c>
      <c r="B6335" s="17" t="s">
        <v>19369</v>
      </c>
      <c r="C6335" s="17" t="s">
        <v>11</v>
      </c>
      <c r="D6335" s="17" t="s">
        <v>74</v>
      </c>
      <c r="E6335" s="17" t="s">
        <v>20</v>
      </c>
      <c r="F6335" s="16" t="s">
        <v>19370</v>
      </c>
    </row>
    <row r="6336" spans="1:6" x14ac:dyDescent="0.25">
      <c r="A6336" s="16" t="s">
        <v>19371</v>
      </c>
      <c r="B6336" s="17" t="s">
        <v>19372</v>
      </c>
      <c r="C6336" s="17" t="s">
        <v>11</v>
      </c>
      <c r="D6336" s="17" t="s">
        <v>32</v>
      </c>
      <c r="E6336" s="17" t="s">
        <v>20</v>
      </c>
      <c r="F6336" s="16" t="s">
        <v>19373</v>
      </c>
    </row>
    <row r="6337" spans="1:6" x14ac:dyDescent="0.25">
      <c r="A6337" s="16" t="s">
        <v>19374</v>
      </c>
      <c r="B6337" s="17" t="s">
        <v>19375</v>
      </c>
      <c r="C6337" s="17" t="s">
        <v>11</v>
      </c>
      <c r="D6337" s="17" t="s">
        <v>544</v>
      </c>
      <c r="E6337" s="17" t="s">
        <v>20</v>
      </c>
      <c r="F6337" s="16" t="s">
        <v>19376</v>
      </c>
    </row>
    <row r="6338" spans="1:6" x14ac:dyDescent="0.25">
      <c r="A6338" s="16" t="s">
        <v>19377</v>
      </c>
      <c r="B6338" s="17" t="s">
        <v>19378</v>
      </c>
      <c r="C6338" s="17" t="s">
        <v>11</v>
      </c>
      <c r="D6338" s="17" t="s">
        <v>26</v>
      </c>
      <c r="E6338" s="17" t="s">
        <v>20</v>
      </c>
      <c r="F6338" s="16" t="s">
        <v>19379</v>
      </c>
    </row>
    <row r="6339" spans="1:6" x14ac:dyDescent="0.25">
      <c r="A6339" s="16" t="s">
        <v>19380</v>
      </c>
      <c r="B6339" s="17" t="s">
        <v>19381</v>
      </c>
      <c r="C6339" s="17" t="s">
        <v>11</v>
      </c>
      <c r="D6339" s="17" t="s">
        <v>26</v>
      </c>
      <c r="E6339" s="17" t="s">
        <v>20</v>
      </c>
      <c r="F6339" s="16" t="s">
        <v>19382</v>
      </c>
    </row>
    <row r="6340" spans="1:6" x14ac:dyDescent="0.25">
      <c r="A6340" s="16" t="s">
        <v>19383</v>
      </c>
      <c r="B6340" s="17" t="s">
        <v>19384</v>
      </c>
      <c r="C6340" s="17" t="s">
        <v>11</v>
      </c>
      <c r="D6340" s="17" t="s">
        <v>32</v>
      </c>
      <c r="E6340" s="17" t="s">
        <v>20</v>
      </c>
      <c r="F6340" s="16" t="s">
        <v>19385</v>
      </c>
    </row>
    <row r="6341" spans="1:6" x14ac:dyDescent="0.25">
      <c r="A6341" s="16" t="s">
        <v>19386</v>
      </c>
      <c r="B6341" s="17" t="s">
        <v>19387</v>
      </c>
      <c r="C6341" s="17" t="s">
        <v>11</v>
      </c>
      <c r="D6341" s="17" t="s">
        <v>32</v>
      </c>
      <c r="E6341" s="17" t="s">
        <v>20</v>
      </c>
      <c r="F6341" s="16" t="s">
        <v>19388</v>
      </c>
    </row>
    <row r="6342" spans="1:6" x14ac:dyDescent="0.25">
      <c r="A6342" s="16" t="s">
        <v>19389</v>
      </c>
      <c r="B6342" s="17" t="s">
        <v>19390</v>
      </c>
      <c r="C6342" s="17" t="s">
        <v>11</v>
      </c>
      <c r="D6342" s="17" t="s">
        <v>148</v>
      </c>
      <c r="E6342" s="17" t="s">
        <v>20</v>
      </c>
      <c r="F6342" s="16" t="s">
        <v>19391</v>
      </c>
    </row>
    <row r="6343" spans="1:6" x14ac:dyDescent="0.25">
      <c r="A6343" s="16" t="s">
        <v>19392</v>
      </c>
      <c r="B6343" s="17" t="s">
        <v>19393</v>
      </c>
      <c r="C6343" s="17" t="s">
        <v>11</v>
      </c>
      <c r="D6343" s="17" t="s">
        <v>148</v>
      </c>
      <c r="E6343" s="17" t="s">
        <v>20</v>
      </c>
      <c r="F6343" s="16" t="s">
        <v>19394</v>
      </c>
    </row>
    <row r="6344" spans="1:6" x14ac:dyDescent="0.25">
      <c r="A6344" s="16" t="s">
        <v>19395</v>
      </c>
      <c r="B6344" s="17" t="s">
        <v>19396</v>
      </c>
      <c r="C6344" s="17" t="s">
        <v>11</v>
      </c>
      <c r="D6344" s="17" t="s">
        <v>32</v>
      </c>
      <c r="E6344" s="17" t="s">
        <v>20</v>
      </c>
      <c r="F6344" s="16" t="s">
        <v>19397</v>
      </c>
    </row>
    <row r="6345" spans="1:6" x14ac:dyDescent="0.25">
      <c r="A6345" s="16" t="s">
        <v>19398</v>
      </c>
      <c r="B6345" s="17" t="s">
        <v>19399</v>
      </c>
      <c r="C6345" s="17" t="s">
        <v>11</v>
      </c>
      <c r="D6345" s="17" t="s">
        <v>26</v>
      </c>
      <c r="E6345" s="17" t="s">
        <v>20</v>
      </c>
      <c r="F6345" s="16" t="s">
        <v>19400</v>
      </c>
    </row>
    <row r="6346" spans="1:6" x14ac:dyDescent="0.25">
      <c r="A6346" s="16" t="s">
        <v>19401</v>
      </c>
      <c r="B6346" s="17" t="s">
        <v>19402</v>
      </c>
      <c r="C6346" s="17" t="s">
        <v>11</v>
      </c>
      <c r="D6346" s="17" t="s">
        <v>26</v>
      </c>
      <c r="E6346" s="17" t="s">
        <v>20</v>
      </c>
      <c r="F6346" s="16" t="s">
        <v>19403</v>
      </c>
    </row>
    <row r="6347" spans="1:6" x14ac:dyDescent="0.25">
      <c r="A6347" s="16" t="s">
        <v>19404</v>
      </c>
      <c r="B6347" s="17" t="s">
        <v>19405</v>
      </c>
      <c r="C6347" s="17" t="s">
        <v>11</v>
      </c>
      <c r="D6347" s="17" t="s">
        <v>32</v>
      </c>
      <c r="E6347" s="17" t="s">
        <v>20</v>
      </c>
      <c r="F6347" s="16" t="s">
        <v>19406</v>
      </c>
    </row>
    <row r="6348" spans="1:6" x14ac:dyDescent="0.25">
      <c r="A6348" s="16" t="s">
        <v>19407</v>
      </c>
      <c r="B6348" s="17" t="s">
        <v>19408</v>
      </c>
      <c r="C6348" s="17" t="s">
        <v>11</v>
      </c>
      <c r="D6348" s="17" t="s">
        <v>32</v>
      </c>
      <c r="E6348" s="17" t="s">
        <v>20</v>
      </c>
      <c r="F6348" s="16" t="s">
        <v>19409</v>
      </c>
    </row>
    <row r="6349" spans="1:6" x14ac:dyDescent="0.25">
      <c r="A6349" s="16" t="s">
        <v>19410</v>
      </c>
      <c r="B6349" s="17" t="s">
        <v>19411</v>
      </c>
      <c r="C6349" s="17" t="s">
        <v>11</v>
      </c>
      <c r="D6349" s="17" t="s">
        <v>80</v>
      </c>
      <c r="E6349" s="17" t="s">
        <v>20</v>
      </c>
      <c r="F6349" s="16" t="s">
        <v>19412</v>
      </c>
    </row>
    <row r="6350" spans="1:6" x14ac:dyDescent="0.25">
      <c r="A6350" s="16" t="s">
        <v>19413</v>
      </c>
      <c r="B6350" s="17" t="s">
        <v>19414</v>
      </c>
      <c r="C6350" s="17" t="s">
        <v>11</v>
      </c>
      <c r="D6350" s="17" t="s">
        <v>32</v>
      </c>
      <c r="E6350" s="17" t="s">
        <v>20</v>
      </c>
      <c r="F6350" s="16" t="s">
        <v>19415</v>
      </c>
    </row>
    <row r="6351" spans="1:6" x14ac:dyDescent="0.25">
      <c r="A6351" s="16" t="s">
        <v>19416</v>
      </c>
      <c r="B6351" s="17" t="s">
        <v>19417</v>
      </c>
      <c r="C6351" s="17" t="s">
        <v>11</v>
      </c>
      <c r="D6351" s="17" t="s">
        <v>32</v>
      </c>
      <c r="E6351" s="17" t="s">
        <v>20</v>
      </c>
      <c r="F6351" s="16" t="s">
        <v>19418</v>
      </c>
    </row>
    <row r="6352" spans="1:6" x14ac:dyDescent="0.25">
      <c r="A6352" s="16" t="s">
        <v>19419</v>
      </c>
      <c r="B6352" s="17" t="s">
        <v>19420</v>
      </c>
      <c r="C6352" s="17" t="s">
        <v>11</v>
      </c>
      <c r="D6352" s="17" t="s">
        <v>32</v>
      </c>
      <c r="E6352" s="17" t="s">
        <v>20</v>
      </c>
      <c r="F6352" s="16" t="s">
        <v>19421</v>
      </c>
    </row>
    <row r="6353" spans="1:6" x14ac:dyDescent="0.25">
      <c r="A6353" s="16" t="s">
        <v>19422</v>
      </c>
      <c r="B6353" s="17" t="s">
        <v>19423</v>
      </c>
      <c r="C6353" s="17" t="s">
        <v>11</v>
      </c>
      <c r="D6353" s="17" t="s">
        <v>26</v>
      </c>
      <c r="E6353" s="17" t="s">
        <v>20</v>
      </c>
      <c r="F6353" s="16" t="s">
        <v>19424</v>
      </c>
    </row>
    <row r="6354" spans="1:6" x14ac:dyDescent="0.25">
      <c r="A6354" s="16" t="s">
        <v>19425</v>
      </c>
      <c r="B6354" s="17" t="s">
        <v>19426</v>
      </c>
      <c r="C6354" s="17" t="s">
        <v>11</v>
      </c>
      <c r="D6354" s="17" t="s">
        <v>32</v>
      </c>
      <c r="E6354" s="17" t="s">
        <v>20</v>
      </c>
      <c r="F6354" s="16" t="s">
        <v>19427</v>
      </c>
    </row>
    <row r="6355" spans="1:6" x14ac:dyDescent="0.25">
      <c r="A6355" s="16" t="s">
        <v>19428</v>
      </c>
      <c r="B6355" s="17" t="s">
        <v>19429</v>
      </c>
      <c r="C6355" s="17" t="s">
        <v>11</v>
      </c>
      <c r="D6355" s="17" t="s">
        <v>26</v>
      </c>
      <c r="E6355" s="17" t="s">
        <v>20</v>
      </c>
      <c r="F6355" s="16" t="s">
        <v>19430</v>
      </c>
    </row>
    <row r="6356" spans="1:6" x14ac:dyDescent="0.25">
      <c r="A6356" s="16" t="s">
        <v>19431</v>
      </c>
      <c r="B6356" s="17" t="s">
        <v>19432</v>
      </c>
      <c r="C6356" s="17" t="s">
        <v>11</v>
      </c>
      <c r="D6356" s="17" t="s">
        <v>32</v>
      </c>
      <c r="E6356" s="17" t="s">
        <v>20</v>
      </c>
      <c r="F6356" s="16" t="s">
        <v>19433</v>
      </c>
    </row>
    <row r="6357" spans="1:6" x14ac:dyDescent="0.25">
      <c r="A6357" s="16" t="s">
        <v>19434</v>
      </c>
      <c r="B6357" s="17" t="s">
        <v>19435</v>
      </c>
      <c r="C6357" s="17" t="s">
        <v>11</v>
      </c>
      <c r="D6357" s="17" t="s">
        <v>83</v>
      </c>
      <c r="E6357" s="17" t="s">
        <v>20</v>
      </c>
      <c r="F6357" s="16" t="s">
        <v>19436</v>
      </c>
    </row>
    <row r="6358" spans="1:6" x14ac:dyDescent="0.25">
      <c r="A6358" s="16" t="s">
        <v>19437</v>
      </c>
      <c r="B6358" s="17" t="s">
        <v>19438</v>
      </c>
      <c r="C6358" s="17" t="s">
        <v>11</v>
      </c>
      <c r="D6358" s="17" t="s">
        <v>83</v>
      </c>
      <c r="E6358" s="17" t="s">
        <v>20</v>
      </c>
      <c r="F6358" s="16" t="s">
        <v>19439</v>
      </c>
    </row>
    <row r="6359" spans="1:6" x14ac:dyDescent="0.25">
      <c r="A6359" s="16" t="s">
        <v>19440</v>
      </c>
      <c r="B6359" s="17" t="s">
        <v>19441</v>
      </c>
      <c r="C6359" s="17" t="s">
        <v>11</v>
      </c>
      <c r="D6359" s="17" t="s">
        <v>32</v>
      </c>
      <c r="E6359" s="17" t="s">
        <v>20</v>
      </c>
      <c r="F6359" s="16" t="s">
        <v>19442</v>
      </c>
    </row>
    <row r="6360" spans="1:6" x14ac:dyDescent="0.25">
      <c r="A6360" s="16" t="s">
        <v>19443</v>
      </c>
      <c r="B6360" s="17" t="s">
        <v>19444</v>
      </c>
      <c r="C6360" s="17" t="s">
        <v>11</v>
      </c>
      <c r="D6360" s="17" t="s">
        <v>32</v>
      </c>
      <c r="E6360" s="17" t="s">
        <v>20</v>
      </c>
      <c r="F6360" s="16" t="s">
        <v>19445</v>
      </c>
    </row>
    <row r="6361" spans="1:6" x14ac:dyDescent="0.25">
      <c r="A6361" s="16" t="s">
        <v>19446</v>
      </c>
      <c r="B6361" s="17" t="s">
        <v>19447</v>
      </c>
      <c r="C6361" s="17" t="s">
        <v>11</v>
      </c>
      <c r="D6361" s="17" t="s">
        <v>32</v>
      </c>
      <c r="E6361" s="17" t="s">
        <v>20</v>
      </c>
      <c r="F6361" s="16" t="s">
        <v>19448</v>
      </c>
    </row>
    <row r="6362" spans="1:6" x14ac:dyDescent="0.25">
      <c r="A6362" s="16" t="s">
        <v>19449</v>
      </c>
      <c r="B6362" s="17" t="s">
        <v>19450</v>
      </c>
      <c r="C6362" s="17" t="s">
        <v>11</v>
      </c>
      <c r="D6362" s="17" t="s">
        <v>26</v>
      </c>
      <c r="E6362" s="17" t="s">
        <v>20</v>
      </c>
      <c r="F6362" s="16" t="s">
        <v>19451</v>
      </c>
    </row>
    <row r="6363" spans="1:6" x14ac:dyDescent="0.25">
      <c r="A6363" s="16" t="s">
        <v>19452</v>
      </c>
      <c r="B6363" s="17" t="s">
        <v>19453</v>
      </c>
      <c r="C6363" s="17" t="s">
        <v>11</v>
      </c>
      <c r="D6363" s="17" t="s">
        <v>148</v>
      </c>
      <c r="E6363" s="17" t="s">
        <v>20</v>
      </c>
      <c r="F6363" s="16" t="s">
        <v>19454</v>
      </c>
    </row>
    <row r="6364" spans="1:6" x14ac:dyDescent="0.25">
      <c r="A6364" s="16" t="s">
        <v>19455</v>
      </c>
      <c r="B6364" s="17" t="s">
        <v>19456</v>
      </c>
      <c r="C6364" s="17" t="s">
        <v>11</v>
      </c>
      <c r="D6364" s="17" t="s">
        <v>83</v>
      </c>
      <c r="E6364" s="17" t="s">
        <v>20</v>
      </c>
      <c r="F6364" s="16" t="s">
        <v>19457</v>
      </c>
    </row>
    <row r="6365" spans="1:6" x14ac:dyDescent="0.25">
      <c r="A6365" s="16" t="s">
        <v>19458</v>
      </c>
      <c r="B6365" s="17" t="s">
        <v>19459</v>
      </c>
      <c r="C6365" s="17" t="s">
        <v>11</v>
      </c>
      <c r="D6365" s="17" t="s">
        <v>32</v>
      </c>
      <c r="E6365" s="17" t="s">
        <v>20</v>
      </c>
      <c r="F6365" s="16" t="s">
        <v>19460</v>
      </c>
    </row>
    <row r="6366" spans="1:6" x14ac:dyDescent="0.25">
      <c r="A6366" s="16" t="s">
        <v>19461</v>
      </c>
      <c r="B6366" s="17" t="s">
        <v>19462</v>
      </c>
      <c r="C6366" s="17" t="s">
        <v>11</v>
      </c>
      <c r="D6366" s="17" t="s">
        <v>544</v>
      </c>
      <c r="E6366" s="17" t="s">
        <v>20</v>
      </c>
      <c r="F6366" s="16" t="s">
        <v>19463</v>
      </c>
    </row>
    <row r="6367" spans="1:6" x14ac:dyDescent="0.25">
      <c r="A6367" s="16" t="s">
        <v>19464</v>
      </c>
      <c r="B6367" s="17" t="s">
        <v>19465</v>
      </c>
      <c r="C6367" s="17" t="s">
        <v>11</v>
      </c>
      <c r="D6367" s="17" t="s">
        <v>32</v>
      </c>
      <c r="E6367" s="17" t="s">
        <v>20</v>
      </c>
      <c r="F6367" s="16" t="s">
        <v>19466</v>
      </c>
    </row>
    <row r="6368" spans="1:6" x14ac:dyDescent="0.25">
      <c r="A6368" s="16" t="s">
        <v>19467</v>
      </c>
      <c r="B6368" s="17" t="s">
        <v>19468</v>
      </c>
      <c r="C6368" s="17" t="s">
        <v>11</v>
      </c>
      <c r="D6368" s="17" t="s">
        <v>32</v>
      </c>
      <c r="E6368" s="17" t="s">
        <v>20</v>
      </c>
      <c r="F6368" s="16" t="s">
        <v>19469</v>
      </c>
    </row>
    <row r="6369" spans="1:6" x14ac:dyDescent="0.25">
      <c r="A6369" s="16" t="s">
        <v>19470</v>
      </c>
      <c r="B6369" s="17" t="s">
        <v>19471</v>
      </c>
      <c r="C6369" s="17" t="s">
        <v>11</v>
      </c>
      <c r="D6369" s="17" t="s">
        <v>544</v>
      </c>
      <c r="E6369" s="17" t="s">
        <v>20</v>
      </c>
      <c r="F6369" s="16" t="s">
        <v>19472</v>
      </c>
    </row>
    <row r="6370" spans="1:6" x14ac:dyDescent="0.25">
      <c r="A6370" s="16" t="s">
        <v>19473</v>
      </c>
      <c r="B6370" s="17" t="s">
        <v>19474</v>
      </c>
      <c r="C6370" s="17" t="s">
        <v>11</v>
      </c>
      <c r="D6370" s="17" t="s">
        <v>83</v>
      </c>
      <c r="E6370" s="17" t="s">
        <v>20</v>
      </c>
      <c r="F6370" s="16" t="s">
        <v>19475</v>
      </c>
    </row>
    <row r="6371" spans="1:6" x14ac:dyDescent="0.25">
      <c r="A6371" s="16" t="s">
        <v>19476</v>
      </c>
      <c r="B6371" s="17" t="s">
        <v>19477</v>
      </c>
      <c r="C6371" s="17" t="s">
        <v>11</v>
      </c>
      <c r="D6371" s="17" t="s">
        <v>148</v>
      </c>
      <c r="E6371" s="17" t="s">
        <v>20</v>
      </c>
      <c r="F6371" s="16" t="s">
        <v>19478</v>
      </c>
    </row>
    <row r="6372" spans="1:6" x14ac:dyDescent="0.25">
      <c r="A6372" s="16" t="s">
        <v>19479</v>
      </c>
      <c r="B6372" s="17" t="s">
        <v>19480</v>
      </c>
      <c r="C6372" s="17" t="s">
        <v>11</v>
      </c>
      <c r="D6372" s="17" t="s">
        <v>148</v>
      </c>
      <c r="E6372" s="17" t="s">
        <v>20</v>
      </c>
      <c r="F6372" s="16" t="s">
        <v>19481</v>
      </c>
    </row>
    <row r="6373" spans="1:6" x14ac:dyDescent="0.25">
      <c r="A6373" s="16" t="s">
        <v>19482</v>
      </c>
      <c r="B6373" s="17" t="s">
        <v>19483</v>
      </c>
      <c r="C6373" s="17" t="s">
        <v>11</v>
      </c>
      <c r="D6373" s="17" t="s">
        <v>291</v>
      </c>
      <c r="E6373" s="17" t="s">
        <v>20</v>
      </c>
      <c r="F6373" s="16" t="s">
        <v>19484</v>
      </c>
    </row>
    <row r="6374" spans="1:6" x14ac:dyDescent="0.25">
      <c r="A6374" s="16" t="s">
        <v>19485</v>
      </c>
      <c r="B6374" s="17" t="s">
        <v>19486</v>
      </c>
      <c r="C6374" s="17" t="s">
        <v>11</v>
      </c>
      <c r="D6374" s="17" t="s">
        <v>32</v>
      </c>
      <c r="E6374" s="17" t="s">
        <v>20</v>
      </c>
      <c r="F6374" s="16" t="s">
        <v>19487</v>
      </c>
    </row>
    <row r="6375" spans="1:6" x14ac:dyDescent="0.25">
      <c r="A6375" s="16" t="s">
        <v>19488</v>
      </c>
      <c r="B6375" s="17" t="s">
        <v>19489</v>
      </c>
      <c r="C6375" s="17" t="s">
        <v>11</v>
      </c>
      <c r="D6375" s="17" t="s">
        <v>19</v>
      </c>
      <c r="E6375" s="17" t="s">
        <v>20</v>
      </c>
      <c r="F6375" s="16" t="s">
        <v>19490</v>
      </c>
    </row>
    <row r="6376" spans="1:6" x14ac:dyDescent="0.25">
      <c r="A6376" s="16" t="s">
        <v>19491</v>
      </c>
      <c r="B6376" s="17" t="s">
        <v>19492</v>
      </c>
      <c r="C6376" s="17" t="s">
        <v>11</v>
      </c>
      <c r="D6376" s="17" t="s">
        <v>544</v>
      </c>
      <c r="E6376" s="17" t="s">
        <v>20</v>
      </c>
      <c r="F6376" s="16" t="s">
        <v>19493</v>
      </c>
    </row>
    <row r="6377" spans="1:6" x14ac:dyDescent="0.25">
      <c r="A6377" s="16" t="s">
        <v>19494</v>
      </c>
      <c r="B6377" s="17" t="s">
        <v>19495</v>
      </c>
      <c r="C6377" s="17" t="s">
        <v>11</v>
      </c>
      <c r="D6377" s="17" t="s">
        <v>32</v>
      </c>
      <c r="E6377" s="17" t="s">
        <v>20</v>
      </c>
      <c r="F6377" s="16" t="s">
        <v>19496</v>
      </c>
    </row>
    <row r="6378" spans="1:6" x14ac:dyDescent="0.25">
      <c r="A6378" s="16" t="s">
        <v>19497</v>
      </c>
      <c r="B6378" s="17" t="s">
        <v>19498</v>
      </c>
      <c r="C6378" s="17" t="s">
        <v>11</v>
      </c>
      <c r="D6378" s="17" t="s">
        <v>83</v>
      </c>
      <c r="E6378" s="17" t="s">
        <v>20</v>
      </c>
      <c r="F6378" s="16" t="s">
        <v>19499</v>
      </c>
    </row>
    <row r="6379" spans="1:6" x14ac:dyDescent="0.25">
      <c r="A6379" s="16" t="s">
        <v>19500</v>
      </c>
      <c r="B6379" s="17" t="s">
        <v>19501</v>
      </c>
      <c r="C6379" s="17" t="s">
        <v>11</v>
      </c>
      <c r="D6379" s="17" t="s">
        <v>3463</v>
      </c>
      <c r="E6379" s="17" t="s">
        <v>1299</v>
      </c>
      <c r="F6379" s="16" t="s">
        <v>19502</v>
      </c>
    </row>
    <row r="6380" spans="1:6" x14ac:dyDescent="0.25">
      <c r="A6380" s="16" t="s">
        <v>19503</v>
      </c>
      <c r="B6380" s="17" t="s">
        <v>19504</v>
      </c>
      <c r="C6380" s="17" t="s">
        <v>11</v>
      </c>
      <c r="D6380" s="17" t="s">
        <v>32</v>
      </c>
      <c r="E6380" s="17" t="s">
        <v>20</v>
      </c>
      <c r="F6380" s="16" t="s">
        <v>19505</v>
      </c>
    </row>
    <row r="6381" spans="1:6" x14ac:dyDescent="0.25">
      <c r="A6381" s="16" t="s">
        <v>19506</v>
      </c>
      <c r="B6381" s="17" t="s">
        <v>19507</v>
      </c>
      <c r="C6381" s="17" t="s">
        <v>11</v>
      </c>
      <c r="D6381" s="17" t="s">
        <v>32</v>
      </c>
      <c r="E6381" s="17" t="s">
        <v>20</v>
      </c>
      <c r="F6381" s="16" t="s">
        <v>19508</v>
      </c>
    </row>
    <row r="6382" spans="1:6" x14ac:dyDescent="0.25">
      <c r="A6382" s="16" t="s">
        <v>19509</v>
      </c>
      <c r="B6382" s="17" t="s">
        <v>19510</v>
      </c>
      <c r="C6382" s="17" t="s">
        <v>11</v>
      </c>
      <c r="D6382" s="17" t="s">
        <v>544</v>
      </c>
      <c r="E6382" s="17" t="s">
        <v>20</v>
      </c>
      <c r="F6382" s="16" t="s">
        <v>19511</v>
      </c>
    </row>
    <row r="6383" spans="1:6" x14ac:dyDescent="0.25">
      <c r="A6383" s="16" t="s">
        <v>19512</v>
      </c>
      <c r="B6383" s="17" t="s">
        <v>19513</v>
      </c>
      <c r="C6383" s="17" t="s">
        <v>214</v>
      </c>
      <c r="D6383" s="17" t="s">
        <v>32</v>
      </c>
      <c r="E6383" s="17" t="s">
        <v>20</v>
      </c>
      <c r="F6383" s="16" t="s">
        <v>19514</v>
      </c>
    </row>
    <row r="6384" spans="1:6" x14ac:dyDescent="0.25">
      <c r="A6384" s="16" t="s">
        <v>19515</v>
      </c>
      <c r="B6384" s="17" t="s">
        <v>19516</v>
      </c>
      <c r="C6384" s="17" t="s">
        <v>11</v>
      </c>
      <c r="D6384" s="17" t="s">
        <v>544</v>
      </c>
      <c r="E6384" s="17" t="s">
        <v>20</v>
      </c>
      <c r="F6384" s="16" t="s">
        <v>19517</v>
      </c>
    </row>
    <row r="6385" spans="1:6" x14ac:dyDescent="0.25">
      <c r="A6385" s="16" t="s">
        <v>19518</v>
      </c>
      <c r="B6385" s="17" t="s">
        <v>19519</v>
      </c>
      <c r="C6385" s="17" t="s">
        <v>359</v>
      </c>
      <c r="D6385" s="17" t="s">
        <v>32</v>
      </c>
      <c r="E6385" s="17" t="s">
        <v>20</v>
      </c>
      <c r="F6385" s="16" t="s">
        <v>19520</v>
      </c>
    </row>
    <row r="6386" spans="1:6" x14ac:dyDescent="0.25">
      <c r="A6386" s="16" t="s">
        <v>19521</v>
      </c>
      <c r="B6386" s="17" t="s">
        <v>19522</v>
      </c>
      <c r="C6386" s="17" t="s">
        <v>11</v>
      </c>
      <c r="D6386" s="17" t="s">
        <v>32</v>
      </c>
      <c r="E6386" s="17" t="s">
        <v>20</v>
      </c>
      <c r="F6386" s="16" t="s">
        <v>19523</v>
      </c>
    </row>
    <row r="6387" spans="1:6" x14ac:dyDescent="0.25">
      <c r="A6387" s="16" t="s">
        <v>19524</v>
      </c>
      <c r="B6387" s="17" t="s">
        <v>19525</v>
      </c>
      <c r="C6387" s="17" t="s">
        <v>11</v>
      </c>
      <c r="D6387" s="17" t="s">
        <v>32</v>
      </c>
      <c r="E6387" s="17" t="s">
        <v>20</v>
      </c>
      <c r="F6387" s="16" t="s">
        <v>19526</v>
      </c>
    </row>
    <row r="6388" spans="1:6" x14ac:dyDescent="0.25">
      <c r="A6388" s="16" t="s">
        <v>19527</v>
      </c>
      <c r="B6388" s="17" t="s">
        <v>19528</v>
      </c>
      <c r="C6388" s="17" t="s">
        <v>11</v>
      </c>
      <c r="D6388" s="17" t="s">
        <v>148</v>
      </c>
      <c r="E6388" s="17" t="s">
        <v>20</v>
      </c>
      <c r="F6388" s="16" t="s">
        <v>19529</v>
      </c>
    </row>
    <row r="6389" spans="1:6" x14ac:dyDescent="0.25">
      <c r="A6389" s="16" t="s">
        <v>19530</v>
      </c>
      <c r="B6389" s="17" t="s">
        <v>19531</v>
      </c>
      <c r="C6389" s="17" t="s">
        <v>11</v>
      </c>
      <c r="D6389" s="17" t="s">
        <v>26</v>
      </c>
      <c r="E6389" s="17" t="s">
        <v>20</v>
      </c>
      <c r="F6389" s="16" t="s">
        <v>19532</v>
      </c>
    </row>
    <row r="6390" spans="1:6" x14ac:dyDescent="0.25">
      <c r="A6390" s="16" t="s">
        <v>19533</v>
      </c>
      <c r="B6390" s="17" t="s">
        <v>19534</v>
      </c>
      <c r="C6390" s="17" t="s">
        <v>11</v>
      </c>
      <c r="D6390" s="17" t="s">
        <v>570</v>
      </c>
      <c r="E6390" s="17" t="s">
        <v>20</v>
      </c>
      <c r="F6390" s="16" t="s">
        <v>19535</v>
      </c>
    </row>
    <row r="6391" spans="1:6" x14ac:dyDescent="0.25">
      <c r="A6391" s="16" t="s">
        <v>19536</v>
      </c>
      <c r="B6391" s="17" t="s">
        <v>19537</v>
      </c>
      <c r="C6391" s="17" t="s">
        <v>11</v>
      </c>
      <c r="D6391" s="17" t="s">
        <v>32</v>
      </c>
      <c r="E6391" s="17" t="s">
        <v>20</v>
      </c>
      <c r="F6391" s="16" t="s">
        <v>19538</v>
      </c>
    </row>
    <row r="6392" spans="1:6" x14ac:dyDescent="0.25">
      <c r="A6392" s="16" t="s">
        <v>19539</v>
      </c>
      <c r="B6392" s="17" t="s">
        <v>19540</v>
      </c>
      <c r="C6392" s="17" t="s">
        <v>11</v>
      </c>
      <c r="D6392" s="17" t="s">
        <v>32</v>
      </c>
      <c r="E6392" s="17" t="s">
        <v>20</v>
      </c>
      <c r="F6392" s="16" t="s">
        <v>19541</v>
      </c>
    </row>
    <row r="6393" spans="1:6" x14ac:dyDescent="0.25">
      <c r="A6393" s="16" t="s">
        <v>19542</v>
      </c>
      <c r="B6393" s="17" t="s">
        <v>19543</v>
      </c>
      <c r="C6393" s="17" t="s">
        <v>11</v>
      </c>
      <c r="D6393" s="17" t="s">
        <v>32</v>
      </c>
      <c r="E6393" s="17" t="s">
        <v>20</v>
      </c>
      <c r="F6393" s="16" t="s">
        <v>19544</v>
      </c>
    </row>
    <row r="6394" spans="1:6" x14ac:dyDescent="0.25">
      <c r="A6394" s="16" t="s">
        <v>19545</v>
      </c>
      <c r="B6394" s="17" t="s">
        <v>19546</v>
      </c>
      <c r="C6394" s="17" t="s">
        <v>11</v>
      </c>
      <c r="D6394" s="17" t="s">
        <v>32</v>
      </c>
      <c r="E6394" s="17" t="s">
        <v>20</v>
      </c>
      <c r="F6394" s="16" t="s">
        <v>19547</v>
      </c>
    </row>
    <row r="6395" spans="1:6" x14ac:dyDescent="0.25">
      <c r="A6395" s="16" t="s">
        <v>19548</v>
      </c>
      <c r="B6395" s="17" t="s">
        <v>19549</v>
      </c>
      <c r="C6395" s="17" t="s">
        <v>11</v>
      </c>
      <c r="D6395" s="17" t="s">
        <v>32</v>
      </c>
      <c r="E6395" s="17" t="s">
        <v>20</v>
      </c>
      <c r="F6395" s="16" t="s">
        <v>19550</v>
      </c>
    </row>
    <row r="6396" spans="1:6" x14ac:dyDescent="0.25">
      <c r="A6396" s="16" t="s">
        <v>19551</v>
      </c>
      <c r="B6396" s="17" t="s">
        <v>19552</v>
      </c>
      <c r="C6396" s="17" t="s">
        <v>11</v>
      </c>
      <c r="D6396" s="17" t="s">
        <v>544</v>
      </c>
      <c r="E6396" s="17" t="s">
        <v>20</v>
      </c>
      <c r="F6396" s="16" t="s">
        <v>19553</v>
      </c>
    </row>
    <row r="6397" spans="1:6" x14ac:dyDescent="0.25">
      <c r="A6397" s="16" t="s">
        <v>19554</v>
      </c>
      <c r="B6397" s="17" t="s">
        <v>19555</v>
      </c>
      <c r="C6397" s="17" t="s">
        <v>11</v>
      </c>
      <c r="D6397" s="17" t="s">
        <v>544</v>
      </c>
      <c r="E6397" s="17" t="s">
        <v>20</v>
      </c>
      <c r="F6397" s="16" t="s">
        <v>19556</v>
      </c>
    </row>
    <row r="6398" spans="1:6" x14ac:dyDescent="0.25">
      <c r="A6398" s="16" t="s">
        <v>19557</v>
      </c>
      <c r="B6398" s="17" t="s">
        <v>19558</v>
      </c>
      <c r="C6398" s="17" t="s">
        <v>11</v>
      </c>
      <c r="D6398" s="17" t="s">
        <v>32</v>
      </c>
      <c r="E6398" s="17" t="s">
        <v>20</v>
      </c>
      <c r="F6398" s="16" t="s">
        <v>19559</v>
      </c>
    </row>
    <row r="6399" spans="1:6" x14ac:dyDescent="0.25">
      <c r="A6399" s="16" t="s">
        <v>19560</v>
      </c>
      <c r="B6399" s="17" t="s">
        <v>19561</v>
      </c>
      <c r="C6399" s="17" t="s">
        <v>11</v>
      </c>
      <c r="D6399" s="17" t="s">
        <v>291</v>
      </c>
      <c r="E6399" s="17" t="s">
        <v>20</v>
      </c>
      <c r="F6399" s="16" t="s">
        <v>19562</v>
      </c>
    </row>
    <row r="6400" spans="1:6" x14ac:dyDescent="0.25">
      <c r="A6400" s="16" t="s">
        <v>19563</v>
      </c>
      <c r="B6400" s="17" t="s">
        <v>19564</v>
      </c>
      <c r="C6400" s="17" t="s">
        <v>11</v>
      </c>
      <c r="D6400" s="17" t="s">
        <v>26</v>
      </c>
      <c r="E6400" s="17" t="s">
        <v>20</v>
      </c>
      <c r="F6400" s="16" t="s">
        <v>19565</v>
      </c>
    </row>
    <row r="6401" spans="1:6" x14ac:dyDescent="0.25">
      <c r="A6401" s="16" t="s">
        <v>19566</v>
      </c>
      <c r="B6401" s="17" t="s">
        <v>19567</v>
      </c>
      <c r="C6401" s="17" t="s">
        <v>11</v>
      </c>
      <c r="D6401" s="17" t="s">
        <v>32</v>
      </c>
      <c r="E6401" s="17" t="s">
        <v>20</v>
      </c>
      <c r="F6401" s="16" t="s">
        <v>19568</v>
      </c>
    </row>
    <row r="6402" spans="1:6" x14ac:dyDescent="0.25">
      <c r="A6402" s="16" t="s">
        <v>19569</v>
      </c>
      <c r="B6402" s="17" t="s">
        <v>19570</v>
      </c>
      <c r="C6402" s="17" t="s">
        <v>11</v>
      </c>
      <c r="D6402" s="17" t="s">
        <v>544</v>
      </c>
      <c r="E6402" s="17" t="s">
        <v>20</v>
      </c>
      <c r="F6402" s="16" t="s">
        <v>19571</v>
      </c>
    </row>
    <row r="6403" spans="1:6" x14ac:dyDescent="0.25">
      <c r="A6403" s="16" t="s">
        <v>19572</v>
      </c>
      <c r="B6403" s="17" t="s">
        <v>19573</v>
      </c>
      <c r="C6403" s="17" t="s">
        <v>11</v>
      </c>
      <c r="D6403" s="17" t="s">
        <v>32</v>
      </c>
      <c r="E6403" s="17" t="s">
        <v>20</v>
      </c>
      <c r="F6403" s="16" t="s">
        <v>19574</v>
      </c>
    </row>
    <row r="6404" spans="1:6" x14ac:dyDescent="0.25">
      <c r="A6404" s="16" t="s">
        <v>19575</v>
      </c>
      <c r="B6404" s="17" t="s">
        <v>19576</v>
      </c>
      <c r="C6404" s="17" t="s">
        <v>11</v>
      </c>
      <c r="D6404" s="17" t="s">
        <v>32</v>
      </c>
      <c r="E6404" s="17" t="s">
        <v>20</v>
      </c>
      <c r="F6404" s="16" t="s">
        <v>19577</v>
      </c>
    </row>
    <row r="6405" spans="1:6" x14ac:dyDescent="0.25">
      <c r="A6405" s="16" t="s">
        <v>19578</v>
      </c>
      <c r="B6405" s="17" t="s">
        <v>19579</v>
      </c>
      <c r="C6405" s="17" t="s">
        <v>11</v>
      </c>
      <c r="D6405" s="17" t="s">
        <v>26</v>
      </c>
      <c r="E6405" s="17" t="s">
        <v>20</v>
      </c>
      <c r="F6405" s="16" t="s">
        <v>19580</v>
      </c>
    </row>
    <row r="6406" spans="1:6" x14ac:dyDescent="0.25">
      <c r="A6406" s="16" t="s">
        <v>19581</v>
      </c>
      <c r="B6406" s="17" t="s">
        <v>19582</v>
      </c>
      <c r="C6406" s="17" t="s">
        <v>11</v>
      </c>
      <c r="D6406" s="17" t="s">
        <v>32</v>
      </c>
      <c r="E6406" s="17" t="s">
        <v>20</v>
      </c>
      <c r="F6406" s="16" t="s">
        <v>19583</v>
      </c>
    </row>
    <row r="6407" spans="1:6" x14ac:dyDescent="0.25">
      <c r="A6407" s="16" t="s">
        <v>19584</v>
      </c>
      <c r="B6407" s="17" t="s">
        <v>19585</v>
      </c>
      <c r="C6407" s="17" t="s">
        <v>11</v>
      </c>
      <c r="D6407" s="17" t="s">
        <v>32</v>
      </c>
      <c r="E6407" s="17" t="s">
        <v>20</v>
      </c>
      <c r="F6407" s="16" t="s">
        <v>19586</v>
      </c>
    </row>
    <row r="6408" spans="1:6" x14ac:dyDescent="0.25">
      <c r="A6408" s="16" t="s">
        <v>19587</v>
      </c>
      <c r="B6408" s="17" t="s">
        <v>19588</v>
      </c>
      <c r="C6408" s="17" t="s">
        <v>11</v>
      </c>
      <c r="D6408" s="17" t="s">
        <v>148</v>
      </c>
      <c r="E6408" s="17" t="s">
        <v>20</v>
      </c>
      <c r="F6408" s="16" t="s">
        <v>19589</v>
      </c>
    </row>
    <row r="6409" spans="1:6" x14ac:dyDescent="0.25">
      <c r="A6409" s="16" t="s">
        <v>19590</v>
      </c>
      <c r="B6409" s="17" t="s">
        <v>19591</v>
      </c>
      <c r="C6409" s="17" t="s">
        <v>11</v>
      </c>
      <c r="D6409" s="17" t="s">
        <v>26</v>
      </c>
      <c r="E6409" s="17" t="s">
        <v>20</v>
      </c>
      <c r="F6409" s="16" t="s">
        <v>19592</v>
      </c>
    </row>
    <row r="6410" spans="1:6" x14ac:dyDescent="0.25">
      <c r="A6410" s="16" t="s">
        <v>19593</v>
      </c>
      <c r="B6410" s="17" t="s">
        <v>19594</v>
      </c>
      <c r="C6410" s="17" t="s">
        <v>11</v>
      </c>
      <c r="D6410" s="17" t="s">
        <v>26</v>
      </c>
      <c r="E6410" s="17" t="s">
        <v>20</v>
      </c>
      <c r="F6410" s="16" t="s">
        <v>19595</v>
      </c>
    </row>
    <row r="6411" spans="1:6" x14ac:dyDescent="0.25">
      <c r="A6411" s="16" t="s">
        <v>19596</v>
      </c>
      <c r="B6411" s="17" t="s">
        <v>19597</v>
      </c>
      <c r="C6411" s="17" t="s">
        <v>11</v>
      </c>
      <c r="D6411" s="17" t="s">
        <v>544</v>
      </c>
      <c r="E6411" s="17" t="s">
        <v>20</v>
      </c>
      <c r="F6411" s="16" t="s">
        <v>19598</v>
      </c>
    </row>
    <row r="6412" spans="1:6" x14ac:dyDescent="0.25">
      <c r="A6412" s="16" t="s">
        <v>19599</v>
      </c>
      <c r="B6412" s="17" t="s">
        <v>19600</v>
      </c>
      <c r="C6412" s="17" t="s">
        <v>11</v>
      </c>
      <c r="D6412" s="17" t="s">
        <v>148</v>
      </c>
      <c r="E6412" s="17" t="s">
        <v>20</v>
      </c>
      <c r="F6412" s="16" t="s">
        <v>19601</v>
      </c>
    </row>
    <row r="6413" spans="1:6" x14ac:dyDescent="0.25">
      <c r="A6413" s="16" t="s">
        <v>19602</v>
      </c>
      <c r="B6413" s="17" t="s">
        <v>19603</v>
      </c>
      <c r="C6413" s="17" t="s">
        <v>11</v>
      </c>
      <c r="D6413" s="17" t="s">
        <v>32</v>
      </c>
      <c r="E6413" s="17" t="s">
        <v>20</v>
      </c>
      <c r="F6413" s="16" t="s">
        <v>19604</v>
      </c>
    </row>
    <row r="6414" spans="1:6" x14ac:dyDescent="0.25">
      <c r="A6414" s="16" t="s">
        <v>19605</v>
      </c>
      <c r="B6414" s="17" t="s">
        <v>19606</v>
      </c>
      <c r="C6414" s="17" t="s">
        <v>11</v>
      </c>
      <c r="D6414" s="17" t="s">
        <v>32</v>
      </c>
      <c r="E6414" s="17" t="s">
        <v>20</v>
      </c>
      <c r="F6414" s="16" t="s">
        <v>19607</v>
      </c>
    </row>
    <row r="6415" spans="1:6" x14ac:dyDescent="0.25">
      <c r="A6415" s="16" t="s">
        <v>19608</v>
      </c>
      <c r="B6415" s="17" t="s">
        <v>19609</v>
      </c>
      <c r="C6415" s="17" t="s">
        <v>11</v>
      </c>
      <c r="D6415" s="17" t="s">
        <v>32</v>
      </c>
      <c r="E6415" s="17" t="s">
        <v>20</v>
      </c>
      <c r="F6415" s="16" t="s">
        <v>19610</v>
      </c>
    </row>
    <row r="6416" spans="1:6" x14ac:dyDescent="0.25">
      <c r="A6416" s="16" t="s">
        <v>19611</v>
      </c>
      <c r="B6416" s="17" t="s">
        <v>19612</v>
      </c>
      <c r="C6416" s="17" t="s">
        <v>11</v>
      </c>
      <c r="D6416" s="17" t="s">
        <v>26</v>
      </c>
      <c r="E6416" s="17" t="s">
        <v>20</v>
      </c>
      <c r="F6416" s="16" t="s">
        <v>19613</v>
      </c>
    </row>
    <row r="6417" spans="1:6" x14ac:dyDescent="0.25">
      <c r="A6417" s="16" t="s">
        <v>19614</v>
      </c>
      <c r="B6417" s="17" t="s">
        <v>19615</v>
      </c>
      <c r="C6417" s="17" t="s">
        <v>11</v>
      </c>
      <c r="D6417" s="17" t="s">
        <v>32</v>
      </c>
      <c r="E6417" s="17" t="s">
        <v>20</v>
      </c>
      <c r="F6417" s="16" t="s">
        <v>19616</v>
      </c>
    </row>
    <row r="6418" spans="1:6" x14ac:dyDescent="0.25">
      <c r="A6418" s="16" t="s">
        <v>19617</v>
      </c>
      <c r="B6418" s="17" t="s">
        <v>19618</v>
      </c>
      <c r="C6418" s="17" t="s">
        <v>11</v>
      </c>
      <c r="D6418" s="17" t="s">
        <v>32</v>
      </c>
      <c r="E6418" s="17" t="s">
        <v>20</v>
      </c>
      <c r="F6418" s="16" t="s">
        <v>19619</v>
      </c>
    </row>
    <row r="6419" spans="1:6" x14ac:dyDescent="0.25">
      <c r="A6419" s="16" t="s">
        <v>19620</v>
      </c>
      <c r="B6419" s="17" t="s">
        <v>19621</v>
      </c>
      <c r="C6419" s="17" t="s">
        <v>11</v>
      </c>
      <c r="D6419" s="17" t="s">
        <v>32</v>
      </c>
      <c r="E6419" s="17" t="s">
        <v>20</v>
      </c>
      <c r="F6419" s="16" t="s">
        <v>19622</v>
      </c>
    </row>
    <row r="6420" spans="1:6" x14ac:dyDescent="0.25">
      <c r="A6420" s="16" t="s">
        <v>19623</v>
      </c>
      <c r="B6420" s="17" t="s">
        <v>19624</v>
      </c>
      <c r="C6420" s="17" t="s">
        <v>11</v>
      </c>
      <c r="D6420" s="17" t="s">
        <v>83</v>
      </c>
      <c r="E6420" s="17" t="s">
        <v>20</v>
      </c>
      <c r="F6420" s="16" t="s">
        <v>19625</v>
      </c>
    </row>
    <row r="6421" spans="1:6" x14ac:dyDescent="0.25">
      <c r="A6421" s="16" t="s">
        <v>19626</v>
      </c>
      <c r="B6421" s="17" t="s">
        <v>19627</v>
      </c>
      <c r="C6421" s="17" t="s">
        <v>11</v>
      </c>
      <c r="D6421" s="17" t="s">
        <v>80</v>
      </c>
      <c r="E6421" s="17" t="s">
        <v>20</v>
      </c>
      <c r="F6421" s="16" t="s">
        <v>19628</v>
      </c>
    </row>
    <row r="6422" spans="1:6" x14ac:dyDescent="0.25">
      <c r="A6422" s="16" t="s">
        <v>19629</v>
      </c>
      <c r="B6422" s="17" t="s">
        <v>19630</v>
      </c>
      <c r="C6422" s="17" t="s">
        <v>11</v>
      </c>
      <c r="D6422" s="17" t="s">
        <v>3463</v>
      </c>
      <c r="E6422" s="17" t="s">
        <v>1299</v>
      </c>
      <c r="F6422" s="16" t="s">
        <v>19631</v>
      </c>
    </row>
    <row r="6423" spans="1:6" x14ac:dyDescent="0.25">
      <c r="A6423" s="16" t="s">
        <v>19632</v>
      </c>
      <c r="B6423" s="17" t="s">
        <v>19633</v>
      </c>
      <c r="C6423" s="17" t="s">
        <v>11</v>
      </c>
      <c r="D6423" s="17" t="s">
        <v>83</v>
      </c>
      <c r="E6423" s="17" t="s">
        <v>20</v>
      </c>
      <c r="F6423" s="16" t="s">
        <v>19634</v>
      </c>
    </row>
    <row r="6424" spans="1:6" x14ac:dyDescent="0.25">
      <c r="A6424" s="16" t="s">
        <v>19635</v>
      </c>
      <c r="B6424" s="17" t="s">
        <v>19636</v>
      </c>
      <c r="C6424" s="17" t="s">
        <v>11</v>
      </c>
      <c r="D6424" s="17" t="s">
        <v>26</v>
      </c>
      <c r="E6424" s="17" t="s">
        <v>20</v>
      </c>
      <c r="F6424" s="16" t="s">
        <v>19637</v>
      </c>
    </row>
    <row r="6425" spans="1:6" x14ac:dyDescent="0.25">
      <c r="A6425" s="16" t="s">
        <v>19638</v>
      </c>
      <c r="B6425" s="17" t="s">
        <v>19639</v>
      </c>
      <c r="C6425" s="17" t="s">
        <v>11</v>
      </c>
      <c r="D6425" s="17" t="s">
        <v>9184</v>
      </c>
      <c r="E6425" s="17" t="s">
        <v>1237</v>
      </c>
      <c r="F6425" s="16" t="s">
        <v>19640</v>
      </c>
    </row>
    <row r="6426" spans="1:6" x14ac:dyDescent="0.25">
      <c r="A6426" s="16" t="s">
        <v>19641</v>
      </c>
      <c r="B6426" s="17" t="s">
        <v>19642</v>
      </c>
      <c r="C6426" s="17" t="s">
        <v>214</v>
      </c>
      <c r="D6426" s="17" t="s">
        <v>32</v>
      </c>
      <c r="E6426" s="17" t="s">
        <v>20</v>
      </c>
      <c r="F6426" s="16" t="s">
        <v>19643</v>
      </c>
    </row>
    <row r="6427" spans="1:6" x14ac:dyDescent="0.25">
      <c r="A6427" s="16" t="s">
        <v>19644</v>
      </c>
      <c r="B6427" s="17" t="s">
        <v>19645</v>
      </c>
      <c r="C6427" s="17" t="s">
        <v>11</v>
      </c>
      <c r="D6427" s="17" t="s">
        <v>32</v>
      </c>
      <c r="E6427" s="17" t="s">
        <v>20</v>
      </c>
      <c r="F6427" s="16" t="s">
        <v>19646</v>
      </c>
    </row>
    <row r="6428" spans="1:6" x14ac:dyDescent="0.25">
      <c r="A6428" s="16" t="s">
        <v>19647</v>
      </c>
      <c r="B6428" s="17" t="s">
        <v>19648</v>
      </c>
      <c r="C6428" s="17" t="s">
        <v>11</v>
      </c>
      <c r="D6428" s="17" t="s">
        <v>83</v>
      </c>
      <c r="E6428" s="17" t="s">
        <v>20</v>
      </c>
      <c r="F6428" s="16" t="s">
        <v>19649</v>
      </c>
    </row>
    <row r="6429" spans="1:6" x14ac:dyDescent="0.25">
      <c r="A6429" s="16" t="s">
        <v>19650</v>
      </c>
      <c r="B6429" s="17" t="s">
        <v>19651</v>
      </c>
      <c r="C6429" s="17" t="s">
        <v>11</v>
      </c>
      <c r="D6429" s="17" t="s">
        <v>26</v>
      </c>
      <c r="E6429" s="17" t="s">
        <v>20</v>
      </c>
      <c r="F6429" s="16" t="s">
        <v>19652</v>
      </c>
    </row>
    <row r="6430" spans="1:6" x14ac:dyDescent="0.25">
      <c r="A6430" s="16" t="s">
        <v>19653</v>
      </c>
      <c r="B6430" s="17" t="s">
        <v>19654</v>
      </c>
      <c r="C6430" s="17" t="s">
        <v>11</v>
      </c>
      <c r="D6430" s="17" t="s">
        <v>26</v>
      </c>
      <c r="E6430" s="17" t="s">
        <v>20</v>
      </c>
      <c r="F6430" s="16" t="s">
        <v>19655</v>
      </c>
    </row>
    <row r="6431" spans="1:6" x14ac:dyDescent="0.25">
      <c r="A6431" s="16" t="s">
        <v>19656</v>
      </c>
      <c r="B6431" s="17" t="s">
        <v>19657</v>
      </c>
      <c r="C6431" s="17" t="s">
        <v>11</v>
      </c>
      <c r="D6431" s="17" t="s">
        <v>32</v>
      </c>
      <c r="E6431" s="17" t="s">
        <v>20</v>
      </c>
      <c r="F6431" s="16" t="s">
        <v>19658</v>
      </c>
    </row>
    <row r="6432" spans="1:6" x14ac:dyDescent="0.25">
      <c r="A6432" s="16" t="s">
        <v>19659</v>
      </c>
      <c r="B6432" s="17" t="s">
        <v>19660</v>
      </c>
      <c r="C6432" s="17" t="s">
        <v>11</v>
      </c>
      <c r="D6432" s="17" t="s">
        <v>250</v>
      </c>
      <c r="E6432" s="17" t="s">
        <v>20</v>
      </c>
      <c r="F6432" s="16" t="s">
        <v>19661</v>
      </c>
    </row>
    <row r="6433" spans="1:6" x14ac:dyDescent="0.25">
      <c r="A6433" s="16" t="s">
        <v>19662</v>
      </c>
      <c r="B6433" s="17" t="s">
        <v>19663</v>
      </c>
      <c r="C6433" s="17" t="s">
        <v>11</v>
      </c>
      <c r="D6433" s="17" t="s">
        <v>83</v>
      </c>
      <c r="E6433" s="17" t="s">
        <v>20</v>
      </c>
      <c r="F6433" s="16" t="s">
        <v>19664</v>
      </c>
    </row>
    <row r="6434" spans="1:6" x14ac:dyDescent="0.25">
      <c r="A6434" s="16" t="s">
        <v>19665</v>
      </c>
      <c r="B6434" s="17" t="s">
        <v>19666</v>
      </c>
      <c r="C6434" s="17" t="s">
        <v>11</v>
      </c>
      <c r="D6434" s="17" t="s">
        <v>182</v>
      </c>
      <c r="E6434" s="17" t="s">
        <v>20</v>
      </c>
      <c r="F6434" s="16" t="s">
        <v>19667</v>
      </c>
    </row>
    <row r="6435" spans="1:6" x14ac:dyDescent="0.25">
      <c r="A6435" s="16" t="s">
        <v>19668</v>
      </c>
      <c r="B6435" s="17" t="s">
        <v>19669</v>
      </c>
      <c r="C6435" s="17" t="s">
        <v>11</v>
      </c>
      <c r="D6435" s="17" t="s">
        <v>26</v>
      </c>
      <c r="E6435" s="17" t="s">
        <v>20</v>
      </c>
      <c r="F6435" s="16" t="s">
        <v>19670</v>
      </c>
    </row>
    <row r="6436" spans="1:6" x14ac:dyDescent="0.25">
      <c r="A6436" s="16" t="s">
        <v>19671</v>
      </c>
      <c r="B6436" s="17" t="s">
        <v>19672</v>
      </c>
      <c r="C6436" s="17" t="s">
        <v>11</v>
      </c>
      <c r="D6436" s="17" t="s">
        <v>26</v>
      </c>
      <c r="E6436" s="17" t="s">
        <v>20</v>
      </c>
      <c r="F6436" s="16" t="s">
        <v>19673</v>
      </c>
    </row>
    <row r="6437" spans="1:6" x14ac:dyDescent="0.25">
      <c r="A6437" s="16" t="s">
        <v>19674</v>
      </c>
      <c r="B6437" s="17" t="s">
        <v>19675</v>
      </c>
      <c r="C6437" s="17" t="s">
        <v>11</v>
      </c>
      <c r="D6437" s="17" t="s">
        <v>32</v>
      </c>
      <c r="E6437" s="17" t="s">
        <v>20</v>
      </c>
      <c r="F6437" s="16" t="s">
        <v>19676</v>
      </c>
    </row>
    <row r="6438" spans="1:6" x14ac:dyDescent="0.25">
      <c r="A6438" s="16" t="s">
        <v>19677</v>
      </c>
      <c r="B6438" s="17" t="s">
        <v>19678</v>
      </c>
      <c r="C6438" s="17" t="s">
        <v>11</v>
      </c>
      <c r="D6438" s="17" t="s">
        <v>83</v>
      </c>
      <c r="E6438" s="17" t="s">
        <v>20</v>
      </c>
      <c r="F6438" s="16" t="s">
        <v>19679</v>
      </c>
    </row>
    <row r="6439" spans="1:6" x14ac:dyDescent="0.25">
      <c r="A6439" s="16" t="s">
        <v>19680</v>
      </c>
      <c r="B6439" s="17" t="s">
        <v>19681</v>
      </c>
      <c r="C6439" s="17" t="s">
        <v>11</v>
      </c>
      <c r="D6439" s="17" t="s">
        <v>32</v>
      </c>
      <c r="E6439" s="17" t="s">
        <v>20</v>
      </c>
      <c r="F6439" s="16" t="s">
        <v>19682</v>
      </c>
    </row>
    <row r="6440" spans="1:6" x14ac:dyDescent="0.25">
      <c r="A6440" s="16" t="s">
        <v>19683</v>
      </c>
      <c r="B6440" s="17" t="s">
        <v>19684</v>
      </c>
      <c r="C6440" s="17" t="s">
        <v>11</v>
      </c>
      <c r="D6440" s="17" t="s">
        <v>32</v>
      </c>
      <c r="E6440" s="17" t="s">
        <v>20</v>
      </c>
      <c r="F6440" s="16" t="s">
        <v>19685</v>
      </c>
    </row>
    <row r="6441" spans="1:6" x14ac:dyDescent="0.25">
      <c r="A6441" s="16" t="s">
        <v>19686</v>
      </c>
      <c r="B6441" s="17" t="s">
        <v>19687</v>
      </c>
      <c r="C6441" s="17" t="s">
        <v>11</v>
      </c>
      <c r="D6441" s="17" t="s">
        <v>74</v>
      </c>
      <c r="E6441" s="17" t="s">
        <v>20</v>
      </c>
      <c r="F6441" s="16" t="s">
        <v>19688</v>
      </c>
    </row>
    <row r="6442" spans="1:6" x14ac:dyDescent="0.25">
      <c r="A6442" s="16" t="s">
        <v>19689</v>
      </c>
      <c r="B6442" s="17" t="s">
        <v>19690</v>
      </c>
      <c r="C6442" s="17" t="s">
        <v>11</v>
      </c>
      <c r="D6442" s="17" t="s">
        <v>26</v>
      </c>
      <c r="E6442" s="17" t="s">
        <v>20</v>
      </c>
      <c r="F6442" s="16" t="s">
        <v>19691</v>
      </c>
    </row>
    <row r="6443" spans="1:6" x14ac:dyDescent="0.25">
      <c r="A6443" s="16" t="s">
        <v>19692</v>
      </c>
      <c r="B6443" s="17" t="s">
        <v>19693</v>
      </c>
      <c r="C6443" s="17" t="s">
        <v>11</v>
      </c>
      <c r="D6443" s="17" t="s">
        <v>32</v>
      </c>
      <c r="E6443" s="17" t="s">
        <v>20</v>
      </c>
      <c r="F6443" s="16" t="s">
        <v>19694</v>
      </c>
    </row>
    <row r="6444" spans="1:6" x14ac:dyDescent="0.25">
      <c r="A6444" s="16" t="s">
        <v>19695</v>
      </c>
      <c r="B6444" s="17" t="s">
        <v>19696</v>
      </c>
      <c r="C6444" s="17" t="s">
        <v>11</v>
      </c>
      <c r="D6444" s="17" t="s">
        <v>32</v>
      </c>
      <c r="E6444" s="17" t="s">
        <v>20</v>
      </c>
      <c r="F6444" s="16" t="s">
        <v>19697</v>
      </c>
    </row>
    <row r="6445" spans="1:6" x14ac:dyDescent="0.25">
      <c r="A6445" s="16" t="s">
        <v>19698</v>
      </c>
      <c r="B6445" s="17" t="s">
        <v>19699</v>
      </c>
      <c r="C6445" s="17" t="s">
        <v>11</v>
      </c>
      <c r="D6445" s="17" t="s">
        <v>26</v>
      </c>
      <c r="E6445" s="17" t="s">
        <v>20</v>
      </c>
      <c r="F6445" s="16" t="s">
        <v>19700</v>
      </c>
    </row>
    <row r="6446" spans="1:6" x14ac:dyDescent="0.25">
      <c r="A6446" s="16" t="s">
        <v>19701</v>
      </c>
      <c r="B6446" s="17" t="s">
        <v>19702</v>
      </c>
      <c r="C6446" s="17" t="s">
        <v>11</v>
      </c>
      <c r="D6446" s="17" t="s">
        <v>148</v>
      </c>
      <c r="E6446" s="17" t="s">
        <v>20</v>
      </c>
      <c r="F6446" s="16" t="s">
        <v>19703</v>
      </c>
    </row>
    <row r="6447" spans="1:6" x14ac:dyDescent="0.25">
      <c r="A6447" s="16" t="s">
        <v>19704</v>
      </c>
      <c r="B6447" s="17" t="s">
        <v>19705</v>
      </c>
      <c r="C6447" s="17" t="s">
        <v>11</v>
      </c>
      <c r="D6447" s="17" t="s">
        <v>83</v>
      </c>
      <c r="E6447" s="17" t="s">
        <v>20</v>
      </c>
      <c r="F6447" s="16" t="s">
        <v>19706</v>
      </c>
    </row>
    <row r="6448" spans="1:6" x14ac:dyDescent="0.25">
      <c r="A6448" s="16" t="s">
        <v>19707</v>
      </c>
      <c r="B6448" s="17" t="s">
        <v>19708</v>
      </c>
      <c r="C6448" s="17" t="s">
        <v>11</v>
      </c>
      <c r="D6448" s="17" t="s">
        <v>83</v>
      </c>
      <c r="E6448" s="17" t="s">
        <v>20</v>
      </c>
      <c r="F6448" s="16" t="s">
        <v>19709</v>
      </c>
    </row>
    <row r="6449" spans="1:6" x14ac:dyDescent="0.25">
      <c r="A6449" s="16" t="s">
        <v>19710</v>
      </c>
      <c r="B6449" s="17" t="s">
        <v>19711</v>
      </c>
      <c r="C6449" s="17" t="s">
        <v>11</v>
      </c>
      <c r="D6449" s="17" t="s">
        <v>32</v>
      </c>
      <c r="E6449" s="17" t="s">
        <v>20</v>
      </c>
      <c r="F6449" s="16" t="s">
        <v>19712</v>
      </c>
    </row>
    <row r="6450" spans="1:6" x14ac:dyDescent="0.25">
      <c r="A6450" s="16" t="s">
        <v>19713</v>
      </c>
      <c r="B6450" s="17" t="s">
        <v>19714</v>
      </c>
      <c r="C6450" s="17" t="s">
        <v>11</v>
      </c>
      <c r="D6450" s="17" t="s">
        <v>83</v>
      </c>
      <c r="E6450" s="17" t="s">
        <v>20</v>
      </c>
      <c r="F6450" s="16" t="s">
        <v>19715</v>
      </c>
    </row>
    <row r="6451" spans="1:6" x14ac:dyDescent="0.25">
      <c r="A6451" s="16" t="s">
        <v>19716</v>
      </c>
      <c r="B6451" s="17" t="s">
        <v>19717</v>
      </c>
      <c r="C6451" s="17" t="s">
        <v>11</v>
      </c>
      <c r="D6451" s="17" t="s">
        <v>32</v>
      </c>
      <c r="E6451" s="17" t="s">
        <v>20</v>
      </c>
      <c r="F6451" s="16" t="s">
        <v>19718</v>
      </c>
    </row>
    <row r="6452" spans="1:6" x14ac:dyDescent="0.25">
      <c r="A6452" s="16" t="s">
        <v>19719</v>
      </c>
      <c r="B6452" s="17" t="s">
        <v>19720</v>
      </c>
      <c r="C6452" s="17" t="s">
        <v>11</v>
      </c>
      <c r="D6452" s="17" t="s">
        <v>32</v>
      </c>
      <c r="E6452" s="17" t="s">
        <v>20</v>
      </c>
      <c r="F6452" s="16" t="s">
        <v>19721</v>
      </c>
    </row>
    <row r="6453" spans="1:6" x14ac:dyDescent="0.25">
      <c r="A6453" s="16" t="s">
        <v>19722</v>
      </c>
      <c r="B6453" s="17" t="s">
        <v>19723</v>
      </c>
      <c r="C6453" s="17" t="s">
        <v>11</v>
      </c>
      <c r="D6453" s="17" t="s">
        <v>32</v>
      </c>
      <c r="E6453" s="17" t="s">
        <v>20</v>
      </c>
      <c r="F6453" s="16" t="s">
        <v>19724</v>
      </c>
    </row>
    <row r="6454" spans="1:6" x14ac:dyDescent="0.25">
      <c r="A6454" s="16" t="s">
        <v>19725</v>
      </c>
      <c r="B6454" s="17" t="s">
        <v>19726</v>
      </c>
      <c r="C6454" s="17" t="s">
        <v>11</v>
      </c>
      <c r="D6454" s="17" t="s">
        <v>83</v>
      </c>
      <c r="E6454" s="17" t="s">
        <v>20</v>
      </c>
      <c r="F6454" s="16" t="s">
        <v>19727</v>
      </c>
    </row>
    <row r="6455" spans="1:6" x14ac:dyDescent="0.25">
      <c r="A6455" s="16" t="s">
        <v>19728</v>
      </c>
      <c r="B6455" s="17" t="s">
        <v>19729</v>
      </c>
      <c r="C6455" s="17" t="s">
        <v>11</v>
      </c>
      <c r="D6455" s="17" t="s">
        <v>148</v>
      </c>
      <c r="E6455" s="17" t="s">
        <v>20</v>
      </c>
      <c r="F6455" s="16" t="s">
        <v>19730</v>
      </c>
    </row>
    <row r="6456" spans="1:6" x14ac:dyDescent="0.25">
      <c r="A6456" s="16" t="s">
        <v>19731</v>
      </c>
      <c r="B6456" s="17" t="s">
        <v>19732</v>
      </c>
      <c r="C6456" s="17" t="s">
        <v>11</v>
      </c>
      <c r="D6456" s="17" t="s">
        <v>148</v>
      </c>
      <c r="E6456" s="17" t="s">
        <v>20</v>
      </c>
      <c r="F6456" s="16" t="s">
        <v>19733</v>
      </c>
    </row>
    <row r="6457" spans="1:6" x14ac:dyDescent="0.25">
      <c r="A6457" s="16" t="s">
        <v>19734</v>
      </c>
      <c r="B6457" s="17" t="s">
        <v>19735</v>
      </c>
      <c r="C6457" s="17" t="s">
        <v>11</v>
      </c>
      <c r="D6457" s="17" t="s">
        <v>148</v>
      </c>
      <c r="E6457" s="17" t="s">
        <v>20</v>
      </c>
      <c r="F6457" s="16" t="s">
        <v>19736</v>
      </c>
    </row>
    <row r="6458" spans="1:6" x14ac:dyDescent="0.25">
      <c r="A6458" s="16" t="s">
        <v>19737</v>
      </c>
      <c r="B6458" s="17" t="s">
        <v>19738</v>
      </c>
      <c r="C6458" s="17" t="s">
        <v>11</v>
      </c>
      <c r="D6458" s="17" t="s">
        <v>83</v>
      </c>
      <c r="E6458" s="17" t="s">
        <v>20</v>
      </c>
      <c r="F6458" s="16" t="s">
        <v>19739</v>
      </c>
    </row>
    <row r="6459" spans="1:6" x14ac:dyDescent="0.25">
      <c r="A6459" s="16" t="s">
        <v>19740</v>
      </c>
      <c r="B6459" s="17" t="s">
        <v>19741</v>
      </c>
      <c r="C6459" s="17" t="s">
        <v>11</v>
      </c>
      <c r="D6459" s="17" t="s">
        <v>32</v>
      </c>
      <c r="E6459" s="17" t="s">
        <v>20</v>
      </c>
      <c r="F6459" s="16" t="s">
        <v>19742</v>
      </c>
    </row>
    <row r="6460" spans="1:6" x14ac:dyDescent="0.25">
      <c r="A6460" s="16" t="s">
        <v>19743</v>
      </c>
      <c r="B6460" s="17" t="s">
        <v>19744</v>
      </c>
      <c r="C6460" s="17" t="s">
        <v>11</v>
      </c>
      <c r="D6460" s="17" t="s">
        <v>26</v>
      </c>
      <c r="E6460" s="17" t="s">
        <v>20</v>
      </c>
      <c r="F6460" s="16" t="s">
        <v>19745</v>
      </c>
    </row>
    <row r="6461" spans="1:6" x14ac:dyDescent="0.25">
      <c r="A6461" s="16" t="s">
        <v>19746</v>
      </c>
      <c r="B6461" s="17" t="s">
        <v>19747</v>
      </c>
      <c r="C6461" s="17" t="s">
        <v>11</v>
      </c>
      <c r="D6461" s="17" t="s">
        <v>26</v>
      </c>
      <c r="E6461" s="17" t="s">
        <v>20</v>
      </c>
      <c r="F6461" s="16" t="s">
        <v>19748</v>
      </c>
    </row>
    <row r="6462" spans="1:6" x14ac:dyDescent="0.25">
      <c r="A6462" s="16" t="s">
        <v>19749</v>
      </c>
      <c r="B6462" s="17" t="s">
        <v>19750</v>
      </c>
      <c r="C6462" s="17" t="s">
        <v>11</v>
      </c>
      <c r="D6462" s="17" t="s">
        <v>26</v>
      </c>
      <c r="E6462" s="17" t="s">
        <v>20</v>
      </c>
      <c r="F6462" s="16" t="s">
        <v>19751</v>
      </c>
    </row>
    <row r="6463" spans="1:6" x14ac:dyDescent="0.25">
      <c r="A6463" s="16" t="s">
        <v>19752</v>
      </c>
      <c r="B6463" s="17" t="s">
        <v>19753</v>
      </c>
      <c r="C6463" s="17" t="s">
        <v>11</v>
      </c>
      <c r="D6463" s="17" t="s">
        <v>26</v>
      </c>
      <c r="E6463" s="17" t="s">
        <v>20</v>
      </c>
      <c r="F6463" s="16" t="s">
        <v>19754</v>
      </c>
    </row>
    <row r="6464" spans="1:6" x14ac:dyDescent="0.25">
      <c r="A6464" s="16" t="s">
        <v>19755</v>
      </c>
      <c r="B6464" s="17" t="s">
        <v>19756</v>
      </c>
      <c r="C6464" s="17" t="s">
        <v>11</v>
      </c>
      <c r="D6464" s="17" t="s">
        <v>32</v>
      </c>
      <c r="E6464" s="17" t="s">
        <v>20</v>
      </c>
      <c r="F6464" s="16" t="s">
        <v>19757</v>
      </c>
    </row>
    <row r="6465" spans="1:6" x14ac:dyDescent="0.25">
      <c r="A6465" s="16" t="s">
        <v>19758</v>
      </c>
      <c r="B6465" s="17" t="s">
        <v>19759</v>
      </c>
      <c r="C6465" s="17" t="s">
        <v>11</v>
      </c>
      <c r="D6465" s="17" t="s">
        <v>32</v>
      </c>
      <c r="E6465" s="17" t="s">
        <v>20</v>
      </c>
      <c r="F6465" s="16" t="s">
        <v>19760</v>
      </c>
    </row>
    <row r="6466" spans="1:6" x14ac:dyDescent="0.25">
      <c r="A6466" s="16" t="s">
        <v>19761</v>
      </c>
      <c r="B6466" s="17" t="s">
        <v>19762</v>
      </c>
      <c r="C6466" s="17" t="s">
        <v>11</v>
      </c>
      <c r="D6466" s="17" t="s">
        <v>26</v>
      </c>
      <c r="E6466" s="17" t="s">
        <v>20</v>
      </c>
      <c r="F6466" s="16" t="s">
        <v>19763</v>
      </c>
    </row>
    <row r="6467" spans="1:6" x14ac:dyDescent="0.25">
      <c r="A6467" s="16" t="s">
        <v>19764</v>
      </c>
      <c r="B6467" s="17" t="s">
        <v>19765</v>
      </c>
      <c r="C6467" s="17" t="s">
        <v>359</v>
      </c>
      <c r="D6467" s="17" t="s">
        <v>32</v>
      </c>
      <c r="E6467" s="17" t="s">
        <v>20</v>
      </c>
      <c r="F6467" s="16" t="s">
        <v>19766</v>
      </c>
    </row>
    <row r="6468" spans="1:6" x14ac:dyDescent="0.25">
      <c r="A6468" s="16" t="s">
        <v>19767</v>
      </c>
      <c r="B6468" s="17" t="s">
        <v>19768</v>
      </c>
      <c r="C6468" s="17" t="s">
        <v>11</v>
      </c>
      <c r="D6468" s="17" t="s">
        <v>26</v>
      </c>
      <c r="E6468" s="17" t="s">
        <v>20</v>
      </c>
      <c r="F6468" s="16" t="s">
        <v>19769</v>
      </c>
    </row>
    <row r="6469" spans="1:6" x14ac:dyDescent="0.25">
      <c r="A6469" s="16" t="s">
        <v>19770</v>
      </c>
      <c r="B6469" s="17" t="s">
        <v>19771</v>
      </c>
      <c r="C6469" s="17" t="s">
        <v>11</v>
      </c>
      <c r="D6469" s="17" t="s">
        <v>26</v>
      </c>
      <c r="E6469" s="17" t="s">
        <v>20</v>
      </c>
      <c r="F6469" s="16" t="s">
        <v>19772</v>
      </c>
    </row>
    <row r="6470" spans="1:6" x14ac:dyDescent="0.25">
      <c r="A6470" s="16" t="s">
        <v>19773</v>
      </c>
      <c r="B6470" s="17" t="s">
        <v>19774</v>
      </c>
      <c r="C6470" s="17" t="s">
        <v>11</v>
      </c>
      <c r="D6470" s="17" t="s">
        <v>32</v>
      </c>
      <c r="E6470" s="17" t="s">
        <v>20</v>
      </c>
      <c r="F6470" s="16" t="s">
        <v>19775</v>
      </c>
    </row>
    <row r="6471" spans="1:6" x14ac:dyDescent="0.25">
      <c r="A6471" s="16" t="s">
        <v>19776</v>
      </c>
      <c r="B6471" s="17" t="s">
        <v>19777</v>
      </c>
      <c r="C6471" s="17" t="s">
        <v>11</v>
      </c>
      <c r="D6471" s="17" t="s">
        <v>26</v>
      </c>
      <c r="E6471" s="17" t="s">
        <v>20</v>
      </c>
      <c r="F6471" s="16" t="s">
        <v>19778</v>
      </c>
    </row>
    <row r="6472" spans="1:6" x14ac:dyDescent="0.25">
      <c r="A6472" s="16" t="s">
        <v>19779</v>
      </c>
      <c r="B6472" s="17" t="s">
        <v>19780</v>
      </c>
      <c r="C6472" s="17" t="s">
        <v>11</v>
      </c>
      <c r="D6472" s="17" t="s">
        <v>544</v>
      </c>
      <c r="E6472" s="17" t="s">
        <v>20</v>
      </c>
      <c r="F6472" s="16" t="s">
        <v>19781</v>
      </c>
    </row>
    <row r="6473" spans="1:6" x14ac:dyDescent="0.25">
      <c r="A6473" s="16" t="s">
        <v>19782</v>
      </c>
      <c r="B6473" s="17" t="s">
        <v>19783</v>
      </c>
      <c r="C6473" s="17" t="s">
        <v>11</v>
      </c>
      <c r="D6473" s="17" t="s">
        <v>148</v>
      </c>
      <c r="E6473" s="17" t="s">
        <v>20</v>
      </c>
      <c r="F6473" s="16" t="s">
        <v>19784</v>
      </c>
    </row>
    <row r="6474" spans="1:6" x14ac:dyDescent="0.25">
      <c r="A6474" s="16" t="s">
        <v>19785</v>
      </c>
      <c r="B6474" s="17" t="s">
        <v>19786</v>
      </c>
      <c r="C6474" s="17" t="s">
        <v>11</v>
      </c>
      <c r="D6474" s="17" t="s">
        <v>544</v>
      </c>
      <c r="E6474" s="17" t="s">
        <v>20</v>
      </c>
      <c r="F6474" s="16" t="s">
        <v>19787</v>
      </c>
    </row>
    <row r="6475" spans="1:6" x14ac:dyDescent="0.25">
      <c r="A6475" s="16" t="s">
        <v>19788</v>
      </c>
      <c r="B6475" s="17" t="s">
        <v>19789</v>
      </c>
      <c r="C6475" s="17" t="s">
        <v>11</v>
      </c>
      <c r="D6475" s="17" t="s">
        <v>32</v>
      </c>
      <c r="E6475" s="17" t="s">
        <v>20</v>
      </c>
      <c r="F6475" s="16" t="s">
        <v>19790</v>
      </c>
    </row>
    <row r="6476" spans="1:6" x14ac:dyDescent="0.25">
      <c r="A6476" s="16" t="s">
        <v>19791</v>
      </c>
      <c r="B6476" s="17" t="s">
        <v>19792</v>
      </c>
      <c r="C6476" s="17" t="s">
        <v>11</v>
      </c>
      <c r="D6476" s="17" t="s">
        <v>83</v>
      </c>
      <c r="E6476" s="17" t="s">
        <v>20</v>
      </c>
      <c r="F6476" s="16" t="s">
        <v>19793</v>
      </c>
    </row>
    <row r="6477" spans="1:6" x14ac:dyDescent="0.25">
      <c r="A6477" s="16" t="s">
        <v>19794</v>
      </c>
      <c r="B6477" s="17" t="s">
        <v>19795</v>
      </c>
      <c r="C6477" s="17" t="s">
        <v>11</v>
      </c>
      <c r="D6477" s="17" t="s">
        <v>32</v>
      </c>
      <c r="E6477" s="17" t="s">
        <v>20</v>
      </c>
      <c r="F6477" s="16" t="s">
        <v>19796</v>
      </c>
    </row>
    <row r="6478" spans="1:6" x14ac:dyDescent="0.25">
      <c r="A6478" s="16" t="s">
        <v>19797</v>
      </c>
      <c r="B6478" s="17" t="s">
        <v>19798</v>
      </c>
      <c r="C6478" s="17" t="s">
        <v>11</v>
      </c>
      <c r="D6478" s="17" t="s">
        <v>1298</v>
      </c>
      <c r="E6478" s="17" t="s">
        <v>1299</v>
      </c>
      <c r="F6478" s="16" t="s">
        <v>19799</v>
      </c>
    </row>
    <row r="6479" spans="1:6" x14ac:dyDescent="0.25">
      <c r="A6479" s="16" t="s">
        <v>19800</v>
      </c>
      <c r="B6479" s="17" t="s">
        <v>19801</v>
      </c>
      <c r="C6479" s="17" t="s">
        <v>1235</v>
      </c>
      <c r="D6479" s="17" t="s">
        <v>4374</v>
      </c>
      <c r="E6479" s="17" t="s">
        <v>1237</v>
      </c>
      <c r="F6479" s="16" t="s">
        <v>19802</v>
      </c>
    </row>
    <row r="6480" spans="1:6" x14ac:dyDescent="0.25">
      <c r="A6480" s="16" t="s">
        <v>19803</v>
      </c>
      <c r="B6480" s="17" t="s">
        <v>19804</v>
      </c>
      <c r="C6480" s="17" t="s">
        <v>1235</v>
      </c>
      <c r="D6480" s="17" t="s">
        <v>3377</v>
      </c>
      <c r="E6480" s="17" t="s">
        <v>1237</v>
      </c>
      <c r="F6480" s="16" t="s">
        <v>19805</v>
      </c>
    </row>
    <row r="6481" spans="1:6" x14ac:dyDescent="0.25">
      <c r="A6481" s="16" t="s">
        <v>19806</v>
      </c>
      <c r="B6481" s="17" t="s">
        <v>19807</v>
      </c>
      <c r="C6481" s="17" t="s">
        <v>11</v>
      </c>
      <c r="D6481" s="17" t="s">
        <v>3463</v>
      </c>
      <c r="E6481" s="17" t="s">
        <v>1299</v>
      </c>
      <c r="F6481" s="16" t="s">
        <v>19808</v>
      </c>
    </row>
    <row r="6482" spans="1:6" x14ac:dyDescent="0.25">
      <c r="A6482" s="16" t="s">
        <v>19809</v>
      </c>
      <c r="B6482" s="17" t="s">
        <v>19810</v>
      </c>
      <c r="C6482" s="17" t="s">
        <v>11</v>
      </c>
      <c r="D6482" s="17" t="s">
        <v>3463</v>
      </c>
      <c r="E6482" s="17" t="s">
        <v>1299</v>
      </c>
      <c r="F6482" s="16" t="s">
        <v>19811</v>
      </c>
    </row>
    <row r="6483" spans="1:6" x14ac:dyDescent="0.25">
      <c r="A6483" s="16" t="s">
        <v>19812</v>
      </c>
      <c r="B6483" s="17" t="s">
        <v>19813</v>
      </c>
      <c r="C6483" s="17" t="s">
        <v>11</v>
      </c>
      <c r="D6483" s="17" t="s">
        <v>32</v>
      </c>
      <c r="E6483" s="17" t="s">
        <v>20</v>
      </c>
      <c r="F6483" s="16" t="s">
        <v>19814</v>
      </c>
    </row>
    <row r="6484" spans="1:6" x14ac:dyDescent="0.25">
      <c r="A6484" s="16" t="s">
        <v>19815</v>
      </c>
      <c r="B6484" s="17" t="s">
        <v>19816</v>
      </c>
      <c r="C6484" s="17" t="s">
        <v>11</v>
      </c>
      <c r="D6484" s="17" t="s">
        <v>32</v>
      </c>
      <c r="E6484" s="17" t="s">
        <v>20</v>
      </c>
      <c r="F6484" s="16" t="s">
        <v>19817</v>
      </c>
    </row>
    <row r="6485" spans="1:6" x14ac:dyDescent="0.25">
      <c r="A6485" s="16" t="s">
        <v>19818</v>
      </c>
      <c r="B6485" s="17" t="s">
        <v>19819</v>
      </c>
      <c r="C6485" s="17" t="s">
        <v>11</v>
      </c>
      <c r="D6485" s="17" t="s">
        <v>32</v>
      </c>
      <c r="E6485" s="17" t="s">
        <v>20</v>
      </c>
      <c r="F6485" s="16" t="s">
        <v>19820</v>
      </c>
    </row>
    <row r="6486" spans="1:6" x14ac:dyDescent="0.25">
      <c r="A6486" s="16" t="s">
        <v>19821</v>
      </c>
      <c r="B6486" s="17" t="s">
        <v>19822</v>
      </c>
      <c r="C6486" s="17" t="s">
        <v>11</v>
      </c>
      <c r="D6486" s="17" t="s">
        <v>26</v>
      </c>
      <c r="E6486" s="17" t="s">
        <v>20</v>
      </c>
      <c r="F6486" s="16" t="s">
        <v>19823</v>
      </c>
    </row>
    <row r="6487" spans="1:6" x14ac:dyDescent="0.25">
      <c r="A6487" s="16" t="s">
        <v>19824</v>
      </c>
      <c r="B6487" s="17" t="s">
        <v>19825</v>
      </c>
      <c r="C6487" s="17" t="s">
        <v>11</v>
      </c>
      <c r="D6487" s="17" t="s">
        <v>32</v>
      </c>
      <c r="E6487" s="17" t="s">
        <v>20</v>
      </c>
      <c r="F6487" s="16" t="s">
        <v>19826</v>
      </c>
    </row>
    <row r="6488" spans="1:6" x14ac:dyDescent="0.25">
      <c r="A6488" s="16" t="s">
        <v>19827</v>
      </c>
      <c r="B6488" s="17" t="s">
        <v>19828</v>
      </c>
      <c r="C6488" s="17" t="s">
        <v>11</v>
      </c>
      <c r="D6488" s="17" t="s">
        <v>148</v>
      </c>
      <c r="E6488" s="17" t="s">
        <v>20</v>
      </c>
      <c r="F6488" s="16" t="s">
        <v>19829</v>
      </c>
    </row>
    <row r="6489" spans="1:6" x14ac:dyDescent="0.25">
      <c r="A6489" s="16" t="s">
        <v>19830</v>
      </c>
      <c r="B6489" s="17" t="s">
        <v>19831</v>
      </c>
      <c r="C6489" s="17" t="s">
        <v>11</v>
      </c>
      <c r="D6489" s="17" t="s">
        <v>148</v>
      </c>
      <c r="E6489" s="17" t="s">
        <v>20</v>
      </c>
      <c r="F6489" s="16" t="s">
        <v>19832</v>
      </c>
    </row>
    <row r="6490" spans="1:6" x14ac:dyDescent="0.25">
      <c r="A6490" s="16" t="s">
        <v>19833</v>
      </c>
      <c r="B6490" s="17" t="s">
        <v>19834</v>
      </c>
      <c r="C6490" s="17" t="s">
        <v>11</v>
      </c>
      <c r="D6490" s="17" t="s">
        <v>80</v>
      </c>
      <c r="E6490" s="17" t="s">
        <v>20</v>
      </c>
      <c r="F6490" s="16" t="s">
        <v>19835</v>
      </c>
    </row>
    <row r="6491" spans="1:6" x14ac:dyDescent="0.25">
      <c r="A6491" s="16" t="s">
        <v>19836</v>
      </c>
      <c r="B6491" s="17" t="s">
        <v>19837</v>
      </c>
      <c r="C6491" s="17" t="s">
        <v>11</v>
      </c>
      <c r="D6491" s="17" t="s">
        <v>26</v>
      </c>
      <c r="E6491" s="17" t="s">
        <v>20</v>
      </c>
      <c r="F6491" s="16" t="s">
        <v>19838</v>
      </c>
    </row>
    <row r="6492" spans="1:6" x14ac:dyDescent="0.25">
      <c r="A6492" s="16" t="s">
        <v>19839</v>
      </c>
      <c r="B6492" s="17" t="s">
        <v>19840</v>
      </c>
      <c r="C6492" s="17" t="s">
        <v>11</v>
      </c>
      <c r="D6492" s="17" t="s">
        <v>32</v>
      </c>
      <c r="E6492" s="17" t="s">
        <v>20</v>
      </c>
      <c r="F6492" s="16" t="s">
        <v>19841</v>
      </c>
    </row>
    <row r="6493" spans="1:6" x14ac:dyDescent="0.25">
      <c r="A6493" s="16" t="s">
        <v>19842</v>
      </c>
      <c r="B6493" s="17" t="s">
        <v>19843</v>
      </c>
      <c r="C6493" s="17" t="s">
        <v>1235</v>
      </c>
      <c r="D6493" s="17" t="s">
        <v>3377</v>
      </c>
      <c r="E6493" s="17" t="s">
        <v>1237</v>
      </c>
      <c r="F6493" s="16" t="s">
        <v>19844</v>
      </c>
    </row>
    <row r="6494" spans="1:6" x14ac:dyDescent="0.25">
      <c r="A6494" s="16" t="s">
        <v>19845</v>
      </c>
      <c r="B6494" s="17" t="s">
        <v>19846</v>
      </c>
      <c r="C6494" s="17" t="s">
        <v>11</v>
      </c>
      <c r="D6494" s="17" t="s">
        <v>32</v>
      </c>
      <c r="E6494" s="17" t="s">
        <v>20</v>
      </c>
      <c r="F6494" s="16" t="s">
        <v>19847</v>
      </c>
    </row>
    <row r="6495" spans="1:6" x14ac:dyDescent="0.25">
      <c r="A6495" s="16" t="s">
        <v>19848</v>
      </c>
      <c r="B6495" s="17" t="s">
        <v>19849</v>
      </c>
      <c r="C6495" s="17" t="s">
        <v>11</v>
      </c>
      <c r="D6495" s="17" t="s">
        <v>89</v>
      </c>
      <c r="E6495" s="17" t="s">
        <v>20</v>
      </c>
      <c r="F6495" s="16" t="s">
        <v>19850</v>
      </c>
    </row>
    <row r="6496" spans="1:6" x14ac:dyDescent="0.25">
      <c r="A6496" s="16" t="s">
        <v>19851</v>
      </c>
      <c r="B6496" s="17" t="s">
        <v>19852</v>
      </c>
      <c r="C6496" s="17" t="s">
        <v>11</v>
      </c>
      <c r="D6496" s="17" t="s">
        <v>32</v>
      </c>
      <c r="E6496" s="17" t="s">
        <v>20</v>
      </c>
      <c r="F6496" s="16" t="s">
        <v>19853</v>
      </c>
    </row>
    <row r="6497" spans="1:6" x14ac:dyDescent="0.25">
      <c r="A6497" s="16" t="s">
        <v>19854</v>
      </c>
      <c r="B6497" s="17" t="s">
        <v>19855</v>
      </c>
      <c r="C6497" s="17" t="s">
        <v>11</v>
      </c>
      <c r="D6497" s="17" t="s">
        <v>1337</v>
      </c>
      <c r="E6497" s="17" t="s">
        <v>1299</v>
      </c>
      <c r="F6497" s="16" t="s">
        <v>19856</v>
      </c>
    </row>
    <row r="6498" spans="1:6" x14ac:dyDescent="0.25">
      <c r="A6498" s="16" t="s">
        <v>19857</v>
      </c>
      <c r="B6498" s="17" t="s">
        <v>19858</v>
      </c>
      <c r="C6498" s="17" t="s">
        <v>11</v>
      </c>
      <c r="D6498" s="17" t="s">
        <v>544</v>
      </c>
      <c r="E6498" s="17" t="s">
        <v>20</v>
      </c>
      <c r="F6498" s="16" t="s">
        <v>19859</v>
      </c>
    </row>
    <row r="6499" spans="1:6" x14ac:dyDescent="0.25">
      <c r="A6499" s="16" t="s">
        <v>19860</v>
      </c>
      <c r="B6499" s="17" t="s">
        <v>19861</v>
      </c>
      <c r="C6499" s="17" t="s">
        <v>11</v>
      </c>
      <c r="D6499" s="17" t="s">
        <v>32</v>
      </c>
      <c r="E6499" s="17" t="s">
        <v>20</v>
      </c>
      <c r="F6499" s="16" t="s">
        <v>19862</v>
      </c>
    </row>
    <row r="6500" spans="1:6" x14ac:dyDescent="0.25">
      <c r="A6500" s="16" t="s">
        <v>19863</v>
      </c>
      <c r="B6500" s="17" t="s">
        <v>19864</v>
      </c>
      <c r="C6500" s="17" t="s">
        <v>11</v>
      </c>
      <c r="D6500" s="17" t="s">
        <v>570</v>
      </c>
      <c r="E6500" s="17" t="s">
        <v>20</v>
      </c>
      <c r="F6500" s="16" t="s">
        <v>19865</v>
      </c>
    </row>
    <row r="6501" spans="1:6" x14ac:dyDescent="0.25">
      <c r="A6501" s="16" t="s">
        <v>19866</v>
      </c>
      <c r="B6501" s="17" t="s">
        <v>19867</v>
      </c>
      <c r="C6501" s="17" t="s">
        <v>11</v>
      </c>
      <c r="D6501" s="17" t="s">
        <v>83</v>
      </c>
      <c r="E6501" s="17" t="s">
        <v>20</v>
      </c>
      <c r="F6501" s="16" t="s">
        <v>19868</v>
      </c>
    </row>
    <row r="6502" spans="1:6" x14ac:dyDescent="0.25">
      <c r="A6502" s="16" t="s">
        <v>19869</v>
      </c>
      <c r="B6502" s="17" t="s">
        <v>19870</v>
      </c>
      <c r="C6502" s="17" t="s">
        <v>11</v>
      </c>
      <c r="D6502" s="17" t="s">
        <v>32</v>
      </c>
      <c r="E6502" s="17" t="s">
        <v>20</v>
      </c>
      <c r="F6502" s="16" t="s">
        <v>19871</v>
      </c>
    </row>
    <row r="6503" spans="1:6" x14ac:dyDescent="0.25">
      <c r="A6503" s="16" t="s">
        <v>19872</v>
      </c>
      <c r="B6503" s="17" t="s">
        <v>19873</v>
      </c>
      <c r="C6503" s="17" t="s">
        <v>11</v>
      </c>
      <c r="D6503" s="17" t="s">
        <v>32</v>
      </c>
      <c r="E6503" s="17" t="s">
        <v>20</v>
      </c>
      <c r="F6503" s="16" t="s">
        <v>19874</v>
      </c>
    </row>
    <row r="6504" spans="1:6" x14ac:dyDescent="0.25">
      <c r="A6504" s="16" t="s">
        <v>19875</v>
      </c>
      <c r="B6504" s="17" t="s">
        <v>19876</v>
      </c>
      <c r="C6504" s="17" t="s">
        <v>11</v>
      </c>
      <c r="D6504" s="17" t="s">
        <v>32</v>
      </c>
      <c r="E6504" s="17" t="s">
        <v>20</v>
      </c>
      <c r="F6504" s="16" t="s">
        <v>19877</v>
      </c>
    </row>
    <row r="6505" spans="1:6" x14ac:dyDescent="0.25">
      <c r="A6505" s="16" t="s">
        <v>19878</v>
      </c>
      <c r="B6505" s="17" t="s">
        <v>19879</v>
      </c>
      <c r="C6505" s="17" t="s">
        <v>11</v>
      </c>
      <c r="D6505" s="17" t="s">
        <v>32</v>
      </c>
      <c r="E6505" s="17" t="s">
        <v>20</v>
      </c>
      <c r="F6505" s="16" t="s">
        <v>19880</v>
      </c>
    </row>
    <row r="6506" spans="1:6" x14ac:dyDescent="0.25">
      <c r="A6506" s="16" t="s">
        <v>19881</v>
      </c>
      <c r="B6506" s="17" t="s">
        <v>19882</v>
      </c>
      <c r="C6506" s="17" t="s">
        <v>11</v>
      </c>
      <c r="D6506" s="17" t="s">
        <v>32</v>
      </c>
      <c r="E6506" s="17" t="s">
        <v>20</v>
      </c>
      <c r="F6506" s="16" t="s">
        <v>19883</v>
      </c>
    </row>
    <row r="6507" spans="1:6" x14ac:dyDescent="0.25">
      <c r="A6507" s="16" t="s">
        <v>19884</v>
      </c>
      <c r="B6507" s="17" t="s">
        <v>19885</v>
      </c>
      <c r="C6507" s="17" t="s">
        <v>11</v>
      </c>
      <c r="D6507" s="17" t="s">
        <v>32</v>
      </c>
      <c r="E6507" s="17" t="s">
        <v>20</v>
      </c>
      <c r="F6507" s="16" t="s">
        <v>19886</v>
      </c>
    </row>
    <row r="6508" spans="1:6" x14ac:dyDescent="0.25">
      <c r="A6508" s="16" t="s">
        <v>19887</v>
      </c>
      <c r="B6508" s="17" t="s">
        <v>19888</v>
      </c>
      <c r="C6508" s="17" t="s">
        <v>11</v>
      </c>
      <c r="D6508" s="17" t="s">
        <v>32</v>
      </c>
      <c r="E6508" s="17" t="s">
        <v>20</v>
      </c>
      <c r="F6508" s="16" t="s">
        <v>19889</v>
      </c>
    </row>
    <row r="6509" spans="1:6" x14ac:dyDescent="0.25">
      <c r="A6509" s="16" t="s">
        <v>19890</v>
      </c>
      <c r="B6509" s="17" t="s">
        <v>19891</v>
      </c>
      <c r="C6509" s="17" t="s">
        <v>11</v>
      </c>
      <c r="D6509" s="17" t="s">
        <v>26</v>
      </c>
      <c r="E6509" s="17" t="s">
        <v>20</v>
      </c>
      <c r="F6509" s="16" t="s">
        <v>19892</v>
      </c>
    </row>
    <row r="6510" spans="1:6" x14ac:dyDescent="0.25">
      <c r="A6510" s="16" t="s">
        <v>19893</v>
      </c>
      <c r="B6510" s="17" t="s">
        <v>19894</v>
      </c>
      <c r="C6510" s="17" t="s">
        <v>11</v>
      </c>
      <c r="D6510" s="17" t="s">
        <v>32</v>
      </c>
      <c r="E6510" s="17" t="s">
        <v>20</v>
      </c>
      <c r="F6510" s="16" t="s">
        <v>19895</v>
      </c>
    </row>
    <row r="6511" spans="1:6" x14ac:dyDescent="0.25">
      <c r="A6511" s="16" t="s">
        <v>19896</v>
      </c>
      <c r="B6511" s="17" t="s">
        <v>19897</v>
      </c>
      <c r="C6511" s="17" t="s">
        <v>11</v>
      </c>
      <c r="D6511" s="17" t="s">
        <v>32</v>
      </c>
      <c r="E6511" s="17" t="s">
        <v>20</v>
      </c>
      <c r="F6511" s="16" t="s">
        <v>19898</v>
      </c>
    </row>
    <row r="6512" spans="1:6" x14ac:dyDescent="0.25">
      <c r="A6512" s="16" t="s">
        <v>19899</v>
      </c>
      <c r="B6512" s="17" t="s">
        <v>19900</v>
      </c>
      <c r="C6512" s="17" t="s">
        <v>11</v>
      </c>
      <c r="D6512" s="17" t="s">
        <v>83</v>
      </c>
      <c r="E6512" s="17" t="s">
        <v>20</v>
      </c>
      <c r="F6512" s="16" t="s">
        <v>19901</v>
      </c>
    </row>
    <row r="6513" spans="1:6" x14ac:dyDescent="0.25">
      <c r="A6513" s="16" t="s">
        <v>19902</v>
      </c>
      <c r="B6513" s="17" t="s">
        <v>19903</v>
      </c>
      <c r="C6513" s="17" t="s">
        <v>11</v>
      </c>
      <c r="D6513" s="17" t="s">
        <v>148</v>
      </c>
      <c r="E6513" s="17" t="s">
        <v>20</v>
      </c>
      <c r="F6513" s="16" t="s">
        <v>19904</v>
      </c>
    </row>
    <row r="6514" spans="1:6" x14ac:dyDescent="0.25">
      <c r="A6514" s="16" t="s">
        <v>19905</v>
      </c>
      <c r="B6514" s="17" t="s">
        <v>19906</v>
      </c>
      <c r="C6514" s="17" t="s">
        <v>11</v>
      </c>
      <c r="D6514" s="17" t="s">
        <v>32</v>
      </c>
      <c r="E6514" s="17" t="s">
        <v>20</v>
      </c>
      <c r="F6514" s="16" t="s">
        <v>19907</v>
      </c>
    </row>
    <row r="6515" spans="1:6" x14ac:dyDescent="0.25">
      <c r="A6515" s="16" t="s">
        <v>19908</v>
      </c>
      <c r="B6515" s="17" t="s">
        <v>19909</v>
      </c>
      <c r="C6515" s="17" t="s">
        <v>11</v>
      </c>
      <c r="D6515" s="17" t="s">
        <v>26</v>
      </c>
      <c r="E6515" s="17" t="s">
        <v>20</v>
      </c>
      <c r="F6515" s="16" t="s">
        <v>19910</v>
      </c>
    </row>
    <row r="6516" spans="1:6" x14ac:dyDescent="0.25">
      <c r="A6516" s="16" t="s">
        <v>19911</v>
      </c>
      <c r="B6516" s="17" t="s">
        <v>19912</v>
      </c>
      <c r="C6516" s="17" t="s">
        <v>11</v>
      </c>
      <c r="D6516" s="17" t="s">
        <v>32</v>
      </c>
      <c r="E6516" s="17" t="s">
        <v>20</v>
      </c>
      <c r="F6516" s="16" t="s">
        <v>19913</v>
      </c>
    </row>
    <row r="6517" spans="1:6" x14ac:dyDescent="0.25">
      <c r="A6517" s="16" t="s">
        <v>19914</v>
      </c>
      <c r="B6517" s="17" t="s">
        <v>19915</v>
      </c>
      <c r="C6517" s="17" t="s">
        <v>11</v>
      </c>
      <c r="D6517" s="17" t="s">
        <v>32</v>
      </c>
      <c r="E6517" s="17" t="s">
        <v>20</v>
      </c>
      <c r="F6517" s="16" t="s">
        <v>19916</v>
      </c>
    </row>
    <row r="6518" spans="1:6" x14ac:dyDescent="0.25">
      <c r="A6518" s="16" t="s">
        <v>19917</v>
      </c>
      <c r="B6518" s="17" t="s">
        <v>19918</v>
      </c>
      <c r="C6518" s="17" t="s">
        <v>11</v>
      </c>
      <c r="D6518" s="17" t="s">
        <v>32</v>
      </c>
      <c r="E6518" s="17" t="s">
        <v>20</v>
      </c>
      <c r="F6518" s="16" t="s">
        <v>19919</v>
      </c>
    </row>
    <row r="6519" spans="1:6" x14ac:dyDescent="0.25">
      <c r="A6519" s="16" t="s">
        <v>19920</v>
      </c>
      <c r="B6519" s="17" t="s">
        <v>19921</v>
      </c>
      <c r="C6519" s="17" t="s">
        <v>11</v>
      </c>
      <c r="D6519" s="17" t="s">
        <v>32</v>
      </c>
      <c r="E6519" s="17" t="s">
        <v>20</v>
      </c>
      <c r="F6519" s="16" t="s">
        <v>19922</v>
      </c>
    </row>
    <row r="6520" spans="1:6" x14ac:dyDescent="0.25">
      <c r="A6520" s="16" t="s">
        <v>19923</v>
      </c>
      <c r="B6520" s="17" t="s">
        <v>19924</v>
      </c>
      <c r="C6520" s="17" t="s">
        <v>11</v>
      </c>
      <c r="D6520" s="17" t="s">
        <v>26</v>
      </c>
      <c r="E6520" s="17" t="s">
        <v>20</v>
      </c>
      <c r="F6520" s="16" t="s">
        <v>19925</v>
      </c>
    </row>
    <row r="6521" spans="1:6" x14ac:dyDescent="0.25">
      <c r="A6521" s="16" t="s">
        <v>19926</v>
      </c>
      <c r="B6521" s="17" t="s">
        <v>19927</v>
      </c>
      <c r="C6521" s="17" t="s">
        <v>11</v>
      </c>
      <c r="D6521" s="17" t="s">
        <v>32</v>
      </c>
      <c r="E6521" s="17" t="s">
        <v>20</v>
      </c>
      <c r="F6521" s="16" t="s">
        <v>19928</v>
      </c>
    </row>
    <row r="6522" spans="1:6" x14ac:dyDescent="0.25">
      <c r="A6522" s="16" t="s">
        <v>19929</v>
      </c>
      <c r="B6522" s="17" t="s">
        <v>19930</v>
      </c>
      <c r="C6522" s="17" t="s">
        <v>11</v>
      </c>
      <c r="D6522" s="17" t="s">
        <v>148</v>
      </c>
      <c r="E6522" s="17" t="s">
        <v>20</v>
      </c>
      <c r="F6522" s="16" t="s">
        <v>19931</v>
      </c>
    </row>
    <row r="6523" spans="1:6" x14ac:dyDescent="0.25">
      <c r="A6523" s="16" t="s">
        <v>19932</v>
      </c>
      <c r="B6523" s="17" t="s">
        <v>19933</v>
      </c>
      <c r="C6523" s="17" t="s">
        <v>11</v>
      </c>
      <c r="D6523" s="17" t="s">
        <v>74</v>
      </c>
      <c r="E6523" s="17" t="s">
        <v>20</v>
      </c>
      <c r="F6523" s="16" t="s">
        <v>19934</v>
      </c>
    </row>
    <row r="6524" spans="1:6" x14ac:dyDescent="0.25">
      <c r="A6524" s="16" t="s">
        <v>19935</v>
      </c>
      <c r="B6524" s="17" t="s">
        <v>19936</v>
      </c>
      <c r="C6524" s="17" t="s">
        <v>1235</v>
      </c>
      <c r="D6524" s="17" t="s">
        <v>3377</v>
      </c>
      <c r="E6524" s="17" t="s">
        <v>1237</v>
      </c>
      <c r="F6524" s="16" t="s">
        <v>19937</v>
      </c>
    </row>
    <row r="6525" spans="1:6" x14ac:dyDescent="0.25">
      <c r="A6525" s="16" t="s">
        <v>19938</v>
      </c>
      <c r="B6525" s="17" t="s">
        <v>19939</v>
      </c>
      <c r="C6525" s="17" t="s">
        <v>11</v>
      </c>
      <c r="D6525" s="17" t="s">
        <v>32</v>
      </c>
      <c r="E6525" s="17" t="s">
        <v>20</v>
      </c>
      <c r="F6525" s="16" t="s">
        <v>19940</v>
      </c>
    </row>
    <row r="6526" spans="1:6" x14ac:dyDescent="0.25">
      <c r="A6526" s="16" t="s">
        <v>19941</v>
      </c>
      <c r="B6526" s="17" t="s">
        <v>19942</v>
      </c>
      <c r="C6526" s="17" t="s">
        <v>1235</v>
      </c>
      <c r="D6526" s="17" t="s">
        <v>3377</v>
      </c>
      <c r="E6526" s="17" t="s">
        <v>1237</v>
      </c>
      <c r="F6526" s="16" t="s">
        <v>19943</v>
      </c>
    </row>
    <row r="6527" spans="1:6" x14ac:dyDescent="0.25">
      <c r="A6527" s="16" t="s">
        <v>19944</v>
      </c>
      <c r="B6527" s="17" t="s">
        <v>19945</v>
      </c>
      <c r="C6527" s="17" t="s">
        <v>11</v>
      </c>
      <c r="D6527" s="17" t="s">
        <v>26</v>
      </c>
      <c r="E6527" s="17" t="s">
        <v>20</v>
      </c>
      <c r="F6527" s="16" t="s">
        <v>19946</v>
      </c>
    </row>
    <row r="6528" spans="1:6" x14ac:dyDescent="0.25">
      <c r="A6528" s="16" t="s">
        <v>19947</v>
      </c>
      <c r="B6528" s="17" t="s">
        <v>19948</v>
      </c>
      <c r="C6528" s="17" t="s">
        <v>11</v>
      </c>
      <c r="D6528" s="17" t="s">
        <v>148</v>
      </c>
      <c r="E6528" s="17" t="s">
        <v>20</v>
      </c>
      <c r="F6528" s="16" t="s">
        <v>19949</v>
      </c>
    </row>
    <row r="6529" spans="1:6" x14ac:dyDescent="0.25">
      <c r="A6529" s="16" t="s">
        <v>19950</v>
      </c>
      <c r="B6529" s="17" t="s">
        <v>19951</v>
      </c>
      <c r="C6529" s="17" t="s">
        <v>11</v>
      </c>
      <c r="D6529" s="17" t="s">
        <v>32</v>
      </c>
      <c r="E6529" s="17" t="s">
        <v>20</v>
      </c>
      <c r="F6529" s="16" t="s">
        <v>19952</v>
      </c>
    </row>
    <row r="6530" spans="1:6" x14ac:dyDescent="0.25">
      <c r="A6530" s="16" t="s">
        <v>19953</v>
      </c>
      <c r="B6530" s="17" t="s">
        <v>19954</v>
      </c>
      <c r="C6530" s="17" t="s">
        <v>11</v>
      </c>
      <c r="D6530" s="17" t="s">
        <v>32</v>
      </c>
      <c r="E6530" s="17" t="s">
        <v>20</v>
      </c>
      <c r="F6530" s="16" t="s">
        <v>19955</v>
      </c>
    </row>
    <row r="6531" spans="1:6" x14ac:dyDescent="0.25">
      <c r="A6531" s="16" t="s">
        <v>19956</v>
      </c>
      <c r="B6531" s="17" t="s">
        <v>19957</v>
      </c>
      <c r="C6531" s="17" t="s">
        <v>11</v>
      </c>
      <c r="D6531" s="17" t="s">
        <v>32</v>
      </c>
      <c r="E6531" s="17" t="s">
        <v>20</v>
      </c>
      <c r="F6531" s="16" t="s">
        <v>19958</v>
      </c>
    </row>
    <row r="6532" spans="1:6" x14ac:dyDescent="0.25">
      <c r="A6532" s="16" t="s">
        <v>19959</v>
      </c>
      <c r="B6532" s="17" t="s">
        <v>19960</v>
      </c>
      <c r="C6532" s="17" t="s">
        <v>11</v>
      </c>
      <c r="D6532" s="17" t="s">
        <v>148</v>
      </c>
      <c r="E6532" s="17" t="s">
        <v>20</v>
      </c>
      <c r="F6532" s="16" t="s">
        <v>19961</v>
      </c>
    </row>
    <row r="6533" spans="1:6" x14ac:dyDescent="0.25">
      <c r="A6533" s="16" t="s">
        <v>19962</v>
      </c>
      <c r="B6533" s="17" t="s">
        <v>19963</v>
      </c>
      <c r="C6533" s="17" t="s">
        <v>11</v>
      </c>
      <c r="D6533" s="17" t="s">
        <v>32</v>
      </c>
      <c r="E6533" s="17" t="s">
        <v>20</v>
      </c>
      <c r="F6533" s="16" t="s">
        <v>19964</v>
      </c>
    </row>
    <row r="6534" spans="1:6" x14ac:dyDescent="0.25">
      <c r="A6534" s="16" t="s">
        <v>19965</v>
      </c>
      <c r="B6534" s="17" t="s">
        <v>19966</v>
      </c>
      <c r="C6534" s="17" t="s">
        <v>11</v>
      </c>
      <c r="D6534" s="17" t="s">
        <v>26</v>
      </c>
      <c r="E6534" s="17" t="s">
        <v>20</v>
      </c>
      <c r="F6534" s="16" t="s">
        <v>19967</v>
      </c>
    </row>
    <row r="6535" spans="1:6" x14ac:dyDescent="0.25">
      <c r="A6535" s="16" t="s">
        <v>19968</v>
      </c>
      <c r="B6535" s="17" t="s">
        <v>19969</v>
      </c>
      <c r="C6535" s="17" t="s">
        <v>11</v>
      </c>
      <c r="D6535" s="17" t="s">
        <v>32</v>
      </c>
      <c r="E6535" s="17" t="s">
        <v>20</v>
      </c>
      <c r="F6535" s="16" t="s">
        <v>19970</v>
      </c>
    </row>
    <row r="6536" spans="1:6" x14ac:dyDescent="0.25">
      <c r="A6536" s="16" t="s">
        <v>19971</v>
      </c>
      <c r="B6536" s="17" t="s">
        <v>19972</v>
      </c>
      <c r="C6536" s="17" t="s">
        <v>11</v>
      </c>
      <c r="D6536" s="17" t="s">
        <v>32</v>
      </c>
      <c r="E6536" s="17" t="s">
        <v>20</v>
      </c>
      <c r="F6536" s="16" t="s">
        <v>19973</v>
      </c>
    </row>
    <row r="6537" spans="1:6" x14ac:dyDescent="0.25">
      <c r="A6537" s="16" t="s">
        <v>19974</v>
      </c>
      <c r="B6537" s="17" t="s">
        <v>19975</v>
      </c>
      <c r="C6537" s="17" t="s">
        <v>11</v>
      </c>
      <c r="D6537" s="17" t="s">
        <v>148</v>
      </c>
      <c r="E6537" s="17" t="s">
        <v>20</v>
      </c>
      <c r="F6537" s="16" t="s">
        <v>19976</v>
      </c>
    </row>
    <row r="6538" spans="1:6" x14ac:dyDescent="0.25">
      <c r="A6538" s="16" t="s">
        <v>19977</v>
      </c>
      <c r="B6538" s="17" t="s">
        <v>19978</v>
      </c>
      <c r="C6538" s="17" t="s">
        <v>11</v>
      </c>
      <c r="D6538" s="17" t="s">
        <v>148</v>
      </c>
      <c r="E6538" s="17" t="s">
        <v>20</v>
      </c>
      <c r="F6538" s="16" t="s">
        <v>19979</v>
      </c>
    </row>
    <row r="6539" spans="1:6" x14ac:dyDescent="0.25">
      <c r="A6539" s="16" t="s">
        <v>19980</v>
      </c>
      <c r="B6539" s="17" t="s">
        <v>19981</v>
      </c>
      <c r="C6539" s="17" t="s">
        <v>11</v>
      </c>
      <c r="D6539" s="17" t="s">
        <v>32</v>
      </c>
      <c r="E6539" s="17" t="s">
        <v>20</v>
      </c>
      <c r="F6539" s="16" t="s">
        <v>19982</v>
      </c>
    </row>
    <row r="6540" spans="1:6" x14ac:dyDescent="0.25">
      <c r="A6540" s="16" t="s">
        <v>19983</v>
      </c>
      <c r="B6540" s="17" t="s">
        <v>19984</v>
      </c>
      <c r="C6540" s="17" t="s">
        <v>11</v>
      </c>
      <c r="D6540" s="17" t="s">
        <v>32</v>
      </c>
      <c r="E6540" s="17" t="s">
        <v>20</v>
      </c>
      <c r="F6540" s="16" t="s">
        <v>19985</v>
      </c>
    </row>
    <row r="6541" spans="1:6" x14ac:dyDescent="0.25">
      <c r="A6541" s="16" t="s">
        <v>19986</v>
      </c>
      <c r="B6541" s="17" t="s">
        <v>19987</v>
      </c>
      <c r="C6541" s="17" t="s">
        <v>11</v>
      </c>
      <c r="D6541" s="17" t="s">
        <v>83</v>
      </c>
      <c r="E6541" s="17" t="s">
        <v>20</v>
      </c>
      <c r="F6541" s="16" t="s">
        <v>19988</v>
      </c>
    </row>
    <row r="6542" spans="1:6" x14ac:dyDescent="0.25">
      <c r="A6542" s="16" t="s">
        <v>19989</v>
      </c>
      <c r="B6542" s="17" t="s">
        <v>19990</v>
      </c>
      <c r="C6542" s="17" t="s">
        <v>11</v>
      </c>
      <c r="D6542" s="17" t="s">
        <v>26</v>
      </c>
      <c r="E6542" s="17" t="s">
        <v>20</v>
      </c>
      <c r="F6542" s="16" t="s">
        <v>19991</v>
      </c>
    </row>
    <row r="6543" spans="1:6" x14ac:dyDescent="0.25">
      <c r="A6543" s="16" t="s">
        <v>19992</v>
      </c>
      <c r="B6543" s="17" t="s">
        <v>19993</v>
      </c>
      <c r="C6543" s="17" t="s">
        <v>11</v>
      </c>
      <c r="D6543" s="17" t="s">
        <v>32</v>
      </c>
      <c r="E6543" s="17" t="s">
        <v>20</v>
      </c>
      <c r="F6543" s="16" t="s">
        <v>19994</v>
      </c>
    </row>
    <row r="6544" spans="1:6" x14ac:dyDescent="0.25">
      <c r="A6544" s="16" t="s">
        <v>19995</v>
      </c>
      <c r="B6544" s="17" t="s">
        <v>19996</v>
      </c>
      <c r="C6544" s="17" t="s">
        <v>11</v>
      </c>
      <c r="D6544" s="17" t="s">
        <v>148</v>
      </c>
      <c r="E6544" s="17" t="s">
        <v>20</v>
      </c>
      <c r="F6544" s="16" t="s">
        <v>19997</v>
      </c>
    </row>
    <row r="6545" spans="1:6" x14ac:dyDescent="0.25">
      <c r="A6545" s="16" t="s">
        <v>19998</v>
      </c>
      <c r="B6545" s="17" t="s">
        <v>19999</v>
      </c>
      <c r="C6545" s="17" t="s">
        <v>11</v>
      </c>
      <c r="D6545" s="17" t="s">
        <v>32</v>
      </c>
      <c r="E6545" s="17" t="s">
        <v>20</v>
      </c>
      <c r="F6545" s="16" t="s">
        <v>20000</v>
      </c>
    </row>
    <row r="6546" spans="1:6" x14ac:dyDescent="0.25">
      <c r="A6546" s="16" t="s">
        <v>20001</v>
      </c>
      <c r="B6546" s="17" t="s">
        <v>20002</v>
      </c>
      <c r="C6546" s="17" t="s">
        <v>359</v>
      </c>
      <c r="D6546" s="17" t="s">
        <v>32</v>
      </c>
      <c r="E6546" s="17" t="s">
        <v>20</v>
      </c>
      <c r="F6546" s="16" t="s">
        <v>20003</v>
      </c>
    </row>
    <row r="6547" spans="1:6" x14ac:dyDescent="0.25">
      <c r="A6547" s="16" t="s">
        <v>20004</v>
      </c>
      <c r="B6547" s="17" t="s">
        <v>20005</v>
      </c>
      <c r="C6547" s="17" t="s">
        <v>11</v>
      </c>
      <c r="D6547" s="17" t="s">
        <v>32</v>
      </c>
      <c r="E6547" s="17" t="s">
        <v>20</v>
      </c>
      <c r="F6547" s="16" t="s">
        <v>20006</v>
      </c>
    </row>
    <row r="6548" spans="1:6" x14ac:dyDescent="0.25">
      <c r="A6548" s="16" t="s">
        <v>20007</v>
      </c>
      <c r="B6548" s="17" t="s">
        <v>20008</v>
      </c>
      <c r="C6548" s="17" t="s">
        <v>11</v>
      </c>
      <c r="D6548" s="17" t="s">
        <v>83</v>
      </c>
      <c r="E6548" s="17" t="s">
        <v>20</v>
      </c>
      <c r="F6548" s="16" t="s">
        <v>20009</v>
      </c>
    </row>
    <row r="6549" spans="1:6" x14ac:dyDescent="0.25">
      <c r="A6549" s="16" t="s">
        <v>20010</v>
      </c>
      <c r="B6549" s="17" t="s">
        <v>20011</v>
      </c>
      <c r="C6549" s="17" t="s">
        <v>11</v>
      </c>
      <c r="D6549" s="17" t="s">
        <v>32</v>
      </c>
      <c r="E6549" s="17" t="s">
        <v>20</v>
      </c>
      <c r="F6549" s="16" t="s">
        <v>20012</v>
      </c>
    </row>
    <row r="6550" spans="1:6" x14ac:dyDescent="0.25">
      <c r="A6550" s="16" t="s">
        <v>20013</v>
      </c>
      <c r="B6550" s="17" t="s">
        <v>20014</v>
      </c>
      <c r="C6550" s="17" t="s">
        <v>11</v>
      </c>
      <c r="D6550" s="17" t="s">
        <v>26</v>
      </c>
      <c r="E6550" s="17" t="s">
        <v>20</v>
      </c>
      <c r="F6550" s="16" t="s">
        <v>20015</v>
      </c>
    </row>
    <row r="6551" spans="1:6" x14ac:dyDescent="0.25">
      <c r="A6551" s="16" t="s">
        <v>20016</v>
      </c>
      <c r="B6551" s="17" t="s">
        <v>20017</v>
      </c>
      <c r="C6551" s="17" t="s">
        <v>11</v>
      </c>
      <c r="D6551" s="17" t="s">
        <v>32</v>
      </c>
      <c r="E6551" s="17" t="s">
        <v>20</v>
      </c>
      <c r="F6551" s="16" t="s">
        <v>20018</v>
      </c>
    </row>
    <row r="6552" spans="1:6" x14ac:dyDescent="0.25">
      <c r="A6552" s="16" t="s">
        <v>20019</v>
      </c>
      <c r="B6552" s="17" t="s">
        <v>20020</v>
      </c>
      <c r="C6552" s="17" t="s">
        <v>11</v>
      </c>
      <c r="D6552" s="17" t="s">
        <v>32</v>
      </c>
      <c r="E6552" s="17" t="s">
        <v>20</v>
      </c>
      <c r="F6552" s="16" t="s">
        <v>20021</v>
      </c>
    </row>
    <row r="6553" spans="1:6" x14ac:dyDescent="0.25">
      <c r="A6553" s="16" t="s">
        <v>20022</v>
      </c>
      <c r="B6553" s="17" t="s">
        <v>20023</v>
      </c>
      <c r="C6553" s="17" t="s">
        <v>11</v>
      </c>
      <c r="D6553" s="17" t="s">
        <v>26</v>
      </c>
      <c r="E6553" s="17" t="s">
        <v>20</v>
      </c>
      <c r="F6553" s="16" t="s">
        <v>20024</v>
      </c>
    </row>
    <row r="6554" spans="1:6" x14ac:dyDescent="0.25">
      <c r="A6554" s="16" t="s">
        <v>20025</v>
      </c>
      <c r="B6554" s="17" t="s">
        <v>20026</v>
      </c>
      <c r="C6554" s="17" t="s">
        <v>11</v>
      </c>
      <c r="D6554" s="17" t="s">
        <v>32</v>
      </c>
      <c r="E6554" s="17" t="s">
        <v>20</v>
      </c>
      <c r="F6554" s="16" t="s">
        <v>20027</v>
      </c>
    </row>
    <row r="6555" spans="1:6" x14ac:dyDescent="0.25">
      <c r="A6555" s="16" t="s">
        <v>20028</v>
      </c>
      <c r="B6555" s="17" t="s">
        <v>20029</v>
      </c>
      <c r="C6555" s="17" t="s">
        <v>11</v>
      </c>
      <c r="D6555" s="17" t="s">
        <v>26</v>
      </c>
      <c r="E6555" s="17" t="s">
        <v>20</v>
      </c>
      <c r="F6555" s="16" t="s">
        <v>20030</v>
      </c>
    </row>
    <row r="6556" spans="1:6" x14ac:dyDescent="0.25">
      <c r="A6556" s="16" t="s">
        <v>20031</v>
      </c>
      <c r="B6556" s="17" t="s">
        <v>20032</v>
      </c>
      <c r="C6556" s="17" t="s">
        <v>11</v>
      </c>
      <c r="D6556" s="17" t="s">
        <v>32</v>
      </c>
      <c r="E6556" s="17" t="s">
        <v>20</v>
      </c>
      <c r="F6556" s="16" t="s">
        <v>20033</v>
      </c>
    </row>
    <row r="6557" spans="1:6" x14ac:dyDescent="0.25">
      <c r="A6557" s="16" t="s">
        <v>20034</v>
      </c>
      <c r="B6557" s="17" t="s">
        <v>20035</v>
      </c>
      <c r="C6557" s="17" t="s">
        <v>11</v>
      </c>
      <c r="D6557" s="17" t="s">
        <v>32</v>
      </c>
      <c r="E6557" s="17" t="s">
        <v>20</v>
      </c>
      <c r="F6557" s="16" t="s">
        <v>20036</v>
      </c>
    </row>
    <row r="6558" spans="1:6" x14ac:dyDescent="0.25">
      <c r="A6558" s="16" t="s">
        <v>20037</v>
      </c>
      <c r="B6558" s="17" t="s">
        <v>20038</v>
      </c>
      <c r="C6558" s="17" t="s">
        <v>11</v>
      </c>
      <c r="D6558" s="17" t="s">
        <v>83</v>
      </c>
      <c r="E6558" s="17" t="s">
        <v>20</v>
      </c>
      <c r="F6558" s="16" t="s">
        <v>20039</v>
      </c>
    </row>
    <row r="6559" spans="1:6" x14ac:dyDescent="0.25">
      <c r="A6559" s="16" t="s">
        <v>20040</v>
      </c>
      <c r="B6559" s="17" t="s">
        <v>20041</v>
      </c>
      <c r="C6559" s="17" t="s">
        <v>11</v>
      </c>
      <c r="D6559" s="17" t="s">
        <v>32</v>
      </c>
      <c r="E6559" s="17" t="s">
        <v>20</v>
      </c>
      <c r="F6559" s="16" t="s">
        <v>20042</v>
      </c>
    </row>
    <row r="6560" spans="1:6" x14ac:dyDescent="0.25">
      <c r="A6560" s="16" t="s">
        <v>20043</v>
      </c>
      <c r="B6560" s="17" t="s">
        <v>20044</v>
      </c>
      <c r="C6560" s="17" t="s">
        <v>11</v>
      </c>
      <c r="D6560" s="17" t="s">
        <v>26</v>
      </c>
      <c r="E6560" s="17" t="s">
        <v>20</v>
      </c>
      <c r="F6560" s="16" t="s">
        <v>20045</v>
      </c>
    </row>
    <row r="6561" spans="1:6" x14ac:dyDescent="0.25">
      <c r="A6561" s="16" t="s">
        <v>20046</v>
      </c>
      <c r="B6561" s="17" t="s">
        <v>20047</v>
      </c>
      <c r="C6561" s="17" t="s">
        <v>11</v>
      </c>
      <c r="D6561" s="17" t="s">
        <v>1318</v>
      </c>
      <c r="E6561" s="17" t="s">
        <v>20</v>
      </c>
      <c r="F6561" s="16" t="s">
        <v>20048</v>
      </c>
    </row>
    <row r="6562" spans="1:6" x14ac:dyDescent="0.25">
      <c r="A6562" s="16" t="s">
        <v>20049</v>
      </c>
      <c r="B6562" s="17" t="s">
        <v>20050</v>
      </c>
      <c r="C6562" s="17" t="s">
        <v>11</v>
      </c>
      <c r="D6562" s="17" t="s">
        <v>32</v>
      </c>
      <c r="E6562" s="17" t="s">
        <v>20</v>
      </c>
      <c r="F6562" s="16" t="s">
        <v>20051</v>
      </c>
    </row>
    <row r="6563" spans="1:6" x14ac:dyDescent="0.25">
      <c r="A6563" s="16" t="s">
        <v>20052</v>
      </c>
      <c r="B6563" s="17" t="s">
        <v>20053</v>
      </c>
      <c r="C6563" s="17" t="s">
        <v>11</v>
      </c>
      <c r="D6563" s="17" t="s">
        <v>26</v>
      </c>
      <c r="E6563" s="17" t="s">
        <v>20</v>
      </c>
      <c r="F6563" s="16" t="s">
        <v>20054</v>
      </c>
    </row>
    <row r="6564" spans="1:6" x14ac:dyDescent="0.25">
      <c r="A6564" s="16" t="s">
        <v>20055</v>
      </c>
      <c r="B6564" s="17" t="s">
        <v>20056</v>
      </c>
      <c r="C6564" s="17" t="s">
        <v>11</v>
      </c>
      <c r="D6564" s="17" t="s">
        <v>83</v>
      </c>
      <c r="E6564" s="17" t="s">
        <v>20</v>
      </c>
      <c r="F6564" s="16" t="s">
        <v>20057</v>
      </c>
    </row>
    <row r="6565" spans="1:6" x14ac:dyDescent="0.25">
      <c r="A6565" s="16" t="s">
        <v>20058</v>
      </c>
      <c r="B6565" s="17" t="s">
        <v>20059</v>
      </c>
      <c r="C6565" s="17" t="s">
        <v>11</v>
      </c>
      <c r="D6565" s="17" t="s">
        <v>26</v>
      </c>
      <c r="E6565" s="17" t="s">
        <v>20</v>
      </c>
      <c r="F6565" s="16" t="s">
        <v>20060</v>
      </c>
    </row>
    <row r="6566" spans="1:6" x14ac:dyDescent="0.25">
      <c r="A6566" s="16" t="s">
        <v>20061</v>
      </c>
      <c r="B6566" s="17" t="s">
        <v>20062</v>
      </c>
      <c r="C6566" s="17" t="s">
        <v>11</v>
      </c>
      <c r="D6566" s="17" t="s">
        <v>32</v>
      </c>
      <c r="E6566" s="17" t="s">
        <v>20</v>
      </c>
      <c r="F6566" s="16" t="s">
        <v>20063</v>
      </c>
    </row>
    <row r="6567" spans="1:6" x14ac:dyDescent="0.25">
      <c r="A6567" s="16" t="s">
        <v>20064</v>
      </c>
      <c r="B6567" s="17" t="s">
        <v>20065</v>
      </c>
      <c r="C6567" s="17" t="s">
        <v>11</v>
      </c>
      <c r="D6567" s="17" t="s">
        <v>83</v>
      </c>
      <c r="E6567" s="17" t="s">
        <v>20</v>
      </c>
      <c r="F6567" s="16" t="s">
        <v>20066</v>
      </c>
    </row>
    <row r="6568" spans="1:6" x14ac:dyDescent="0.25">
      <c r="A6568" s="16" t="s">
        <v>20067</v>
      </c>
      <c r="B6568" s="17" t="s">
        <v>20068</v>
      </c>
      <c r="C6568" s="17" t="s">
        <v>359</v>
      </c>
      <c r="D6568" s="17" t="s">
        <v>83</v>
      </c>
      <c r="E6568" s="17" t="s">
        <v>20</v>
      </c>
      <c r="F6568" s="16" t="s">
        <v>20069</v>
      </c>
    </row>
    <row r="6569" spans="1:6" x14ac:dyDescent="0.25">
      <c r="A6569" s="16" t="s">
        <v>20070</v>
      </c>
      <c r="B6569" s="17" t="s">
        <v>20071</v>
      </c>
      <c r="C6569" s="17" t="s">
        <v>11</v>
      </c>
      <c r="D6569" s="17" t="s">
        <v>32</v>
      </c>
      <c r="E6569" s="17" t="s">
        <v>20</v>
      </c>
      <c r="F6569" s="16" t="s">
        <v>20072</v>
      </c>
    </row>
    <row r="6570" spans="1:6" x14ac:dyDescent="0.25">
      <c r="A6570" s="16" t="s">
        <v>20073</v>
      </c>
      <c r="B6570" s="17" t="s">
        <v>20074</v>
      </c>
      <c r="C6570" s="17" t="s">
        <v>11</v>
      </c>
      <c r="D6570" s="17" t="s">
        <v>26</v>
      </c>
      <c r="E6570" s="17" t="s">
        <v>20</v>
      </c>
      <c r="F6570" s="16" t="s">
        <v>20075</v>
      </c>
    </row>
    <row r="6571" spans="1:6" x14ac:dyDescent="0.25">
      <c r="A6571" s="16" t="s">
        <v>20076</v>
      </c>
      <c r="B6571" s="17" t="s">
        <v>20077</v>
      </c>
      <c r="C6571" s="17" t="s">
        <v>11</v>
      </c>
      <c r="D6571" s="17" t="s">
        <v>148</v>
      </c>
      <c r="E6571" s="17" t="s">
        <v>20</v>
      </c>
      <c r="F6571" s="16" t="s">
        <v>20078</v>
      </c>
    </row>
    <row r="6572" spans="1:6" x14ac:dyDescent="0.25">
      <c r="A6572" s="16" t="s">
        <v>20079</v>
      </c>
      <c r="B6572" s="17" t="s">
        <v>20080</v>
      </c>
      <c r="C6572" s="17" t="s">
        <v>11</v>
      </c>
      <c r="D6572" s="17" t="s">
        <v>32</v>
      </c>
      <c r="E6572" s="17" t="s">
        <v>20</v>
      </c>
      <c r="F6572" s="16" t="s">
        <v>20081</v>
      </c>
    </row>
    <row r="6573" spans="1:6" x14ac:dyDescent="0.25">
      <c r="A6573" s="16" t="s">
        <v>20082</v>
      </c>
      <c r="B6573" s="17" t="s">
        <v>20083</v>
      </c>
      <c r="C6573" s="17" t="s">
        <v>11</v>
      </c>
      <c r="D6573" s="17" t="s">
        <v>83</v>
      </c>
      <c r="E6573" s="17" t="s">
        <v>20</v>
      </c>
      <c r="F6573" s="16" t="s">
        <v>20084</v>
      </c>
    </row>
    <row r="6574" spans="1:6" x14ac:dyDescent="0.25">
      <c r="A6574" s="16" t="s">
        <v>20085</v>
      </c>
      <c r="B6574" s="17" t="s">
        <v>20086</v>
      </c>
      <c r="C6574" s="17" t="s">
        <v>11</v>
      </c>
      <c r="D6574" s="17" t="s">
        <v>32</v>
      </c>
      <c r="E6574" s="17" t="s">
        <v>20</v>
      </c>
      <c r="F6574" s="16" t="s">
        <v>20087</v>
      </c>
    </row>
    <row r="6575" spans="1:6" x14ac:dyDescent="0.25">
      <c r="A6575" s="16" t="s">
        <v>20088</v>
      </c>
      <c r="B6575" s="17" t="s">
        <v>20089</v>
      </c>
      <c r="C6575" s="17" t="s">
        <v>11</v>
      </c>
      <c r="D6575" s="17" t="s">
        <v>32</v>
      </c>
      <c r="E6575" s="17" t="s">
        <v>20</v>
      </c>
      <c r="F6575" s="16" t="s">
        <v>20090</v>
      </c>
    </row>
    <row r="6576" spans="1:6" x14ac:dyDescent="0.25">
      <c r="A6576" s="16" t="s">
        <v>20091</v>
      </c>
      <c r="B6576" s="17" t="s">
        <v>20092</v>
      </c>
      <c r="C6576" s="17" t="s">
        <v>11</v>
      </c>
      <c r="D6576" s="17" t="s">
        <v>32</v>
      </c>
      <c r="E6576" s="17" t="s">
        <v>20</v>
      </c>
      <c r="F6576" s="16" t="s">
        <v>20093</v>
      </c>
    </row>
    <row r="6577" spans="1:6" x14ac:dyDescent="0.25">
      <c r="A6577" s="16" t="s">
        <v>20094</v>
      </c>
      <c r="B6577" s="17" t="s">
        <v>20095</v>
      </c>
      <c r="C6577" s="17" t="s">
        <v>11</v>
      </c>
      <c r="D6577" s="17" t="s">
        <v>83</v>
      </c>
      <c r="E6577" s="17" t="s">
        <v>20</v>
      </c>
      <c r="F6577" s="16" t="s">
        <v>20096</v>
      </c>
    </row>
    <row r="6578" spans="1:6" x14ac:dyDescent="0.25">
      <c r="A6578" s="16" t="s">
        <v>20097</v>
      </c>
      <c r="B6578" s="17" t="s">
        <v>20098</v>
      </c>
      <c r="C6578" s="17" t="s">
        <v>11</v>
      </c>
      <c r="D6578" s="17" t="s">
        <v>32</v>
      </c>
      <c r="E6578" s="17" t="s">
        <v>20</v>
      </c>
      <c r="F6578" s="16" t="s">
        <v>20099</v>
      </c>
    </row>
    <row r="6579" spans="1:6" x14ac:dyDescent="0.25">
      <c r="A6579" s="16" t="s">
        <v>20100</v>
      </c>
      <c r="B6579" s="17" t="s">
        <v>20101</v>
      </c>
      <c r="C6579" s="17" t="s">
        <v>11</v>
      </c>
      <c r="D6579" s="17" t="s">
        <v>83</v>
      </c>
      <c r="E6579" s="17" t="s">
        <v>20</v>
      </c>
      <c r="F6579" s="16" t="s">
        <v>20102</v>
      </c>
    </row>
    <row r="6580" spans="1:6" x14ac:dyDescent="0.25">
      <c r="A6580" s="16" t="s">
        <v>20103</v>
      </c>
      <c r="B6580" s="17" t="s">
        <v>20104</v>
      </c>
      <c r="C6580" s="17" t="s">
        <v>11</v>
      </c>
      <c r="D6580" s="17" t="s">
        <v>32</v>
      </c>
      <c r="E6580" s="17" t="s">
        <v>20</v>
      </c>
      <c r="F6580" s="16" t="s">
        <v>20105</v>
      </c>
    </row>
    <row r="6581" spans="1:6" x14ac:dyDescent="0.25">
      <c r="A6581" s="16" t="s">
        <v>20106</v>
      </c>
      <c r="B6581" s="17" t="s">
        <v>20107</v>
      </c>
      <c r="C6581" s="17" t="s">
        <v>11</v>
      </c>
      <c r="D6581" s="17" t="s">
        <v>32</v>
      </c>
      <c r="E6581" s="17" t="s">
        <v>20</v>
      </c>
      <c r="F6581" s="16" t="s">
        <v>20108</v>
      </c>
    </row>
    <row r="6582" spans="1:6" x14ac:dyDescent="0.25">
      <c r="A6582" s="16" t="s">
        <v>20109</v>
      </c>
      <c r="B6582" s="17" t="s">
        <v>20110</v>
      </c>
      <c r="C6582" s="17" t="s">
        <v>359</v>
      </c>
      <c r="D6582" s="17" t="s">
        <v>32</v>
      </c>
      <c r="E6582" s="17" t="s">
        <v>20</v>
      </c>
      <c r="F6582" s="16" t="s">
        <v>20111</v>
      </c>
    </row>
    <row r="6583" spans="1:6" x14ac:dyDescent="0.25">
      <c r="A6583" s="16" t="s">
        <v>20112</v>
      </c>
      <c r="B6583" s="17" t="s">
        <v>20113</v>
      </c>
      <c r="C6583" s="17" t="s">
        <v>11</v>
      </c>
      <c r="D6583" s="17" t="s">
        <v>32</v>
      </c>
      <c r="E6583" s="17" t="s">
        <v>20</v>
      </c>
      <c r="F6583" s="16" t="s">
        <v>20114</v>
      </c>
    </row>
    <row r="6584" spans="1:6" x14ac:dyDescent="0.25">
      <c r="A6584" s="16" t="s">
        <v>20115</v>
      </c>
      <c r="B6584" s="17" t="s">
        <v>20116</v>
      </c>
      <c r="C6584" s="17" t="s">
        <v>11</v>
      </c>
      <c r="D6584" s="17" t="s">
        <v>32</v>
      </c>
      <c r="E6584" s="17" t="s">
        <v>20</v>
      </c>
      <c r="F6584" s="16" t="s">
        <v>20117</v>
      </c>
    </row>
    <row r="6585" spans="1:6" x14ac:dyDescent="0.25">
      <c r="A6585" s="16" t="s">
        <v>20118</v>
      </c>
      <c r="B6585" s="17" t="s">
        <v>20119</v>
      </c>
      <c r="C6585" s="17" t="s">
        <v>11</v>
      </c>
      <c r="D6585" s="17" t="s">
        <v>32</v>
      </c>
      <c r="E6585" s="17" t="s">
        <v>20</v>
      </c>
      <c r="F6585" s="16" t="s">
        <v>20120</v>
      </c>
    </row>
    <row r="6586" spans="1:6" x14ac:dyDescent="0.25">
      <c r="A6586" s="16" t="s">
        <v>20121</v>
      </c>
      <c r="B6586" s="17" t="s">
        <v>20122</v>
      </c>
      <c r="C6586" s="17" t="s">
        <v>11</v>
      </c>
      <c r="D6586" s="17" t="s">
        <v>148</v>
      </c>
      <c r="E6586" s="17" t="s">
        <v>20</v>
      </c>
      <c r="F6586" s="16" t="s">
        <v>20123</v>
      </c>
    </row>
    <row r="6587" spans="1:6" x14ac:dyDescent="0.25">
      <c r="A6587" s="16" t="s">
        <v>20124</v>
      </c>
      <c r="B6587" s="17" t="s">
        <v>20125</v>
      </c>
      <c r="C6587" s="17" t="s">
        <v>11</v>
      </c>
      <c r="D6587" s="17" t="s">
        <v>32</v>
      </c>
      <c r="E6587" s="17" t="s">
        <v>20</v>
      </c>
      <c r="F6587" s="16" t="s">
        <v>20126</v>
      </c>
    </row>
    <row r="6588" spans="1:6" x14ac:dyDescent="0.25">
      <c r="A6588" s="16" t="s">
        <v>20127</v>
      </c>
      <c r="B6588" s="17" t="s">
        <v>20128</v>
      </c>
      <c r="C6588" s="17" t="s">
        <v>11</v>
      </c>
      <c r="D6588" s="17" t="s">
        <v>32</v>
      </c>
      <c r="E6588" s="17" t="s">
        <v>20</v>
      </c>
      <c r="F6588" s="16" t="s">
        <v>20129</v>
      </c>
    </row>
    <row r="6589" spans="1:6" x14ac:dyDescent="0.25">
      <c r="A6589" s="16" t="s">
        <v>20130</v>
      </c>
      <c r="B6589" s="17" t="s">
        <v>20131</v>
      </c>
      <c r="C6589" s="17" t="s">
        <v>11</v>
      </c>
      <c r="D6589" s="17" t="s">
        <v>32</v>
      </c>
      <c r="E6589" s="17" t="s">
        <v>20</v>
      </c>
      <c r="F6589" s="16" t="s">
        <v>20132</v>
      </c>
    </row>
    <row r="6590" spans="1:6" x14ac:dyDescent="0.25">
      <c r="A6590" s="16" t="s">
        <v>20133</v>
      </c>
      <c r="B6590" s="17" t="s">
        <v>20134</v>
      </c>
      <c r="C6590" s="17" t="s">
        <v>11</v>
      </c>
      <c r="D6590" s="17" t="s">
        <v>32</v>
      </c>
      <c r="E6590" s="17" t="s">
        <v>20</v>
      </c>
      <c r="F6590" s="16" t="s">
        <v>20135</v>
      </c>
    </row>
    <row r="6591" spans="1:6" x14ac:dyDescent="0.25">
      <c r="A6591" s="16" t="s">
        <v>20136</v>
      </c>
      <c r="B6591" s="17" t="s">
        <v>20137</v>
      </c>
      <c r="C6591" s="17" t="s">
        <v>11</v>
      </c>
      <c r="D6591" s="17" t="s">
        <v>32</v>
      </c>
      <c r="E6591" s="17" t="s">
        <v>20</v>
      </c>
      <c r="F6591" s="16" t="s">
        <v>20138</v>
      </c>
    </row>
    <row r="6592" spans="1:6" x14ac:dyDescent="0.25">
      <c r="A6592" s="16" t="s">
        <v>20139</v>
      </c>
      <c r="B6592" s="17" t="s">
        <v>20140</v>
      </c>
      <c r="C6592" s="17" t="s">
        <v>11</v>
      </c>
      <c r="D6592" s="17" t="s">
        <v>32</v>
      </c>
      <c r="E6592" s="17" t="s">
        <v>20</v>
      </c>
      <c r="F6592" s="16" t="s">
        <v>20141</v>
      </c>
    </row>
    <row r="6593" spans="1:6" x14ac:dyDescent="0.25">
      <c r="A6593" s="16" t="s">
        <v>20142</v>
      </c>
      <c r="B6593" s="17" t="s">
        <v>20143</v>
      </c>
      <c r="C6593" s="17" t="s">
        <v>11</v>
      </c>
      <c r="D6593" s="17" t="s">
        <v>32</v>
      </c>
      <c r="E6593" s="17" t="s">
        <v>20</v>
      </c>
      <c r="F6593" s="16" t="s">
        <v>20144</v>
      </c>
    </row>
    <row r="6594" spans="1:6" x14ac:dyDescent="0.25">
      <c r="A6594" s="16" t="s">
        <v>20145</v>
      </c>
      <c r="B6594" s="17" t="s">
        <v>20146</v>
      </c>
      <c r="C6594" s="17" t="s">
        <v>11</v>
      </c>
      <c r="D6594" s="17" t="s">
        <v>32</v>
      </c>
      <c r="E6594" s="17" t="s">
        <v>20</v>
      </c>
      <c r="F6594" s="16" t="s">
        <v>20147</v>
      </c>
    </row>
    <row r="6595" spans="1:6" x14ac:dyDescent="0.25">
      <c r="A6595" s="16" t="s">
        <v>20148</v>
      </c>
      <c r="B6595" s="17" t="s">
        <v>20149</v>
      </c>
      <c r="C6595" s="17" t="s">
        <v>214</v>
      </c>
      <c r="D6595" s="17" t="s">
        <v>32</v>
      </c>
      <c r="E6595" s="17" t="s">
        <v>20</v>
      </c>
      <c r="F6595" s="16" t="s">
        <v>20150</v>
      </c>
    </row>
    <row r="6596" spans="1:6" x14ac:dyDescent="0.25">
      <c r="A6596" s="16" t="s">
        <v>20151</v>
      </c>
      <c r="B6596" s="17" t="s">
        <v>20152</v>
      </c>
      <c r="C6596" s="17" t="s">
        <v>11</v>
      </c>
      <c r="D6596" s="17" t="s">
        <v>148</v>
      </c>
      <c r="E6596" s="17" t="s">
        <v>20</v>
      </c>
      <c r="F6596" s="16" t="s">
        <v>20153</v>
      </c>
    </row>
    <row r="6597" spans="1:6" x14ac:dyDescent="0.25">
      <c r="A6597" s="16" t="s">
        <v>20154</v>
      </c>
      <c r="B6597" s="17" t="s">
        <v>20155</v>
      </c>
      <c r="C6597" s="17" t="s">
        <v>11</v>
      </c>
      <c r="D6597" s="17" t="s">
        <v>32</v>
      </c>
      <c r="E6597" s="17" t="s">
        <v>20</v>
      </c>
      <c r="F6597" s="16" t="s">
        <v>20156</v>
      </c>
    </row>
    <row r="6598" spans="1:6" x14ac:dyDescent="0.25">
      <c r="A6598" s="16" t="s">
        <v>20157</v>
      </c>
      <c r="B6598" s="17" t="s">
        <v>20158</v>
      </c>
      <c r="C6598" s="17" t="s">
        <v>11</v>
      </c>
      <c r="D6598" s="17" t="s">
        <v>32</v>
      </c>
      <c r="E6598" s="17" t="s">
        <v>20</v>
      </c>
      <c r="F6598" s="16" t="s">
        <v>20159</v>
      </c>
    </row>
    <row r="6599" spans="1:6" x14ac:dyDescent="0.25">
      <c r="A6599" s="16" t="s">
        <v>20160</v>
      </c>
      <c r="B6599" s="17" t="s">
        <v>20161</v>
      </c>
      <c r="C6599" s="17" t="s">
        <v>11</v>
      </c>
      <c r="D6599" s="17" t="s">
        <v>544</v>
      </c>
      <c r="E6599" s="17" t="s">
        <v>20</v>
      </c>
      <c r="F6599" s="16" t="s">
        <v>20162</v>
      </c>
    </row>
    <row r="6600" spans="1:6" x14ac:dyDescent="0.25">
      <c r="A6600" s="16" t="s">
        <v>20163</v>
      </c>
      <c r="B6600" s="17" t="s">
        <v>20164</v>
      </c>
      <c r="C6600" s="17" t="s">
        <v>11</v>
      </c>
      <c r="D6600" s="17" t="s">
        <v>32</v>
      </c>
      <c r="E6600" s="17" t="s">
        <v>20</v>
      </c>
      <c r="F6600" s="16" t="s">
        <v>20165</v>
      </c>
    </row>
    <row r="6601" spans="1:6" x14ac:dyDescent="0.25">
      <c r="A6601" s="16" t="s">
        <v>20166</v>
      </c>
      <c r="B6601" s="17" t="s">
        <v>20167</v>
      </c>
      <c r="C6601" s="17" t="s">
        <v>11</v>
      </c>
      <c r="D6601" s="17" t="s">
        <v>148</v>
      </c>
      <c r="E6601" s="17" t="s">
        <v>20</v>
      </c>
      <c r="F6601" s="16" t="s">
        <v>20168</v>
      </c>
    </row>
    <row r="6602" spans="1:6" x14ac:dyDescent="0.25">
      <c r="A6602" s="16" t="s">
        <v>20169</v>
      </c>
      <c r="B6602" s="17" t="s">
        <v>20170</v>
      </c>
      <c r="C6602" s="17" t="s">
        <v>11</v>
      </c>
      <c r="D6602" s="17" t="s">
        <v>148</v>
      </c>
      <c r="E6602" s="17" t="s">
        <v>20</v>
      </c>
      <c r="F6602" s="16" t="s">
        <v>20171</v>
      </c>
    </row>
    <row r="6603" spans="1:6" x14ac:dyDescent="0.25">
      <c r="A6603" s="16" t="s">
        <v>20172</v>
      </c>
      <c r="B6603" s="17" t="s">
        <v>20173</v>
      </c>
      <c r="C6603" s="17" t="s">
        <v>11</v>
      </c>
      <c r="D6603" s="17" t="s">
        <v>32</v>
      </c>
      <c r="E6603" s="17" t="s">
        <v>20</v>
      </c>
      <c r="F6603" s="16" t="s">
        <v>20174</v>
      </c>
    </row>
    <row r="6604" spans="1:6" x14ac:dyDescent="0.25">
      <c r="A6604" s="16" t="s">
        <v>20175</v>
      </c>
      <c r="B6604" s="17" t="s">
        <v>20176</v>
      </c>
      <c r="C6604" s="17" t="s">
        <v>11</v>
      </c>
      <c r="D6604" s="17" t="s">
        <v>32</v>
      </c>
      <c r="E6604" s="17" t="s">
        <v>20</v>
      </c>
      <c r="F6604" s="16" t="s">
        <v>20177</v>
      </c>
    </row>
    <row r="6605" spans="1:6" x14ac:dyDescent="0.25">
      <c r="A6605" s="16" t="s">
        <v>20178</v>
      </c>
      <c r="B6605" s="17" t="s">
        <v>20179</v>
      </c>
      <c r="C6605" s="17" t="s">
        <v>11</v>
      </c>
      <c r="D6605" s="17" t="s">
        <v>32</v>
      </c>
      <c r="E6605" s="17" t="s">
        <v>20</v>
      </c>
      <c r="F6605" s="16" t="s">
        <v>20180</v>
      </c>
    </row>
    <row r="6606" spans="1:6" x14ac:dyDescent="0.25">
      <c r="A6606" s="16" t="s">
        <v>20181</v>
      </c>
      <c r="B6606" s="17" t="s">
        <v>20182</v>
      </c>
      <c r="C6606" s="17" t="s">
        <v>11</v>
      </c>
      <c r="D6606" s="17" t="s">
        <v>148</v>
      </c>
      <c r="E6606" s="17" t="s">
        <v>20</v>
      </c>
      <c r="F6606" s="16" t="s">
        <v>20183</v>
      </c>
    </row>
    <row r="6607" spans="1:6" x14ac:dyDescent="0.25">
      <c r="A6607" s="16" t="s">
        <v>20184</v>
      </c>
      <c r="B6607" s="17" t="s">
        <v>20185</v>
      </c>
      <c r="C6607" s="17" t="s">
        <v>11</v>
      </c>
      <c r="D6607" s="17" t="s">
        <v>26</v>
      </c>
      <c r="E6607" s="17" t="s">
        <v>20</v>
      </c>
      <c r="F6607" s="16" t="s">
        <v>20186</v>
      </c>
    </row>
    <row r="6608" spans="1:6" x14ac:dyDescent="0.25">
      <c r="A6608" s="16" t="s">
        <v>20187</v>
      </c>
      <c r="B6608" s="17" t="s">
        <v>20188</v>
      </c>
      <c r="C6608" s="17" t="s">
        <v>11</v>
      </c>
      <c r="D6608" s="17" t="s">
        <v>32</v>
      </c>
      <c r="E6608" s="17" t="s">
        <v>20</v>
      </c>
      <c r="F6608" s="16" t="s">
        <v>20189</v>
      </c>
    </row>
    <row r="6609" spans="1:6" x14ac:dyDescent="0.25">
      <c r="A6609" s="16" t="s">
        <v>20190</v>
      </c>
      <c r="B6609" s="17" t="s">
        <v>20191</v>
      </c>
      <c r="C6609" s="17" t="s">
        <v>11</v>
      </c>
      <c r="D6609" s="17" t="s">
        <v>83</v>
      </c>
      <c r="E6609" s="17" t="s">
        <v>20</v>
      </c>
      <c r="F6609" s="16" t="s">
        <v>20192</v>
      </c>
    </row>
    <row r="6610" spans="1:6" x14ac:dyDescent="0.25">
      <c r="A6610" s="16" t="s">
        <v>20193</v>
      </c>
      <c r="B6610" s="17" t="s">
        <v>20194</v>
      </c>
      <c r="C6610" s="17" t="s">
        <v>11</v>
      </c>
      <c r="D6610" s="17" t="s">
        <v>32</v>
      </c>
      <c r="E6610" s="17" t="s">
        <v>20</v>
      </c>
      <c r="F6610" s="16" t="s">
        <v>20195</v>
      </c>
    </row>
    <row r="6611" spans="1:6" x14ac:dyDescent="0.25">
      <c r="A6611" s="16" t="s">
        <v>20196</v>
      </c>
      <c r="B6611" s="17" t="s">
        <v>20197</v>
      </c>
      <c r="C6611" s="17" t="s">
        <v>11</v>
      </c>
      <c r="D6611" s="17" t="s">
        <v>83</v>
      </c>
      <c r="E6611" s="17" t="s">
        <v>20</v>
      </c>
      <c r="F6611" s="16" t="s">
        <v>20198</v>
      </c>
    </row>
    <row r="6612" spans="1:6" x14ac:dyDescent="0.25">
      <c r="A6612" s="16" t="s">
        <v>20199</v>
      </c>
      <c r="B6612" s="17" t="s">
        <v>20200</v>
      </c>
      <c r="C6612" s="17" t="s">
        <v>11</v>
      </c>
      <c r="D6612" s="17" t="s">
        <v>32</v>
      </c>
      <c r="E6612" s="17" t="s">
        <v>20</v>
      </c>
      <c r="F6612" s="16" t="s">
        <v>20201</v>
      </c>
    </row>
    <row r="6613" spans="1:6" x14ac:dyDescent="0.25">
      <c r="A6613" s="16" t="s">
        <v>20202</v>
      </c>
      <c r="B6613" s="17" t="s">
        <v>20203</v>
      </c>
      <c r="C6613" s="17" t="s">
        <v>11</v>
      </c>
      <c r="D6613" s="17" t="s">
        <v>148</v>
      </c>
      <c r="E6613" s="17" t="s">
        <v>20</v>
      </c>
      <c r="F6613" s="16" t="s">
        <v>20204</v>
      </c>
    </row>
    <row r="6614" spans="1:6" x14ac:dyDescent="0.25">
      <c r="A6614" s="16" t="s">
        <v>20205</v>
      </c>
      <c r="B6614" s="17" t="s">
        <v>20206</v>
      </c>
      <c r="C6614" s="17" t="s">
        <v>11</v>
      </c>
      <c r="D6614" s="17" t="s">
        <v>83</v>
      </c>
      <c r="E6614" s="17" t="s">
        <v>20</v>
      </c>
      <c r="F6614" s="16" t="s">
        <v>20207</v>
      </c>
    </row>
    <row r="6615" spans="1:6" x14ac:dyDescent="0.25">
      <c r="A6615" s="16" t="s">
        <v>20208</v>
      </c>
      <c r="B6615" s="17" t="s">
        <v>20209</v>
      </c>
      <c r="C6615" s="17" t="s">
        <v>11</v>
      </c>
      <c r="D6615" s="17" t="s">
        <v>83</v>
      </c>
      <c r="E6615" s="17" t="s">
        <v>20</v>
      </c>
      <c r="F6615" s="16" t="s">
        <v>20210</v>
      </c>
    </row>
    <row r="6616" spans="1:6" x14ac:dyDescent="0.25">
      <c r="A6616" s="16" t="s">
        <v>20211</v>
      </c>
      <c r="B6616" s="17" t="s">
        <v>20212</v>
      </c>
      <c r="C6616" s="17" t="s">
        <v>11</v>
      </c>
      <c r="D6616" s="17" t="s">
        <v>32</v>
      </c>
      <c r="E6616" s="17" t="s">
        <v>20</v>
      </c>
      <c r="F6616" s="16" t="s">
        <v>20213</v>
      </c>
    </row>
    <row r="6617" spans="1:6" x14ac:dyDescent="0.25">
      <c r="A6617" s="16" t="s">
        <v>20214</v>
      </c>
      <c r="B6617" s="17" t="s">
        <v>20215</v>
      </c>
      <c r="C6617" s="17" t="s">
        <v>11</v>
      </c>
      <c r="D6617" s="17" t="s">
        <v>32</v>
      </c>
      <c r="E6617" s="17" t="s">
        <v>20</v>
      </c>
      <c r="F6617" s="16" t="s">
        <v>20216</v>
      </c>
    </row>
    <row r="6618" spans="1:6" x14ac:dyDescent="0.25">
      <c r="A6618" s="16" t="s">
        <v>20217</v>
      </c>
      <c r="B6618" s="17" t="s">
        <v>20218</v>
      </c>
      <c r="C6618" s="17" t="s">
        <v>11</v>
      </c>
      <c r="D6618" s="17" t="s">
        <v>83</v>
      </c>
      <c r="E6618" s="17" t="s">
        <v>20</v>
      </c>
      <c r="F6618" s="16" t="s">
        <v>20219</v>
      </c>
    </row>
    <row r="6619" spans="1:6" x14ac:dyDescent="0.25">
      <c r="A6619" s="16" t="s">
        <v>20220</v>
      </c>
      <c r="B6619" s="17" t="s">
        <v>20221</v>
      </c>
      <c r="C6619" s="17" t="s">
        <v>11</v>
      </c>
      <c r="D6619" s="17" t="s">
        <v>32</v>
      </c>
      <c r="E6619" s="17" t="s">
        <v>20</v>
      </c>
      <c r="F6619" s="16" t="s">
        <v>20222</v>
      </c>
    </row>
    <row r="6620" spans="1:6" x14ac:dyDescent="0.25">
      <c r="A6620" s="16" t="s">
        <v>20223</v>
      </c>
      <c r="B6620" s="17" t="s">
        <v>20224</v>
      </c>
      <c r="C6620" s="17" t="s">
        <v>11</v>
      </c>
      <c r="D6620" s="17" t="s">
        <v>32</v>
      </c>
      <c r="E6620" s="17" t="s">
        <v>20</v>
      </c>
      <c r="F6620" s="16" t="s">
        <v>20225</v>
      </c>
    </row>
    <row r="6621" spans="1:6" x14ac:dyDescent="0.25">
      <c r="A6621" s="16" t="s">
        <v>20226</v>
      </c>
      <c r="B6621" s="17" t="s">
        <v>20227</v>
      </c>
      <c r="C6621" s="17" t="s">
        <v>11</v>
      </c>
      <c r="D6621" s="17" t="s">
        <v>26</v>
      </c>
      <c r="E6621" s="17" t="s">
        <v>20</v>
      </c>
      <c r="F6621" s="16" t="s">
        <v>20228</v>
      </c>
    </row>
    <row r="6622" spans="1:6" x14ac:dyDescent="0.25">
      <c r="A6622" s="16" t="s">
        <v>20229</v>
      </c>
      <c r="B6622" s="17" t="s">
        <v>20230</v>
      </c>
      <c r="C6622" s="17" t="s">
        <v>11</v>
      </c>
      <c r="D6622" s="17" t="s">
        <v>32</v>
      </c>
      <c r="E6622" s="17" t="s">
        <v>20</v>
      </c>
      <c r="F6622" s="16" t="s">
        <v>20231</v>
      </c>
    </row>
    <row r="6623" spans="1:6" x14ac:dyDescent="0.25">
      <c r="A6623" s="16" t="s">
        <v>20232</v>
      </c>
      <c r="B6623" s="17" t="s">
        <v>20233</v>
      </c>
      <c r="C6623" s="17" t="s">
        <v>359</v>
      </c>
      <c r="D6623" s="17" t="s">
        <v>32</v>
      </c>
      <c r="E6623" s="17" t="s">
        <v>20</v>
      </c>
      <c r="F6623" s="16" t="s">
        <v>20234</v>
      </c>
    </row>
    <row r="6624" spans="1:6" x14ac:dyDescent="0.25">
      <c r="A6624" s="16" t="s">
        <v>20235</v>
      </c>
      <c r="B6624" s="17" t="s">
        <v>20236</v>
      </c>
      <c r="C6624" s="17" t="s">
        <v>11</v>
      </c>
      <c r="D6624" s="17" t="s">
        <v>544</v>
      </c>
      <c r="E6624" s="17" t="s">
        <v>20</v>
      </c>
      <c r="F6624" s="16" t="s">
        <v>20237</v>
      </c>
    </row>
    <row r="6625" spans="1:6" x14ac:dyDescent="0.25">
      <c r="A6625" s="16" t="s">
        <v>20238</v>
      </c>
      <c r="B6625" s="17" t="s">
        <v>20239</v>
      </c>
      <c r="C6625" s="17" t="s">
        <v>11</v>
      </c>
      <c r="D6625" s="17" t="s">
        <v>148</v>
      </c>
      <c r="E6625" s="17" t="s">
        <v>20</v>
      </c>
      <c r="F6625" s="16" t="s">
        <v>20240</v>
      </c>
    </row>
    <row r="6626" spans="1:6" x14ac:dyDescent="0.25">
      <c r="A6626" s="16" t="s">
        <v>20241</v>
      </c>
      <c r="B6626" s="17" t="s">
        <v>20242</v>
      </c>
      <c r="C6626" s="17" t="s">
        <v>11</v>
      </c>
      <c r="D6626" s="17" t="s">
        <v>32</v>
      </c>
      <c r="E6626" s="17" t="s">
        <v>20</v>
      </c>
      <c r="F6626" s="16" t="s">
        <v>20243</v>
      </c>
    </row>
    <row r="6627" spans="1:6" x14ac:dyDescent="0.25">
      <c r="A6627" s="16" t="s">
        <v>20244</v>
      </c>
      <c r="B6627" s="17" t="s">
        <v>20245</v>
      </c>
      <c r="C6627" s="17" t="s">
        <v>11</v>
      </c>
      <c r="D6627" s="17" t="s">
        <v>83</v>
      </c>
      <c r="E6627" s="17" t="s">
        <v>20</v>
      </c>
      <c r="F6627" s="16" t="s">
        <v>20246</v>
      </c>
    </row>
    <row r="6628" spans="1:6" x14ac:dyDescent="0.25">
      <c r="A6628" s="16" t="s">
        <v>20247</v>
      </c>
      <c r="B6628" s="17" t="s">
        <v>20248</v>
      </c>
      <c r="C6628" s="17" t="s">
        <v>11</v>
      </c>
      <c r="D6628" s="17" t="s">
        <v>32</v>
      </c>
      <c r="E6628" s="17" t="s">
        <v>20</v>
      </c>
      <c r="F6628" s="16" t="s">
        <v>20249</v>
      </c>
    </row>
    <row r="6629" spans="1:6" x14ac:dyDescent="0.25">
      <c r="A6629" s="16" t="s">
        <v>20250</v>
      </c>
      <c r="B6629" s="17" t="s">
        <v>20251</v>
      </c>
      <c r="C6629" s="17" t="s">
        <v>11</v>
      </c>
      <c r="D6629" s="17" t="s">
        <v>32</v>
      </c>
      <c r="E6629" s="17" t="s">
        <v>20</v>
      </c>
      <c r="F6629" s="16" t="s">
        <v>20252</v>
      </c>
    </row>
    <row r="6630" spans="1:6" x14ac:dyDescent="0.25">
      <c r="A6630" s="16" t="s">
        <v>20253</v>
      </c>
      <c r="B6630" s="17" t="s">
        <v>20254</v>
      </c>
      <c r="C6630" s="17" t="s">
        <v>11</v>
      </c>
      <c r="D6630" s="17" t="s">
        <v>83</v>
      </c>
      <c r="E6630" s="17" t="s">
        <v>20</v>
      </c>
      <c r="F6630" s="16" t="s">
        <v>20255</v>
      </c>
    </row>
    <row r="6631" spans="1:6" x14ac:dyDescent="0.25">
      <c r="A6631" s="16" t="s">
        <v>20256</v>
      </c>
      <c r="B6631" s="17" t="s">
        <v>20257</v>
      </c>
      <c r="C6631" s="17" t="s">
        <v>11</v>
      </c>
      <c r="D6631" s="17" t="s">
        <v>83</v>
      </c>
      <c r="E6631" s="17" t="s">
        <v>20</v>
      </c>
      <c r="F6631" s="16" t="s">
        <v>20258</v>
      </c>
    </row>
    <row r="6632" spans="1:6" x14ac:dyDescent="0.25">
      <c r="A6632" s="16" t="s">
        <v>20259</v>
      </c>
      <c r="B6632" s="17" t="s">
        <v>20260</v>
      </c>
      <c r="C6632" s="17" t="s">
        <v>11</v>
      </c>
      <c r="D6632" s="17" t="s">
        <v>32</v>
      </c>
      <c r="E6632" s="17" t="s">
        <v>20</v>
      </c>
      <c r="F6632" s="16" t="s">
        <v>20261</v>
      </c>
    </row>
    <row r="6633" spans="1:6" x14ac:dyDescent="0.25">
      <c r="A6633" s="16" t="s">
        <v>20262</v>
      </c>
      <c r="B6633" s="17" t="s">
        <v>20263</v>
      </c>
      <c r="C6633" s="17" t="s">
        <v>11</v>
      </c>
      <c r="D6633" s="17" t="s">
        <v>544</v>
      </c>
      <c r="E6633" s="17" t="s">
        <v>20</v>
      </c>
      <c r="F6633" s="16" t="s">
        <v>20264</v>
      </c>
    </row>
    <row r="6634" spans="1:6" x14ac:dyDescent="0.25">
      <c r="A6634" s="16" t="s">
        <v>20265</v>
      </c>
      <c r="B6634" s="17" t="s">
        <v>20266</v>
      </c>
      <c r="C6634" s="17" t="s">
        <v>11</v>
      </c>
      <c r="D6634" s="17" t="s">
        <v>83</v>
      </c>
      <c r="E6634" s="17" t="s">
        <v>20</v>
      </c>
      <c r="F6634" s="16" t="s">
        <v>20267</v>
      </c>
    </row>
    <row r="6635" spans="1:6" x14ac:dyDescent="0.25">
      <c r="A6635" s="16" t="s">
        <v>20268</v>
      </c>
      <c r="B6635" s="17" t="s">
        <v>20269</v>
      </c>
      <c r="C6635" s="17" t="s">
        <v>11</v>
      </c>
      <c r="D6635" s="17" t="s">
        <v>26</v>
      </c>
      <c r="E6635" s="17" t="s">
        <v>20</v>
      </c>
      <c r="F6635" s="16" t="s">
        <v>20270</v>
      </c>
    </row>
    <row r="6636" spans="1:6" x14ac:dyDescent="0.25">
      <c r="A6636" s="16" t="s">
        <v>20271</v>
      </c>
      <c r="B6636" s="17" t="s">
        <v>20272</v>
      </c>
      <c r="C6636" s="17" t="s">
        <v>11</v>
      </c>
      <c r="D6636" s="17" t="s">
        <v>83</v>
      </c>
      <c r="E6636" s="17" t="s">
        <v>20</v>
      </c>
      <c r="F6636" s="16" t="s">
        <v>20273</v>
      </c>
    </row>
    <row r="6637" spans="1:6" x14ac:dyDescent="0.25">
      <c r="A6637" s="16" t="s">
        <v>20274</v>
      </c>
      <c r="B6637" s="17" t="s">
        <v>20275</v>
      </c>
      <c r="C6637" s="17" t="s">
        <v>11</v>
      </c>
      <c r="D6637" s="17" t="s">
        <v>32</v>
      </c>
      <c r="E6637" s="17" t="s">
        <v>20</v>
      </c>
      <c r="F6637" s="16" t="s">
        <v>20276</v>
      </c>
    </row>
    <row r="6638" spans="1:6" x14ac:dyDescent="0.25">
      <c r="A6638" s="16" t="s">
        <v>20277</v>
      </c>
      <c r="B6638" s="17" t="s">
        <v>20278</v>
      </c>
      <c r="C6638" s="17" t="s">
        <v>11</v>
      </c>
      <c r="D6638" s="17" t="s">
        <v>83</v>
      </c>
      <c r="E6638" s="17" t="s">
        <v>20</v>
      </c>
      <c r="F6638" s="16" t="s">
        <v>20279</v>
      </c>
    </row>
    <row r="6639" spans="1:6" x14ac:dyDescent="0.25">
      <c r="A6639" s="16" t="s">
        <v>20280</v>
      </c>
      <c r="B6639" s="17" t="s">
        <v>20281</v>
      </c>
      <c r="C6639" s="17" t="s">
        <v>11</v>
      </c>
      <c r="D6639" s="17" t="s">
        <v>83</v>
      </c>
      <c r="E6639" s="17" t="s">
        <v>20</v>
      </c>
      <c r="F6639" s="16" t="s">
        <v>20282</v>
      </c>
    </row>
    <row r="6640" spans="1:6" x14ac:dyDescent="0.25">
      <c r="A6640" s="16" t="s">
        <v>20283</v>
      </c>
      <c r="B6640" s="17" t="s">
        <v>20284</v>
      </c>
      <c r="C6640" s="17" t="s">
        <v>11</v>
      </c>
      <c r="D6640" s="17" t="s">
        <v>36</v>
      </c>
      <c r="E6640" s="17" t="s">
        <v>20</v>
      </c>
      <c r="F6640" s="16" t="s">
        <v>20285</v>
      </c>
    </row>
    <row r="6641" spans="1:6" x14ac:dyDescent="0.25">
      <c r="A6641" s="16" t="s">
        <v>20286</v>
      </c>
      <c r="B6641" s="17" t="s">
        <v>20287</v>
      </c>
      <c r="C6641" s="17" t="s">
        <v>11</v>
      </c>
      <c r="D6641" s="17" t="s">
        <v>26</v>
      </c>
      <c r="E6641" s="17" t="s">
        <v>20</v>
      </c>
      <c r="F6641" s="16" t="s">
        <v>20288</v>
      </c>
    </row>
    <row r="6642" spans="1:6" x14ac:dyDescent="0.25">
      <c r="A6642" s="16" t="s">
        <v>20289</v>
      </c>
      <c r="B6642" s="17" t="s">
        <v>20290</v>
      </c>
      <c r="C6642" s="17" t="s">
        <v>11</v>
      </c>
      <c r="D6642" s="17" t="s">
        <v>26</v>
      </c>
      <c r="E6642" s="17" t="s">
        <v>20</v>
      </c>
      <c r="F6642" s="16" t="s">
        <v>20291</v>
      </c>
    </row>
    <row r="6643" spans="1:6" x14ac:dyDescent="0.25">
      <c r="A6643" s="16" t="s">
        <v>20292</v>
      </c>
      <c r="B6643" s="17" t="s">
        <v>20293</v>
      </c>
      <c r="C6643" s="17" t="s">
        <v>11</v>
      </c>
      <c r="D6643" s="17" t="s">
        <v>148</v>
      </c>
      <c r="E6643" s="17" t="s">
        <v>20</v>
      </c>
      <c r="F6643" s="16" t="s">
        <v>20294</v>
      </c>
    </row>
    <row r="6644" spans="1:6" x14ac:dyDescent="0.25">
      <c r="A6644" s="16" t="s">
        <v>20295</v>
      </c>
      <c r="B6644" s="17" t="s">
        <v>20296</v>
      </c>
      <c r="C6644" s="17" t="s">
        <v>11</v>
      </c>
      <c r="D6644" s="17" t="s">
        <v>32</v>
      </c>
      <c r="E6644" s="17" t="s">
        <v>20</v>
      </c>
      <c r="F6644" s="16" t="s">
        <v>20297</v>
      </c>
    </row>
    <row r="6645" spans="1:6" x14ac:dyDescent="0.25">
      <c r="A6645" s="16" t="s">
        <v>20298</v>
      </c>
      <c r="B6645" s="17" t="s">
        <v>20299</v>
      </c>
      <c r="C6645" s="17" t="s">
        <v>11</v>
      </c>
      <c r="D6645" s="17" t="s">
        <v>83</v>
      </c>
      <c r="E6645" s="17" t="s">
        <v>20</v>
      </c>
      <c r="F6645" s="16" t="s">
        <v>20300</v>
      </c>
    </row>
    <row r="6646" spans="1:6" x14ac:dyDescent="0.25">
      <c r="A6646" s="16" t="s">
        <v>20301</v>
      </c>
      <c r="B6646" s="17" t="s">
        <v>20302</v>
      </c>
      <c r="C6646" s="17" t="s">
        <v>11</v>
      </c>
      <c r="D6646" s="17" t="s">
        <v>32</v>
      </c>
      <c r="E6646" s="17" t="s">
        <v>20</v>
      </c>
      <c r="F6646" s="16" t="s">
        <v>20303</v>
      </c>
    </row>
    <row r="6647" spans="1:6" x14ac:dyDescent="0.25">
      <c r="A6647" s="16" t="s">
        <v>20304</v>
      </c>
      <c r="B6647" s="17" t="s">
        <v>20305</v>
      </c>
      <c r="C6647" s="17" t="s">
        <v>11</v>
      </c>
      <c r="D6647" s="17" t="s">
        <v>32</v>
      </c>
      <c r="E6647" s="17" t="s">
        <v>20</v>
      </c>
      <c r="F6647" s="16" t="s">
        <v>20306</v>
      </c>
    </row>
    <row r="6648" spans="1:6" x14ac:dyDescent="0.25">
      <c r="A6648" s="16" t="s">
        <v>20307</v>
      </c>
      <c r="B6648" s="17" t="s">
        <v>20308</v>
      </c>
      <c r="C6648" s="17" t="s">
        <v>11</v>
      </c>
      <c r="D6648" s="17" t="s">
        <v>32</v>
      </c>
      <c r="E6648" s="17" t="s">
        <v>20</v>
      </c>
      <c r="F6648" s="16" t="s">
        <v>20309</v>
      </c>
    </row>
    <row r="6649" spans="1:6" x14ac:dyDescent="0.25">
      <c r="A6649" s="16" t="s">
        <v>20310</v>
      </c>
      <c r="B6649" s="17" t="s">
        <v>20311</v>
      </c>
      <c r="C6649" s="17" t="s">
        <v>11</v>
      </c>
      <c r="D6649" s="17" t="s">
        <v>32</v>
      </c>
      <c r="E6649" s="17" t="s">
        <v>20</v>
      </c>
      <c r="F6649" s="16" t="s">
        <v>20312</v>
      </c>
    </row>
    <row r="6650" spans="1:6" x14ac:dyDescent="0.25">
      <c r="A6650" s="16" t="s">
        <v>20313</v>
      </c>
      <c r="B6650" s="17" t="s">
        <v>20314</v>
      </c>
      <c r="C6650" s="17" t="s">
        <v>11</v>
      </c>
      <c r="D6650" s="17" t="s">
        <v>32</v>
      </c>
      <c r="E6650" s="17" t="s">
        <v>20</v>
      </c>
      <c r="F6650" s="16" t="s">
        <v>20315</v>
      </c>
    </row>
    <row r="6651" spans="1:6" x14ac:dyDescent="0.25">
      <c r="A6651" s="16" t="s">
        <v>20316</v>
      </c>
      <c r="B6651" s="17" t="s">
        <v>20317</v>
      </c>
      <c r="C6651" s="17" t="s">
        <v>11</v>
      </c>
      <c r="D6651" s="17" t="s">
        <v>83</v>
      </c>
      <c r="E6651" s="17" t="s">
        <v>20</v>
      </c>
      <c r="F6651" s="16" t="s">
        <v>20318</v>
      </c>
    </row>
    <row r="6652" spans="1:6" x14ac:dyDescent="0.25">
      <c r="A6652" s="16" t="s">
        <v>20319</v>
      </c>
      <c r="B6652" s="17" t="s">
        <v>20320</v>
      </c>
      <c r="C6652" s="17" t="s">
        <v>1235</v>
      </c>
      <c r="D6652" s="17" t="s">
        <v>1236</v>
      </c>
      <c r="E6652" s="17" t="s">
        <v>1237</v>
      </c>
      <c r="F6652" s="16" t="s">
        <v>20321</v>
      </c>
    </row>
    <row r="6653" spans="1:6" x14ac:dyDescent="0.25">
      <c r="A6653" s="16" t="s">
        <v>20322</v>
      </c>
      <c r="B6653" s="17" t="s">
        <v>20323</v>
      </c>
      <c r="C6653" s="17" t="s">
        <v>11</v>
      </c>
      <c r="D6653" s="17" t="s">
        <v>83</v>
      </c>
      <c r="E6653" s="17" t="s">
        <v>20</v>
      </c>
      <c r="F6653" s="16" t="s">
        <v>20324</v>
      </c>
    </row>
    <row r="6654" spans="1:6" x14ac:dyDescent="0.25">
      <c r="A6654" s="16" t="s">
        <v>20325</v>
      </c>
      <c r="B6654" s="17" t="s">
        <v>20326</v>
      </c>
      <c r="C6654" s="17" t="s">
        <v>11</v>
      </c>
      <c r="D6654" s="17" t="s">
        <v>32</v>
      </c>
      <c r="E6654" s="17" t="s">
        <v>20</v>
      </c>
      <c r="F6654" s="16" t="s">
        <v>20327</v>
      </c>
    </row>
    <row r="6655" spans="1:6" x14ac:dyDescent="0.25">
      <c r="A6655" s="16" t="s">
        <v>20328</v>
      </c>
      <c r="B6655" s="17" t="s">
        <v>20329</v>
      </c>
      <c r="C6655" s="17" t="s">
        <v>11</v>
      </c>
      <c r="D6655" s="17" t="s">
        <v>26</v>
      </c>
      <c r="E6655" s="17" t="s">
        <v>20</v>
      </c>
      <c r="F6655" s="16" t="s">
        <v>20330</v>
      </c>
    </row>
    <row r="6656" spans="1:6" x14ac:dyDescent="0.25">
      <c r="A6656" s="16" t="s">
        <v>20331</v>
      </c>
      <c r="B6656" s="17" t="s">
        <v>20332</v>
      </c>
      <c r="C6656" s="17" t="s">
        <v>11</v>
      </c>
      <c r="D6656" s="17" t="s">
        <v>80</v>
      </c>
      <c r="E6656" s="17" t="s">
        <v>20</v>
      </c>
      <c r="F6656" s="16" t="s">
        <v>20333</v>
      </c>
    </row>
    <row r="6657" spans="1:6" x14ac:dyDescent="0.25">
      <c r="A6657" s="16" t="s">
        <v>20334</v>
      </c>
      <c r="B6657" s="17" t="s">
        <v>20335</v>
      </c>
      <c r="C6657" s="17" t="s">
        <v>11</v>
      </c>
      <c r="D6657" s="17" t="s">
        <v>544</v>
      </c>
      <c r="E6657" s="17" t="s">
        <v>20</v>
      </c>
      <c r="F6657" s="16" t="s">
        <v>20336</v>
      </c>
    </row>
    <row r="6658" spans="1:6" x14ac:dyDescent="0.25">
      <c r="A6658" s="16" t="s">
        <v>20337</v>
      </c>
      <c r="B6658" s="17" t="s">
        <v>20338</v>
      </c>
      <c r="C6658" s="17" t="s">
        <v>11</v>
      </c>
      <c r="D6658" s="17" t="s">
        <v>148</v>
      </c>
      <c r="E6658" s="17" t="s">
        <v>20</v>
      </c>
      <c r="F6658" s="16" t="s">
        <v>20339</v>
      </c>
    </row>
    <row r="6659" spans="1:6" x14ac:dyDescent="0.25">
      <c r="A6659" s="16" t="s">
        <v>20340</v>
      </c>
      <c r="B6659" s="17" t="s">
        <v>20341</v>
      </c>
      <c r="C6659" s="17" t="s">
        <v>11</v>
      </c>
      <c r="D6659" s="17" t="s">
        <v>32</v>
      </c>
      <c r="E6659" s="17" t="s">
        <v>20</v>
      </c>
      <c r="F6659" s="16" t="s">
        <v>20342</v>
      </c>
    </row>
    <row r="6660" spans="1:6" x14ac:dyDescent="0.25">
      <c r="A6660" s="16" t="s">
        <v>20343</v>
      </c>
      <c r="B6660" s="17" t="s">
        <v>20344</v>
      </c>
      <c r="C6660" s="17" t="s">
        <v>11</v>
      </c>
      <c r="D6660" s="17" t="s">
        <v>1337</v>
      </c>
      <c r="E6660" s="17" t="s">
        <v>1299</v>
      </c>
      <c r="F6660" s="16" t="s">
        <v>20345</v>
      </c>
    </row>
    <row r="6661" spans="1:6" x14ac:dyDescent="0.25">
      <c r="A6661" s="16" t="s">
        <v>20346</v>
      </c>
      <c r="B6661" s="17" t="s">
        <v>20347</v>
      </c>
      <c r="C6661" s="17" t="s">
        <v>11</v>
      </c>
      <c r="D6661" s="17" t="s">
        <v>32</v>
      </c>
      <c r="E6661" s="17" t="s">
        <v>20</v>
      </c>
      <c r="F6661" s="16" t="s">
        <v>20348</v>
      </c>
    </row>
    <row r="6662" spans="1:6" x14ac:dyDescent="0.25">
      <c r="A6662" s="16" t="s">
        <v>20349</v>
      </c>
      <c r="B6662" s="17" t="s">
        <v>20350</v>
      </c>
      <c r="C6662" s="17" t="s">
        <v>11</v>
      </c>
      <c r="D6662" s="17" t="s">
        <v>80</v>
      </c>
      <c r="E6662" s="17" t="s">
        <v>20</v>
      </c>
      <c r="F6662" s="16" t="s">
        <v>20351</v>
      </c>
    </row>
    <row r="6663" spans="1:6" x14ac:dyDescent="0.25">
      <c r="A6663" s="16" t="s">
        <v>20352</v>
      </c>
      <c r="B6663" s="17" t="s">
        <v>20353</v>
      </c>
      <c r="C6663" s="17" t="s">
        <v>11</v>
      </c>
      <c r="D6663" s="17" t="s">
        <v>32</v>
      </c>
      <c r="E6663" s="17" t="s">
        <v>20</v>
      </c>
      <c r="F6663" s="16" t="s">
        <v>20354</v>
      </c>
    </row>
    <row r="6664" spans="1:6" x14ac:dyDescent="0.25">
      <c r="A6664" s="16" t="s">
        <v>20355</v>
      </c>
      <c r="B6664" s="17" t="s">
        <v>20356</v>
      </c>
      <c r="C6664" s="17" t="s">
        <v>11</v>
      </c>
      <c r="D6664" s="17" t="s">
        <v>148</v>
      </c>
      <c r="E6664" s="17" t="s">
        <v>20</v>
      </c>
      <c r="F6664" s="16" t="s">
        <v>20357</v>
      </c>
    </row>
    <row r="6665" spans="1:6" x14ac:dyDescent="0.25">
      <c r="A6665" s="16" t="s">
        <v>20358</v>
      </c>
      <c r="B6665" s="17" t="s">
        <v>20359</v>
      </c>
      <c r="C6665" s="17" t="s">
        <v>11</v>
      </c>
      <c r="D6665" s="17" t="s">
        <v>32</v>
      </c>
      <c r="E6665" s="17" t="s">
        <v>20</v>
      </c>
      <c r="F6665" s="16" t="s">
        <v>20360</v>
      </c>
    </row>
    <row r="6666" spans="1:6" x14ac:dyDescent="0.25">
      <c r="A6666" s="16" t="s">
        <v>20361</v>
      </c>
      <c r="B6666" s="17" t="s">
        <v>20362</v>
      </c>
      <c r="C6666" s="17" t="s">
        <v>11</v>
      </c>
      <c r="D6666" s="17" t="s">
        <v>80</v>
      </c>
      <c r="E6666" s="17" t="s">
        <v>20</v>
      </c>
      <c r="F6666" s="16" t="s">
        <v>20363</v>
      </c>
    </row>
    <row r="6667" spans="1:6" x14ac:dyDescent="0.25">
      <c r="A6667" s="16" t="s">
        <v>20364</v>
      </c>
      <c r="B6667" s="17" t="s">
        <v>20365</v>
      </c>
      <c r="C6667" s="17" t="s">
        <v>11</v>
      </c>
      <c r="D6667" s="17" t="s">
        <v>89</v>
      </c>
      <c r="E6667" s="17" t="s">
        <v>20</v>
      </c>
      <c r="F6667" s="16" t="s">
        <v>20366</v>
      </c>
    </row>
    <row r="6668" spans="1:6" x14ac:dyDescent="0.25">
      <c r="A6668" s="16" t="s">
        <v>20367</v>
      </c>
      <c r="B6668" s="17" t="s">
        <v>20368</v>
      </c>
      <c r="C6668" s="17" t="s">
        <v>11</v>
      </c>
      <c r="D6668" s="17" t="s">
        <v>32</v>
      </c>
      <c r="E6668" s="17" t="s">
        <v>20</v>
      </c>
      <c r="F6668" s="16" t="s">
        <v>20369</v>
      </c>
    </row>
    <row r="6669" spans="1:6" x14ac:dyDescent="0.25">
      <c r="A6669" s="16" t="s">
        <v>20370</v>
      </c>
      <c r="B6669" s="17" t="s">
        <v>20371</v>
      </c>
      <c r="C6669" s="17" t="s">
        <v>11</v>
      </c>
      <c r="D6669" s="17" t="s">
        <v>32</v>
      </c>
      <c r="E6669" s="17" t="s">
        <v>20</v>
      </c>
      <c r="F6669" s="16" t="s">
        <v>20372</v>
      </c>
    </row>
    <row r="6670" spans="1:6" x14ac:dyDescent="0.25">
      <c r="A6670" s="16" t="s">
        <v>20373</v>
      </c>
      <c r="B6670" s="17" t="s">
        <v>20374</v>
      </c>
      <c r="C6670" s="17" t="s">
        <v>11</v>
      </c>
      <c r="D6670" s="17" t="s">
        <v>80</v>
      </c>
      <c r="E6670" s="17" t="s">
        <v>20</v>
      </c>
      <c r="F6670" s="16" t="s">
        <v>20375</v>
      </c>
    </row>
    <row r="6671" spans="1:6" x14ac:dyDescent="0.25">
      <c r="A6671" s="16" t="s">
        <v>20376</v>
      </c>
      <c r="B6671" s="17" t="s">
        <v>20377</v>
      </c>
      <c r="C6671" s="17" t="s">
        <v>11</v>
      </c>
      <c r="D6671" s="17" t="s">
        <v>544</v>
      </c>
      <c r="E6671" s="17" t="s">
        <v>20</v>
      </c>
      <c r="F6671" s="16" t="s">
        <v>20378</v>
      </c>
    </row>
    <row r="6672" spans="1:6" x14ac:dyDescent="0.25">
      <c r="A6672" s="16" t="s">
        <v>20379</v>
      </c>
      <c r="B6672" s="17" t="s">
        <v>20380</v>
      </c>
      <c r="C6672" s="17" t="s">
        <v>11</v>
      </c>
      <c r="D6672" s="17" t="s">
        <v>83</v>
      </c>
      <c r="E6672" s="17" t="s">
        <v>20</v>
      </c>
      <c r="F6672" s="16" t="s">
        <v>20381</v>
      </c>
    </row>
    <row r="6673" spans="1:6" x14ac:dyDescent="0.25">
      <c r="A6673" s="16" t="s">
        <v>20382</v>
      </c>
      <c r="B6673" s="17" t="s">
        <v>20383</v>
      </c>
      <c r="C6673" s="17" t="s">
        <v>11</v>
      </c>
      <c r="D6673" s="17" t="s">
        <v>148</v>
      </c>
      <c r="E6673" s="17" t="s">
        <v>20</v>
      </c>
      <c r="F6673" s="16" t="s">
        <v>20384</v>
      </c>
    </row>
    <row r="6674" spans="1:6" x14ac:dyDescent="0.25">
      <c r="A6674" s="16" t="s">
        <v>20385</v>
      </c>
      <c r="B6674" s="17" t="s">
        <v>20386</v>
      </c>
      <c r="C6674" s="17" t="s">
        <v>11</v>
      </c>
      <c r="D6674" s="17" t="s">
        <v>32</v>
      </c>
      <c r="E6674" s="17" t="s">
        <v>20</v>
      </c>
      <c r="F6674" s="16" t="s">
        <v>20387</v>
      </c>
    </row>
    <row r="6675" spans="1:6" x14ac:dyDescent="0.25">
      <c r="A6675" s="16" t="s">
        <v>20388</v>
      </c>
      <c r="B6675" s="17" t="s">
        <v>20389</v>
      </c>
      <c r="C6675" s="17" t="s">
        <v>11</v>
      </c>
      <c r="D6675" s="17" t="s">
        <v>3463</v>
      </c>
      <c r="E6675" s="17" t="s">
        <v>1299</v>
      </c>
      <c r="F6675" s="16" t="s">
        <v>20390</v>
      </c>
    </row>
    <row r="6676" spans="1:6" x14ac:dyDescent="0.25">
      <c r="A6676" s="16" t="s">
        <v>20391</v>
      </c>
      <c r="B6676" s="17" t="s">
        <v>20392</v>
      </c>
      <c r="C6676" s="17" t="s">
        <v>11</v>
      </c>
      <c r="D6676" s="17" t="s">
        <v>83</v>
      </c>
      <c r="E6676" s="17" t="s">
        <v>20</v>
      </c>
      <c r="F6676" s="16" t="s">
        <v>20393</v>
      </c>
    </row>
    <row r="6677" spans="1:6" x14ac:dyDescent="0.25">
      <c r="A6677" s="16" t="s">
        <v>20394</v>
      </c>
      <c r="B6677" s="17" t="s">
        <v>20395</v>
      </c>
      <c r="C6677" s="17" t="s">
        <v>11</v>
      </c>
      <c r="D6677" s="17" t="s">
        <v>32</v>
      </c>
      <c r="E6677" s="17" t="s">
        <v>20</v>
      </c>
      <c r="F6677" s="16" t="s">
        <v>20396</v>
      </c>
    </row>
    <row r="6678" spans="1:6" x14ac:dyDescent="0.25">
      <c r="A6678" s="16" t="s">
        <v>20397</v>
      </c>
      <c r="B6678" s="17" t="s">
        <v>20398</v>
      </c>
      <c r="C6678" s="17" t="s">
        <v>11</v>
      </c>
      <c r="D6678" s="17" t="s">
        <v>83</v>
      </c>
      <c r="E6678" s="17" t="s">
        <v>20</v>
      </c>
      <c r="F6678" s="16" t="s">
        <v>20399</v>
      </c>
    </row>
    <row r="6679" spans="1:6" x14ac:dyDescent="0.25">
      <c r="A6679" s="16" t="s">
        <v>20400</v>
      </c>
      <c r="B6679" s="17" t="s">
        <v>20401</v>
      </c>
      <c r="C6679" s="17" t="s">
        <v>11</v>
      </c>
      <c r="D6679" s="17" t="s">
        <v>32</v>
      </c>
      <c r="E6679" s="17" t="s">
        <v>20</v>
      </c>
      <c r="F6679" s="16" t="s">
        <v>20402</v>
      </c>
    </row>
    <row r="6680" spans="1:6" x14ac:dyDescent="0.25">
      <c r="A6680" s="16" t="s">
        <v>20403</v>
      </c>
      <c r="B6680" s="17" t="s">
        <v>20404</v>
      </c>
      <c r="C6680" s="17" t="s">
        <v>11</v>
      </c>
      <c r="D6680" s="17" t="s">
        <v>32</v>
      </c>
      <c r="E6680" s="17" t="s">
        <v>20</v>
      </c>
      <c r="F6680" s="16" t="s">
        <v>20405</v>
      </c>
    </row>
    <row r="6681" spans="1:6" x14ac:dyDescent="0.25">
      <c r="A6681" s="16" t="s">
        <v>20406</v>
      </c>
      <c r="B6681" s="17" t="s">
        <v>20407</v>
      </c>
      <c r="C6681" s="17" t="s">
        <v>11</v>
      </c>
      <c r="D6681" s="17" t="s">
        <v>148</v>
      </c>
      <c r="E6681" s="17" t="s">
        <v>20</v>
      </c>
      <c r="F6681" s="16" t="s">
        <v>20408</v>
      </c>
    </row>
    <row r="6682" spans="1:6" x14ac:dyDescent="0.25">
      <c r="A6682" s="16" t="s">
        <v>20409</v>
      </c>
      <c r="B6682" s="17" t="s">
        <v>20410</v>
      </c>
      <c r="C6682" s="17" t="s">
        <v>11</v>
      </c>
      <c r="D6682" s="17" t="s">
        <v>148</v>
      </c>
      <c r="E6682" s="17" t="s">
        <v>20</v>
      </c>
      <c r="F6682" s="16" t="s">
        <v>20411</v>
      </c>
    </row>
    <row r="6683" spans="1:6" x14ac:dyDescent="0.25">
      <c r="A6683" s="16" t="s">
        <v>20412</v>
      </c>
      <c r="B6683" s="17" t="s">
        <v>20413</v>
      </c>
      <c r="C6683" s="17" t="s">
        <v>11</v>
      </c>
      <c r="D6683" s="17" t="s">
        <v>32</v>
      </c>
      <c r="E6683" s="17" t="s">
        <v>20</v>
      </c>
      <c r="F6683" s="16" t="s">
        <v>20414</v>
      </c>
    </row>
    <row r="6684" spans="1:6" x14ac:dyDescent="0.25">
      <c r="A6684" s="16" t="s">
        <v>20415</v>
      </c>
      <c r="B6684" s="17" t="s">
        <v>20416</v>
      </c>
      <c r="C6684" s="17" t="s">
        <v>11</v>
      </c>
      <c r="D6684" s="17" t="s">
        <v>32</v>
      </c>
      <c r="E6684" s="17" t="s">
        <v>20</v>
      </c>
      <c r="F6684" s="16" t="s">
        <v>20417</v>
      </c>
    </row>
    <row r="6685" spans="1:6" x14ac:dyDescent="0.25">
      <c r="A6685" s="16" t="s">
        <v>20418</v>
      </c>
      <c r="B6685" s="17" t="s">
        <v>20419</v>
      </c>
      <c r="C6685" s="17" t="s">
        <v>11</v>
      </c>
      <c r="D6685" s="17" t="s">
        <v>83</v>
      </c>
      <c r="E6685" s="17" t="s">
        <v>20</v>
      </c>
      <c r="F6685" s="16" t="s">
        <v>20420</v>
      </c>
    </row>
    <row r="6686" spans="1:6" x14ac:dyDescent="0.25">
      <c r="A6686" s="16" t="s">
        <v>20421</v>
      </c>
      <c r="B6686" s="17" t="s">
        <v>20422</v>
      </c>
      <c r="C6686" s="17" t="s">
        <v>11</v>
      </c>
      <c r="D6686" s="17" t="s">
        <v>32</v>
      </c>
      <c r="E6686" s="17" t="s">
        <v>20</v>
      </c>
      <c r="F6686" s="16" t="s">
        <v>20423</v>
      </c>
    </row>
    <row r="6687" spans="1:6" x14ac:dyDescent="0.25">
      <c r="A6687" s="16" t="s">
        <v>20424</v>
      </c>
      <c r="B6687" s="17" t="s">
        <v>20425</v>
      </c>
      <c r="C6687" s="17" t="s">
        <v>11</v>
      </c>
      <c r="D6687" s="17" t="s">
        <v>148</v>
      </c>
      <c r="E6687" s="17" t="s">
        <v>20</v>
      </c>
      <c r="F6687" s="16" t="s">
        <v>20426</v>
      </c>
    </row>
    <row r="6688" spans="1:6" x14ac:dyDescent="0.25">
      <c r="A6688" s="16" t="s">
        <v>20427</v>
      </c>
      <c r="B6688" s="17" t="s">
        <v>20428</v>
      </c>
      <c r="C6688" s="17" t="s">
        <v>214</v>
      </c>
      <c r="D6688" s="17" t="s">
        <v>26</v>
      </c>
      <c r="E6688" s="17" t="s">
        <v>20</v>
      </c>
      <c r="F6688" s="16" t="s">
        <v>20429</v>
      </c>
    </row>
    <row r="6689" spans="1:6" x14ac:dyDescent="0.25">
      <c r="A6689" s="16" t="s">
        <v>20430</v>
      </c>
      <c r="B6689" s="17" t="s">
        <v>20431</v>
      </c>
      <c r="C6689" s="17" t="s">
        <v>11</v>
      </c>
      <c r="D6689" s="17" t="s">
        <v>32</v>
      </c>
      <c r="E6689" s="17" t="s">
        <v>20</v>
      </c>
      <c r="F6689" s="16" t="s">
        <v>20432</v>
      </c>
    </row>
    <row r="6690" spans="1:6" x14ac:dyDescent="0.25">
      <c r="A6690" s="16" t="s">
        <v>20433</v>
      </c>
      <c r="B6690" s="17" t="s">
        <v>20434</v>
      </c>
      <c r="C6690" s="17" t="s">
        <v>11</v>
      </c>
      <c r="D6690" s="17" t="s">
        <v>32</v>
      </c>
      <c r="E6690" s="17" t="s">
        <v>20</v>
      </c>
      <c r="F6690" s="16" t="s">
        <v>20435</v>
      </c>
    </row>
    <row r="6691" spans="1:6" x14ac:dyDescent="0.25">
      <c r="A6691" s="16" t="s">
        <v>20436</v>
      </c>
      <c r="B6691" s="17" t="s">
        <v>20437</v>
      </c>
      <c r="C6691" s="17" t="s">
        <v>11</v>
      </c>
      <c r="D6691" s="17" t="s">
        <v>83</v>
      </c>
      <c r="E6691" s="17" t="s">
        <v>20</v>
      </c>
      <c r="F6691" s="16" t="s">
        <v>20438</v>
      </c>
    </row>
    <row r="6692" spans="1:6" x14ac:dyDescent="0.25">
      <c r="A6692" s="16" t="s">
        <v>20439</v>
      </c>
      <c r="B6692" s="17" t="s">
        <v>20440</v>
      </c>
      <c r="C6692" s="17" t="s">
        <v>11</v>
      </c>
      <c r="D6692" s="17" t="s">
        <v>32</v>
      </c>
      <c r="E6692" s="17" t="s">
        <v>20</v>
      </c>
      <c r="F6692" s="16" t="s">
        <v>20441</v>
      </c>
    </row>
    <row r="6693" spans="1:6" x14ac:dyDescent="0.25">
      <c r="A6693" s="16" t="s">
        <v>20442</v>
      </c>
      <c r="B6693" s="17" t="s">
        <v>20443</v>
      </c>
      <c r="C6693" s="17" t="s">
        <v>11</v>
      </c>
      <c r="D6693" s="17" t="s">
        <v>32</v>
      </c>
      <c r="E6693" s="17" t="s">
        <v>20</v>
      </c>
      <c r="F6693" s="16" t="s">
        <v>20444</v>
      </c>
    </row>
    <row r="6694" spans="1:6" x14ac:dyDescent="0.25">
      <c r="A6694" s="16" t="s">
        <v>20445</v>
      </c>
      <c r="B6694" s="17" t="s">
        <v>20446</v>
      </c>
      <c r="C6694" s="17" t="s">
        <v>11</v>
      </c>
      <c r="D6694" s="17" t="s">
        <v>32</v>
      </c>
      <c r="E6694" s="17" t="s">
        <v>20</v>
      </c>
      <c r="F6694" s="16" t="s">
        <v>20447</v>
      </c>
    </row>
    <row r="6695" spans="1:6" x14ac:dyDescent="0.25">
      <c r="A6695" s="16" t="s">
        <v>20448</v>
      </c>
      <c r="B6695" s="17" t="s">
        <v>20449</v>
      </c>
      <c r="C6695" s="17" t="s">
        <v>11</v>
      </c>
      <c r="D6695" s="17" t="s">
        <v>148</v>
      </c>
      <c r="E6695" s="17" t="s">
        <v>20</v>
      </c>
      <c r="F6695" s="16" t="s">
        <v>20450</v>
      </c>
    </row>
    <row r="6696" spans="1:6" x14ac:dyDescent="0.25">
      <c r="A6696" s="16" t="s">
        <v>20451</v>
      </c>
      <c r="B6696" s="17" t="s">
        <v>20452</v>
      </c>
      <c r="C6696" s="17" t="s">
        <v>11</v>
      </c>
      <c r="D6696" s="17" t="s">
        <v>83</v>
      </c>
      <c r="E6696" s="17" t="s">
        <v>20</v>
      </c>
      <c r="F6696" s="16" t="s">
        <v>20453</v>
      </c>
    </row>
    <row r="6697" spans="1:6" x14ac:dyDescent="0.25">
      <c r="A6697" s="16" t="s">
        <v>20454</v>
      </c>
      <c r="B6697" s="17" t="s">
        <v>20455</v>
      </c>
      <c r="C6697" s="17" t="s">
        <v>11</v>
      </c>
      <c r="D6697" s="17" t="s">
        <v>32</v>
      </c>
      <c r="E6697" s="17" t="s">
        <v>20</v>
      </c>
      <c r="F6697" s="16" t="s">
        <v>20456</v>
      </c>
    </row>
    <row r="6698" spans="1:6" x14ac:dyDescent="0.25">
      <c r="A6698" s="16" t="s">
        <v>20457</v>
      </c>
      <c r="B6698" s="17" t="s">
        <v>20458</v>
      </c>
      <c r="C6698" s="17" t="s">
        <v>11</v>
      </c>
      <c r="D6698" s="17" t="s">
        <v>83</v>
      </c>
      <c r="E6698" s="17" t="s">
        <v>20</v>
      </c>
      <c r="F6698" s="16" t="s">
        <v>20459</v>
      </c>
    </row>
    <row r="6699" spans="1:6" x14ac:dyDescent="0.25">
      <c r="A6699" s="16" t="s">
        <v>20460</v>
      </c>
      <c r="B6699" s="17" t="s">
        <v>20461</v>
      </c>
      <c r="C6699" s="17" t="s">
        <v>11</v>
      </c>
      <c r="D6699" s="17" t="s">
        <v>83</v>
      </c>
      <c r="E6699" s="17" t="s">
        <v>20</v>
      </c>
      <c r="F6699" s="16" t="s">
        <v>20462</v>
      </c>
    </row>
    <row r="6700" spans="1:6" x14ac:dyDescent="0.25">
      <c r="A6700" s="16" t="s">
        <v>20463</v>
      </c>
      <c r="B6700" s="17" t="s">
        <v>20464</v>
      </c>
      <c r="C6700" s="17" t="s">
        <v>11</v>
      </c>
      <c r="D6700" s="17" t="s">
        <v>32</v>
      </c>
      <c r="E6700" s="17" t="s">
        <v>20</v>
      </c>
      <c r="F6700" s="16" t="s">
        <v>20465</v>
      </c>
    </row>
    <row r="6701" spans="1:6" x14ac:dyDescent="0.25">
      <c r="A6701" s="16" t="s">
        <v>20466</v>
      </c>
      <c r="B6701" s="17" t="s">
        <v>20467</v>
      </c>
      <c r="C6701" s="17" t="s">
        <v>11</v>
      </c>
      <c r="D6701" s="17" t="s">
        <v>32</v>
      </c>
      <c r="E6701" s="17" t="s">
        <v>20</v>
      </c>
      <c r="F6701" s="16" t="s">
        <v>20468</v>
      </c>
    </row>
    <row r="6702" spans="1:6" x14ac:dyDescent="0.25">
      <c r="A6702" s="16" t="s">
        <v>20469</v>
      </c>
      <c r="B6702" s="17" t="s">
        <v>20470</v>
      </c>
      <c r="C6702" s="17" t="s">
        <v>11</v>
      </c>
      <c r="D6702" s="17" t="s">
        <v>3463</v>
      </c>
      <c r="E6702" s="17" t="s">
        <v>1299</v>
      </c>
      <c r="F6702" s="16" t="s">
        <v>20471</v>
      </c>
    </row>
    <row r="6703" spans="1:6" x14ac:dyDescent="0.25">
      <c r="A6703" s="16" t="s">
        <v>20472</v>
      </c>
      <c r="B6703" s="17" t="s">
        <v>20473</v>
      </c>
      <c r="C6703" s="17" t="s">
        <v>11</v>
      </c>
      <c r="D6703" s="17" t="s">
        <v>544</v>
      </c>
      <c r="E6703" s="17" t="s">
        <v>20</v>
      </c>
      <c r="F6703" s="16" t="s">
        <v>20474</v>
      </c>
    </row>
    <row r="6704" spans="1:6" x14ac:dyDescent="0.25">
      <c r="A6704" s="16" t="s">
        <v>20475</v>
      </c>
      <c r="B6704" s="17" t="s">
        <v>20476</v>
      </c>
      <c r="C6704" s="17" t="s">
        <v>11</v>
      </c>
      <c r="D6704" s="17" t="s">
        <v>32</v>
      </c>
      <c r="E6704" s="17" t="s">
        <v>20</v>
      </c>
      <c r="F6704" s="16" t="s">
        <v>20477</v>
      </c>
    </row>
    <row r="6705" spans="1:6" x14ac:dyDescent="0.25">
      <c r="A6705" s="16" t="s">
        <v>20478</v>
      </c>
      <c r="B6705" s="17" t="s">
        <v>20479</v>
      </c>
      <c r="C6705" s="17" t="s">
        <v>11</v>
      </c>
      <c r="D6705" s="17" t="s">
        <v>32</v>
      </c>
      <c r="E6705" s="17" t="s">
        <v>20</v>
      </c>
      <c r="F6705" s="16" t="s">
        <v>20480</v>
      </c>
    </row>
    <row r="6706" spans="1:6" x14ac:dyDescent="0.25">
      <c r="A6706" s="16" t="s">
        <v>20481</v>
      </c>
      <c r="B6706" s="17" t="s">
        <v>20482</v>
      </c>
      <c r="C6706" s="17" t="s">
        <v>11</v>
      </c>
      <c r="D6706" s="17" t="s">
        <v>32</v>
      </c>
      <c r="E6706" s="17" t="s">
        <v>20</v>
      </c>
      <c r="F6706" s="16" t="s">
        <v>20483</v>
      </c>
    </row>
    <row r="6707" spans="1:6" x14ac:dyDescent="0.25">
      <c r="A6707" s="16" t="s">
        <v>20484</v>
      </c>
      <c r="B6707" s="17" t="s">
        <v>20485</v>
      </c>
      <c r="C6707" s="17" t="s">
        <v>11</v>
      </c>
      <c r="D6707" s="17" t="s">
        <v>32</v>
      </c>
      <c r="E6707" s="17" t="s">
        <v>20</v>
      </c>
      <c r="F6707" s="16" t="s">
        <v>20486</v>
      </c>
    </row>
    <row r="6708" spans="1:6" x14ac:dyDescent="0.25">
      <c r="A6708" s="16" t="s">
        <v>20487</v>
      </c>
      <c r="B6708" s="17" t="s">
        <v>20488</v>
      </c>
      <c r="C6708" s="17" t="s">
        <v>11</v>
      </c>
      <c r="D6708" s="17" t="s">
        <v>32</v>
      </c>
      <c r="E6708" s="17" t="s">
        <v>20</v>
      </c>
      <c r="F6708" s="16" t="s">
        <v>20489</v>
      </c>
    </row>
    <row r="6709" spans="1:6" x14ac:dyDescent="0.25">
      <c r="A6709" s="16" t="s">
        <v>20490</v>
      </c>
      <c r="B6709" s="17" t="s">
        <v>20491</v>
      </c>
      <c r="C6709" s="17" t="s">
        <v>11</v>
      </c>
      <c r="D6709" s="17" t="s">
        <v>32</v>
      </c>
      <c r="E6709" s="17" t="s">
        <v>20</v>
      </c>
      <c r="F6709" s="16" t="s">
        <v>20492</v>
      </c>
    </row>
    <row r="6710" spans="1:6" x14ac:dyDescent="0.25">
      <c r="A6710" s="16" t="s">
        <v>20493</v>
      </c>
      <c r="B6710" s="17" t="s">
        <v>20494</v>
      </c>
      <c r="C6710" s="17" t="s">
        <v>11</v>
      </c>
      <c r="D6710" s="17" t="s">
        <v>32</v>
      </c>
      <c r="E6710" s="17" t="s">
        <v>20</v>
      </c>
      <c r="F6710" s="16" t="s">
        <v>20495</v>
      </c>
    </row>
    <row r="6711" spans="1:6" x14ac:dyDescent="0.25">
      <c r="A6711" s="16" t="s">
        <v>20496</v>
      </c>
      <c r="B6711" s="17" t="s">
        <v>20497</v>
      </c>
      <c r="C6711" s="17" t="s">
        <v>11</v>
      </c>
      <c r="D6711" s="17" t="s">
        <v>26</v>
      </c>
      <c r="E6711" s="17" t="s">
        <v>20</v>
      </c>
      <c r="F6711" s="16" t="s">
        <v>20498</v>
      </c>
    </row>
    <row r="6712" spans="1:6" x14ac:dyDescent="0.25">
      <c r="A6712" s="16" t="s">
        <v>20499</v>
      </c>
      <c r="B6712" s="17" t="s">
        <v>20500</v>
      </c>
      <c r="C6712" s="17" t="s">
        <v>11</v>
      </c>
      <c r="D6712" s="17" t="s">
        <v>32</v>
      </c>
      <c r="E6712" s="17" t="s">
        <v>20</v>
      </c>
      <c r="F6712" s="16" t="s">
        <v>20501</v>
      </c>
    </row>
    <row r="6713" spans="1:6" x14ac:dyDescent="0.25">
      <c r="A6713" s="16" t="s">
        <v>20502</v>
      </c>
      <c r="B6713" s="17" t="s">
        <v>20503</v>
      </c>
      <c r="C6713" s="17" t="s">
        <v>11</v>
      </c>
      <c r="D6713" s="17" t="s">
        <v>32</v>
      </c>
      <c r="E6713" s="17" t="s">
        <v>20</v>
      </c>
      <c r="F6713" s="16" t="s">
        <v>20504</v>
      </c>
    </row>
    <row r="6714" spans="1:6" x14ac:dyDescent="0.25">
      <c r="A6714" s="16" t="s">
        <v>20505</v>
      </c>
      <c r="B6714" s="17" t="s">
        <v>20506</v>
      </c>
      <c r="C6714" s="17" t="s">
        <v>11</v>
      </c>
      <c r="D6714" s="17" t="s">
        <v>83</v>
      </c>
      <c r="E6714" s="17" t="s">
        <v>20</v>
      </c>
      <c r="F6714" s="16" t="s">
        <v>20507</v>
      </c>
    </row>
    <row r="6715" spans="1:6" x14ac:dyDescent="0.25">
      <c r="A6715" s="16" t="s">
        <v>20508</v>
      </c>
      <c r="B6715" s="17" t="s">
        <v>20509</v>
      </c>
      <c r="C6715" s="17" t="s">
        <v>11</v>
      </c>
      <c r="D6715" s="17" t="s">
        <v>26</v>
      </c>
      <c r="E6715" s="17" t="s">
        <v>20</v>
      </c>
      <c r="F6715" s="16" t="s">
        <v>20510</v>
      </c>
    </row>
    <row r="6716" spans="1:6" x14ac:dyDescent="0.25">
      <c r="A6716" s="16" t="s">
        <v>20511</v>
      </c>
      <c r="B6716" s="17" t="s">
        <v>20512</v>
      </c>
      <c r="C6716" s="17" t="s">
        <v>11</v>
      </c>
      <c r="D6716" s="17" t="s">
        <v>83</v>
      </c>
      <c r="E6716" s="17" t="s">
        <v>20</v>
      </c>
      <c r="F6716" s="16" t="s">
        <v>20513</v>
      </c>
    </row>
    <row r="6717" spans="1:6" x14ac:dyDescent="0.25">
      <c r="A6717" s="16" t="s">
        <v>20514</v>
      </c>
      <c r="B6717" s="17" t="s">
        <v>20515</v>
      </c>
      <c r="C6717" s="17" t="s">
        <v>11</v>
      </c>
      <c r="D6717" s="17" t="s">
        <v>32</v>
      </c>
      <c r="E6717" s="17" t="s">
        <v>20</v>
      </c>
      <c r="F6717" s="16" t="s">
        <v>20516</v>
      </c>
    </row>
    <row r="6718" spans="1:6" x14ac:dyDescent="0.25">
      <c r="A6718" s="16" t="s">
        <v>20517</v>
      </c>
      <c r="B6718" s="17" t="s">
        <v>20518</v>
      </c>
      <c r="C6718" s="17" t="s">
        <v>11</v>
      </c>
      <c r="D6718" s="17" t="s">
        <v>83</v>
      </c>
      <c r="E6718" s="17" t="s">
        <v>20</v>
      </c>
      <c r="F6718" s="16" t="s">
        <v>20519</v>
      </c>
    </row>
    <row r="6719" spans="1:6" x14ac:dyDescent="0.25">
      <c r="A6719" s="16" t="s">
        <v>20520</v>
      </c>
      <c r="B6719" s="17" t="s">
        <v>20521</v>
      </c>
      <c r="C6719" s="17" t="s">
        <v>11</v>
      </c>
      <c r="D6719" s="17" t="s">
        <v>32</v>
      </c>
      <c r="E6719" s="17" t="s">
        <v>20</v>
      </c>
      <c r="F6719" s="16" t="s">
        <v>20522</v>
      </c>
    </row>
    <row r="6720" spans="1:6" x14ac:dyDescent="0.25">
      <c r="A6720" s="16" t="s">
        <v>20523</v>
      </c>
      <c r="B6720" s="17" t="s">
        <v>20524</v>
      </c>
      <c r="C6720" s="17" t="s">
        <v>11</v>
      </c>
      <c r="D6720" s="17" t="s">
        <v>32</v>
      </c>
      <c r="E6720" s="17" t="s">
        <v>20</v>
      </c>
      <c r="F6720" s="16" t="s">
        <v>20525</v>
      </c>
    </row>
    <row r="6721" spans="1:6" x14ac:dyDescent="0.25">
      <c r="A6721" s="16" t="s">
        <v>20526</v>
      </c>
      <c r="B6721" s="17" t="s">
        <v>20527</v>
      </c>
      <c r="C6721" s="17" t="s">
        <v>11</v>
      </c>
      <c r="D6721" s="17" t="s">
        <v>32</v>
      </c>
      <c r="E6721" s="17" t="s">
        <v>20</v>
      </c>
      <c r="F6721" s="16" t="s">
        <v>20528</v>
      </c>
    </row>
    <row r="6722" spans="1:6" x14ac:dyDescent="0.25">
      <c r="A6722" s="16" t="s">
        <v>20529</v>
      </c>
      <c r="B6722" s="17" t="s">
        <v>20530</v>
      </c>
      <c r="C6722" s="17" t="s">
        <v>214</v>
      </c>
      <c r="D6722" s="17" t="s">
        <v>32</v>
      </c>
      <c r="E6722" s="17" t="s">
        <v>20</v>
      </c>
      <c r="F6722" s="16" t="s">
        <v>20531</v>
      </c>
    </row>
    <row r="6723" spans="1:6" x14ac:dyDescent="0.25">
      <c r="A6723" s="16" t="s">
        <v>20532</v>
      </c>
      <c r="B6723" s="17" t="s">
        <v>20533</v>
      </c>
      <c r="C6723" s="17" t="s">
        <v>11</v>
      </c>
      <c r="D6723" s="17" t="s">
        <v>32</v>
      </c>
      <c r="E6723" s="17" t="s">
        <v>20</v>
      </c>
      <c r="F6723" s="16" t="s">
        <v>20534</v>
      </c>
    </row>
    <row r="6724" spans="1:6" x14ac:dyDescent="0.25">
      <c r="A6724" s="16" t="s">
        <v>20535</v>
      </c>
      <c r="B6724" s="17" t="s">
        <v>20536</v>
      </c>
      <c r="C6724" s="17" t="s">
        <v>11</v>
      </c>
      <c r="D6724" s="17" t="s">
        <v>32</v>
      </c>
      <c r="E6724" s="17" t="s">
        <v>20</v>
      </c>
      <c r="F6724" s="16" t="s">
        <v>20537</v>
      </c>
    </row>
    <row r="6725" spans="1:6" x14ac:dyDescent="0.25">
      <c r="A6725" s="16" t="s">
        <v>20538</v>
      </c>
      <c r="B6725" s="17" t="s">
        <v>20539</v>
      </c>
      <c r="C6725" s="17" t="s">
        <v>11</v>
      </c>
      <c r="D6725" s="17" t="s">
        <v>32</v>
      </c>
      <c r="E6725" s="17" t="s">
        <v>20</v>
      </c>
      <c r="F6725" s="16" t="s">
        <v>20540</v>
      </c>
    </row>
    <row r="6726" spans="1:6" x14ac:dyDescent="0.25">
      <c r="A6726" s="16" t="s">
        <v>20541</v>
      </c>
      <c r="B6726" s="17" t="s">
        <v>20542</v>
      </c>
      <c r="C6726" s="17" t="s">
        <v>11</v>
      </c>
      <c r="D6726" s="17" t="s">
        <v>32</v>
      </c>
      <c r="E6726" s="17" t="s">
        <v>20</v>
      </c>
      <c r="F6726" s="16" t="s">
        <v>20543</v>
      </c>
    </row>
    <row r="6727" spans="1:6" x14ac:dyDescent="0.25">
      <c r="A6727" s="16" t="s">
        <v>20544</v>
      </c>
      <c r="B6727" s="17" t="s">
        <v>20545</v>
      </c>
      <c r="C6727" s="17" t="s">
        <v>11</v>
      </c>
      <c r="D6727" s="17" t="s">
        <v>32</v>
      </c>
      <c r="E6727" s="17" t="s">
        <v>20</v>
      </c>
      <c r="F6727" s="16" t="s">
        <v>20546</v>
      </c>
    </row>
    <row r="6728" spans="1:6" x14ac:dyDescent="0.25">
      <c r="A6728" s="16" t="s">
        <v>20547</v>
      </c>
      <c r="B6728" s="17" t="s">
        <v>20548</v>
      </c>
      <c r="C6728" s="17" t="s">
        <v>11</v>
      </c>
      <c r="D6728" s="17" t="s">
        <v>148</v>
      </c>
      <c r="E6728" s="17" t="s">
        <v>20</v>
      </c>
      <c r="F6728" s="16" t="s">
        <v>20549</v>
      </c>
    </row>
    <row r="6729" spans="1:6" x14ac:dyDescent="0.25">
      <c r="A6729" s="16" t="s">
        <v>20550</v>
      </c>
      <c r="B6729" s="17" t="s">
        <v>20551</v>
      </c>
      <c r="C6729" s="17" t="s">
        <v>11</v>
      </c>
      <c r="D6729" s="17" t="s">
        <v>80</v>
      </c>
      <c r="E6729" s="17" t="s">
        <v>20</v>
      </c>
      <c r="F6729" s="16" t="s">
        <v>20552</v>
      </c>
    </row>
    <row r="6730" spans="1:6" x14ac:dyDescent="0.25">
      <c r="A6730" s="16" t="s">
        <v>20553</v>
      </c>
      <c r="B6730" s="17" t="s">
        <v>20554</v>
      </c>
      <c r="C6730" s="17" t="s">
        <v>11</v>
      </c>
      <c r="D6730" s="17" t="s">
        <v>83</v>
      </c>
      <c r="E6730" s="17" t="s">
        <v>20</v>
      </c>
      <c r="F6730" s="16" t="s">
        <v>20555</v>
      </c>
    </row>
    <row r="6731" spans="1:6" x14ac:dyDescent="0.25">
      <c r="A6731" s="16" t="s">
        <v>20556</v>
      </c>
      <c r="B6731" s="17" t="s">
        <v>20557</v>
      </c>
      <c r="C6731" s="17" t="s">
        <v>11</v>
      </c>
      <c r="D6731" s="17" t="s">
        <v>83</v>
      </c>
      <c r="E6731" s="17" t="s">
        <v>20</v>
      </c>
      <c r="F6731" s="16" t="s">
        <v>20558</v>
      </c>
    </row>
    <row r="6732" spans="1:6" x14ac:dyDescent="0.25">
      <c r="A6732" s="16" t="s">
        <v>20559</v>
      </c>
      <c r="B6732" s="17" t="s">
        <v>20560</v>
      </c>
      <c r="C6732" s="17" t="s">
        <v>11</v>
      </c>
      <c r="D6732" s="17" t="s">
        <v>148</v>
      </c>
      <c r="E6732" s="17" t="s">
        <v>20</v>
      </c>
      <c r="F6732" s="16" t="s">
        <v>20561</v>
      </c>
    </row>
    <row r="6733" spans="1:6" x14ac:dyDescent="0.25">
      <c r="A6733" s="16" t="s">
        <v>20562</v>
      </c>
      <c r="B6733" s="17" t="s">
        <v>20563</v>
      </c>
      <c r="C6733" s="17" t="s">
        <v>214</v>
      </c>
      <c r="D6733" s="17" t="s">
        <v>148</v>
      </c>
      <c r="E6733" s="17" t="s">
        <v>20</v>
      </c>
      <c r="F6733" s="16" t="s">
        <v>20564</v>
      </c>
    </row>
    <row r="6734" spans="1:6" x14ac:dyDescent="0.25">
      <c r="A6734" s="16" t="s">
        <v>20565</v>
      </c>
      <c r="B6734" s="17" t="s">
        <v>20566</v>
      </c>
      <c r="C6734" s="17" t="s">
        <v>11</v>
      </c>
      <c r="D6734" s="17" t="s">
        <v>32</v>
      </c>
      <c r="E6734" s="17" t="s">
        <v>20</v>
      </c>
      <c r="F6734" s="16" t="s">
        <v>20567</v>
      </c>
    </row>
    <row r="6735" spans="1:6" x14ac:dyDescent="0.25">
      <c r="A6735" s="16" t="s">
        <v>20568</v>
      </c>
      <c r="B6735" s="17" t="s">
        <v>20569</v>
      </c>
      <c r="C6735" s="17" t="s">
        <v>11</v>
      </c>
      <c r="D6735" s="17" t="s">
        <v>83</v>
      </c>
      <c r="E6735" s="17" t="s">
        <v>20</v>
      </c>
      <c r="F6735" s="16" t="s">
        <v>20570</v>
      </c>
    </row>
    <row r="6736" spans="1:6" x14ac:dyDescent="0.25">
      <c r="A6736" s="16" t="s">
        <v>20571</v>
      </c>
      <c r="B6736" s="17" t="s">
        <v>20572</v>
      </c>
      <c r="C6736" s="17" t="s">
        <v>11</v>
      </c>
      <c r="D6736" s="17" t="s">
        <v>32</v>
      </c>
      <c r="E6736" s="17" t="s">
        <v>20</v>
      </c>
      <c r="F6736" s="16" t="s">
        <v>20573</v>
      </c>
    </row>
    <row r="6737" spans="1:6" x14ac:dyDescent="0.25">
      <c r="A6737" s="16" t="s">
        <v>20574</v>
      </c>
      <c r="B6737" s="17" t="s">
        <v>20575</v>
      </c>
      <c r="C6737" s="17" t="s">
        <v>11</v>
      </c>
      <c r="D6737" s="17" t="s">
        <v>89</v>
      </c>
      <c r="E6737" s="17" t="s">
        <v>20</v>
      </c>
      <c r="F6737" s="16" t="s">
        <v>20576</v>
      </c>
    </row>
    <row r="6738" spans="1:6" x14ac:dyDescent="0.25">
      <c r="A6738" s="16" t="s">
        <v>20577</v>
      </c>
      <c r="B6738" s="17" t="s">
        <v>20578</v>
      </c>
      <c r="C6738" s="17" t="s">
        <v>11</v>
      </c>
      <c r="D6738" s="17" t="s">
        <v>26</v>
      </c>
      <c r="E6738" s="17" t="s">
        <v>20</v>
      </c>
      <c r="F6738" s="16" t="s">
        <v>20579</v>
      </c>
    </row>
    <row r="6739" spans="1:6" x14ac:dyDescent="0.25">
      <c r="A6739" s="16" t="s">
        <v>20580</v>
      </c>
      <c r="B6739" s="17" t="s">
        <v>20581</v>
      </c>
      <c r="C6739" s="17" t="s">
        <v>11</v>
      </c>
      <c r="D6739" s="17" t="s">
        <v>32</v>
      </c>
      <c r="E6739" s="17" t="s">
        <v>20</v>
      </c>
      <c r="F6739" s="16" t="s">
        <v>20582</v>
      </c>
    </row>
    <row r="6740" spans="1:6" x14ac:dyDescent="0.25">
      <c r="A6740" s="16" t="s">
        <v>20583</v>
      </c>
      <c r="B6740" s="17" t="s">
        <v>20584</v>
      </c>
      <c r="C6740" s="17" t="s">
        <v>11</v>
      </c>
      <c r="D6740" s="17" t="s">
        <v>32</v>
      </c>
      <c r="E6740" s="17" t="s">
        <v>20</v>
      </c>
      <c r="F6740" s="16" t="s">
        <v>20585</v>
      </c>
    </row>
    <row r="6741" spans="1:6" x14ac:dyDescent="0.25">
      <c r="A6741" s="16" t="s">
        <v>20586</v>
      </c>
      <c r="B6741" s="17" t="s">
        <v>20587</v>
      </c>
      <c r="C6741" s="17" t="s">
        <v>11</v>
      </c>
      <c r="D6741" s="17" t="s">
        <v>32</v>
      </c>
      <c r="E6741" s="17" t="s">
        <v>20</v>
      </c>
      <c r="F6741" s="16" t="s">
        <v>20588</v>
      </c>
    </row>
    <row r="6742" spans="1:6" x14ac:dyDescent="0.25">
      <c r="A6742" s="16" t="s">
        <v>20589</v>
      </c>
      <c r="B6742" s="17" t="s">
        <v>20590</v>
      </c>
      <c r="C6742" s="17" t="s">
        <v>11</v>
      </c>
      <c r="D6742" s="17" t="s">
        <v>32</v>
      </c>
      <c r="E6742" s="17" t="s">
        <v>20</v>
      </c>
      <c r="F6742" s="16" t="s">
        <v>20591</v>
      </c>
    </row>
    <row r="6743" spans="1:6" x14ac:dyDescent="0.25">
      <c r="A6743" s="16" t="s">
        <v>20592</v>
      </c>
      <c r="B6743" s="17" t="s">
        <v>20593</v>
      </c>
      <c r="C6743" s="17" t="s">
        <v>11</v>
      </c>
      <c r="D6743" s="17" t="s">
        <v>32</v>
      </c>
      <c r="E6743" s="17" t="s">
        <v>20</v>
      </c>
      <c r="F6743" s="16" t="s">
        <v>20594</v>
      </c>
    </row>
    <row r="6744" spans="1:6" x14ac:dyDescent="0.25">
      <c r="A6744" s="16" t="s">
        <v>20595</v>
      </c>
      <c r="B6744" s="17" t="s">
        <v>20596</v>
      </c>
      <c r="C6744" s="17" t="s">
        <v>11</v>
      </c>
      <c r="D6744" s="17" t="s">
        <v>32</v>
      </c>
      <c r="E6744" s="17" t="s">
        <v>20</v>
      </c>
      <c r="F6744" s="16" t="s">
        <v>20597</v>
      </c>
    </row>
    <row r="6745" spans="1:6" x14ac:dyDescent="0.25">
      <c r="A6745" s="16" t="s">
        <v>20598</v>
      </c>
      <c r="B6745" s="17" t="s">
        <v>20599</v>
      </c>
      <c r="C6745" s="17" t="s">
        <v>11</v>
      </c>
      <c r="D6745" s="17" t="s">
        <v>32</v>
      </c>
      <c r="E6745" s="17" t="s">
        <v>20</v>
      </c>
      <c r="F6745" s="16" t="s">
        <v>20600</v>
      </c>
    </row>
    <row r="6746" spans="1:6" x14ac:dyDescent="0.25">
      <c r="A6746" s="16" t="s">
        <v>20601</v>
      </c>
      <c r="B6746" s="17" t="s">
        <v>20602</v>
      </c>
      <c r="C6746" s="17" t="s">
        <v>11</v>
      </c>
      <c r="D6746" s="17" t="s">
        <v>32</v>
      </c>
      <c r="E6746" s="17" t="s">
        <v>20</v>
      </c>
      <c r="F6746" s="16" t="s">
        <v>20603</v>
      </c>
    </row>
    <row r="6747" spans="1:6" x14ac:dyDescent="0.25">
      <c r="A6747" s="16" t="s">
        <v>20604</v>
      </c>
      <c r="B6747" s="17" t="s">
        <v>20605</v>
      </c>
      <c r="C6747" s="17" t="s">
        <v>1235</v>
      </c>
      <c r="D6747" s="17" t="s">
        <v>4374</v>
      </c>
      <c r="E6747" s="17" t="s">
        <v>1237</v>
      </c>
      <c r="F6747" s="16" t="s">
        <v>20606</v>
      </c>
    </row>
    <row r="6748" spans="1:6" x14ac:dyDescent="0.25">
      <c r="A6748" s="16" t="s">
        <v>20607</v>
      </c>
      <c r="B6748" s="17" t="s">
        <v>20608</v>
      </c>
      <c r="C6748" s="17" t="s">
        <v>11</v>
      </c>
      <c r="D6748" s="17" t="s">
        <v>32</v>
      </c>
      <c r="E6748" s="17" t="s">
        <v>20</v>
      </c>
      <c r="F6748" s="16" t="s">
        <v>20609</v>
      </c>
    </row>
    <row r="6749" spans="1:6" x14ac:dyDescent="0.25">
      <c r="A6749" s="16" t="s">
        <v>20610</v>
      </c>
      <c r="B6749" s="17" t="s">
        <v>20611</v>
      </c>
      <c r="C6749" s="17" t="s">
        <v>11</v>
      </c>
      <c r="D6749" s="17" t="s">
        <v>32</v>
      </c>
      <c r="E6749" s="17" t="s">
        <v>20</v>
      </c>
      <c r="F6749" s="16" t="s">
        <v>20612</v>
      </c>
    </row>
    <row r="6750" spans="1:6" x14ac:dyDescent="0.25">
      <c r="A6750" s="16" t="s">
        <v>20613</v>
      </c>
      <c r="B6750" s="17" t="s">
        <v>20614</v>
      </c>
      <c r="C6750" s="17" t="s">
        <v>11</v>
      </c>
      <c r="D6750" s="17" t="s">
        <v>26</v>
      </c>
      <c r="E6750" s="17" t="s">
        <v>20</v>
      </c>
      <c r="F6750" s="16" t="s">
        <v>20615</v>
      </c>
    </row>
    <row r="6751" spans="1:6" x14ac:dyDescent="0.25">
      <c r="A6751" s="16" t="s">
        <v>20616</v>
      </c>
      <c r="B6751" s="17" t="s">
        <v>20617</v>
      </c>
      <c r="C6751" s="17" t="s">
        <v>11</v>
      </c>
      <c r="D6751" s="17" t="s">
        <v>32</v>
      </c>
      <c r="E6751" s="17" t="s">
        <v>20</v>
      </c>
      <c r="F6751" s="16" t="s">
        <v>20618</v>
      </c>
    </row>
    <row r="6752" spans="1:6" x14ac:dyDescent="0.25">
      <c r="A6752" s="16" t="s">
        <v>20619</v>
      </c>
      <c r="B6752" s="17" t="s">
        <v>20620</v>
      </c>
      <c r="C6752" s="17" t="s">
        <v>11</v>
      </c>
      <c r="D6752" s="17" t="s">
        <v>32</v>
      </c>
      <c r="E6752" s="17" t="s">
        <v>20</v>
      </c>
      <c r="F6752" s="16" t="s">
        <v>20621</v>
      </c>
    </row>
    <row r="6753" spans="1:6" x14ac:dyDescent="0.25">
      <c r="A6753" s="16" t="s">
        <v>20622</v>
      </c>
      <c r="B6753" s="17" t="s">
        <v>20623</v>
      </c>
      <c r="C6753" s="17" t="s">
        <v>11</v>
      </c>
      <c r="D6753" s="17" t="s">
        <v>32</v>
      </c>
      <c r="E6753" s="17" t="s">
        <v>20</v>
      </c>
      <c r="F6753" s="16" t="s">
        <v>20624</v>
      </c>
    </row>
    <row r="6754" spans="1:6" x14ac:dyDescent="0.25">
      <c r="A6754" s="16" t="s">
        <v>20625</v>
      </c>
      <c r="B6754" s="17" t="s">
        <v>20626</v>
      </c>
      <c r="C6754" s="17" t="s">
        <v>11</v>
      </c>
      <c r="D6754" s="17" t="s">
        <v>32</v>
      </c>
      <c r="E6754" s="17" t="s">
        <v>20</v>
      </c>
      <c r="F6754" s="16" t="s">
        <v>20627</v>
      </c>
    </row>
    <row r="6755" spans="1:6" x14ac:dyDescent="0.25">
      <c r="A6755" s="16" t="s">
        <v>20628</v>
      </c>
      <c r="B6755" s="17" t="s">
        <v>20629</v>
      </c>
      <c r="C6755" s="17" t="s">
        <v>11</v>
      </c>
      <c r="D6755" s="17" t="s">
        <v>80</v>
      </c>
      <c r="E6755" s="17" t="s">
        <v>20</v>
      </c>
      <c r="F6755" s="16" t="s">
        <v>20630</v>
      </c>
    </row>
    <row r="6756" spans="1:6" x14ac:dyDescent="0.25">
      <c r="A6756" s="16" t="s">
        <v>20631</v>
      </c>
      <c r="B6756" s="17" t="s">
        <v>20632</v>
      </c>
      <c r="C6756" s="17" t="s">
        <v>11</v>
      </c>
      <c r="D6756" s="17" t="s">
        <v>32</v>
      </c>
      <c r="E6756" s="17" t="s">
        <v>20</v>
      </c>
      <c r="F6756" s="16" t="s">
        <v>20633</v>
      </c>
    </row>
    <row r="6757" spans="1:6" x14ac:dyDescent="0.25">
      <c r="A6757" s="16" t="s">
        <v>20634</v>
      </c>
      <c r="B6757" s="17" t="s">
        <v>20635</v>
      </c>
      <c r="C6757" s="17" t="s">
        <v>11</v>
      </c>
      <c r="D6757" s="17" t="s">
        <v>83</v>
      </c>
      <c r="E6757" s="17" t="s">
        <v>20</v>
      </c>
      <c r="F6757" s="16" t="s">
        <v>20636</v>
      </c>
    </row>
    <row r="6758" spans="1:6" x14ac:dyDescent="0.25">
      <c r="A6758" s="16" t="s">
        <v>20637</v>
      </c>
      <c r="B6758" s="17" t="s">
        <v>20638</v>
      </c>
      <c r="C6758" s="17" t="s">
        <v>11</v>
      </c>
      <c r="D6758" s="17" t="s">
        <v>32</v>
      </c>
      <c r="E6758" s="17" t="s">
        <v>20</v>
      </c>
      <c r="F6758" s="16" t="s">
        <v>20639</v>
      </c>
    </row>
    <row r="6759" spans="1:6" x14ac:dyDescent="0.25">
      <c r="A6759" s="16" t="s">
        <v>20640</v>
      </c>
      <c r="B6759" s="17" t="s">
        <v>20641</v>
      </c>
      <c r="C6759" s="17" t="s">
        <v>11</v>
      </c>
      <c r="D6759" s="17" t="s">
        <v>83</v>
      </c>
      <c r="E6759" s="17" t="s">
        <v>20</v>
      </c>
      <c r="F6759" s="16" t="s">
        <v>20642</v>
      </c>
    </row>
    <row r="6760" spans="1:6" x14ac:dyDescent="0.25">
      <c r="A6760" s="16" t="s">
        <v>20643</v>
      </c>
      <c r="B6760" s="17" t="s">
        <v>20644</v>
      </c>
      <c r="C6760" s="17" t="s">
        <v>11</v>
      </c>
      <c r="D6760" s="17" t="s">
        <v>32</v>
      </c>
      <c r="E6760" s="17" t="s">
        <v>20</v>
      </c>
      <c r="F6760" s="16" t="s">
        <v>20645</v>
      </c>
    </row>
    <row r="6761" spans="1:6" x14ac:dyDescent="0.25">
      <c r="A6761" s="16" t="s">
        <v>20646</v>
      </c>
      <c r="B6761" s="17" t="s">
        <v>20647</v>
      </c>
      <c r="C6761" s="17" t="s">
        <v>11</v>
      </c>
      <c r="D6761" s="17" t="s">
        <v>83</v>
      </c>
      <c r="E6761" s="17" t="s">
        <v>20</v>
      </c>
      <c r="F6761" s="16" t="s">
        <v>20648</v>
      </c>
    </row>
    <row r="6762" spans="1:6" x14ac:dyDescent="0.25">
      <c r="A6762" s="16" t="s">
        <v>20649</v>
      </c>
      <c r="B6762" s="17" t="s">
        <v>20650</v>
      </c>
      <c r="C6762" s="17" t="s">
        <v>11</v>
      </c>
      <c r="D6762" s="17" t="s">
        <v>32</v>
      </c>
      <c r="E6762" s="17" t="s">
        <v>20</v>
      </c>
      <c r="F6762" s="16" t="s">
        <v>20651</v>
      </c>
    </row>
    <row r="6763" spans="1:6" x14ac:dyDescent="0.25">
      <c r="A6763" s="16" t="s">
        <v>20652</v>
      </c>
      <c r="B6763" s="17" t="s">
        <v>20653</v>
      </c>
      <c r="C6763" s="17" t="s">
        <v>359</v>
      </c>
      <c r="D6763" s="17" t="s">
        <v>83</v>
      </c>
      <c r="E6763" s="17" t="s">
        <v>20</v>
      </c>
      <c r="F6763" s="16" t="s">
        <v>20654</v>
      </c>
    </row>
    <row r="6764" spans="1:6" x14ac:dyDescent="0.25">
      <c r="A6764" s="16" t="s">
        <v>20655</v>
      </c>
      <c r="B6764" s="17" t="s">
        <v>20656</v>
      </c>
      <c r="C6764" s="17" t="s">
        <v>11</v>
      </c>
      <c r="D6764" s="17" t="s">
        <v>32</v>
      </c>
      <c r="E6764" s="17" t="s">
        <v>20</v>
      </c>
      <c r="F6764" s="16" t="s">
        <v>20657</v>
      </c>
    </row>
    <row r="6765" spans="1:6" x14ac:dyDescent="0.25">
      <c r="A6765" s="16" t="s">
        <v>20658</v>
      </c>
      <c r="B6765" s="17" t="s">
        <v>20659</v>
      </c>
      <c r="C6765" s="17" t="s">
        <v>11</v>
      </c>
      <c r="D6765" s="17" t="s">
        <v>32</v>
      </c>
      <c r="E6765" s="17" t="s">
        <v>20</v>
      </c>
      <c r="F6765" s="16" t="s">
        <v>20660</v>
      </c>
    </row>
    <row r="6766" spans="1:6" x14ac:dyDescent="0.25">
      <c r="A6766" s="16" t="s">
        <v>20661</v>
      </c>
      <c r="B6766" s="17" t="s">
        <v>20662</v>
      </c>
      <c r="C6766" s="17" t="s">
        <v>11</v>
      </c>
      <c r="D6766" s="17" t="s">
        <v>83</v>
      </c>
      <c r="E6766" s="17" t="s">
        <v>20</v>
      </c>
      <c r="F6766" s="16" t="s">
        <v>20663</v>
      </c>
    </row>
    <row r="6767" spans="1:6" x14ac:dyDescent="0.25">
      <c r="A6767" s="16" t="s">
        <v>20664</v>
      </c>
      <c r="B6767" s="17" t="s">
        <v>20665</v>
      </c>
      <c r="C6767" s="17" t="s">
        <v>11</v>
      </c>
      <c r="D6767" s="17" t="s">
        <v>83</v>
      </c>
      <c r="E6767" s="17" t="s">
        <v>20</v>
      </c>
      <c r="F6767" s="16" t="s">
        <v>20666</v>
      </c>
    </row>
    <row r="6768" spans="1:6" x14ac:dyDescent="0.25">
      <c r="A6768" s="16" t="s">
        <v>20667</v>
      </c>
      <c r="B6768" s="17" t="s">
        <v>20668</v>
      </c>
      <c r="C6768" s="17" t="s">
        <v>11</v>
      </c>
      <c r="D6768" s="17" t="s">
        <v>32</v>
      </c>
      <c r="E6768" s="17" t="s">
        <v>20</v>
      </c>
      <c r="F6768" s="16" t="s">
        <v>20669</v>
      </c>
    </row>
    <row r="6769" spans="1:6" x14ac:dyDescent="0.25">
      <c r="A6769" s="16" t="s">
        <v>20670</v>
      </c>
      <c r="B6769" s="17" t="s">
        <v>20671</v>
      </c>
      <c r="C6769" s="17" t="s">
        <v>11</v>
      </c>
      <c r="D6769" s="17" t="s">
        <v>83</v>
      </c>
      <c r="E6769" s="17" t="s">
        <v>20</v>
      </c>
      <c r="F6769" s="16" t="s">
        <v>20672</v>
      </c>
    </row>
    <row r="6770" spans="1:6" x14ac:dyDescent="0.25">
      <c r="A6770" s="16" t="s">
        <v>20673</v>
      </c>
      <c r="B6770" s="17" t="s">
        <v>20674</v>
      </c>
      <c r="C6770" s="17" t="s">
        <v>11</v>
      </c>
      <c r="D6770" s="17" t="s">
        <v>32</v>
      </c>
      <c r="E6770" s="17" t="s">
        <v>20</v>
      </c>
      <c r="F6770" s="16" t="s">
        <v>20675</v>
      </c>
    </row>
    <row r="6771" spans="1:6" x14ac:dyDescent="0.25">
      <c r="A6771" s="16" t="s">
        <v>20676</v>
      </c>
      <c r="B6771" s="17" t="s">
        <v>20677</v>
      </c>
      <c r="C6771" s="17" t="s">
        <v>11</v>
      </c>
      <c r="D6771" s="17" t="s">
        <v>32</v>
      </c>
      <c r="E6771" s="17" t="s">
        <v>20</v>
      </c>
      <c r="F6771" s="16" t="s">
        <v>20678</v>
      </c>
    </row>
    <row r="6772" spans="1:6" x14ac:dyDescent="0.25">
      <c r="A6772" s="16" t="s">
        <v>20679</v>
      </c>
      <c r="B6772" s="17" t="s">
        <v>20680</v>
      </c>
      <c r="C6772" s="17" t="s">
        <v>11</v>
      </c>
      <c r="D6772" s="17" t="s">
        <v>544</v>
      </c>
      <c r="E6772" s="17" t="s">
        <v>20</v>
      </c>
      <c r="F6772" s="16" t="s">
        <v>20681</v>
      </c>
    </row>
    <row r="6773" spans="1:6" x14ac:dyDescent="0.25">
      <c r="A6773" s="16" t="s">
        <v>20682</v>
      </c>
      <c r="B6773" s="17" t="s">
        <v>20683</v>
      </c>
      <c r="C6773" s="17" t="s">
        <v>11</v>
      </c>
      <c r="D6773" s="17" t="s">
        <v>148</v>
      </c>
      <c r="E6773" s="17" t="s">
        <v>20</v>
      </c>
      <c r="F6773" s="16" t="s">
        <v>20684</v>
      </c>
    </row>
    <row r="6774" spans="1:6" x14ac:dyDescent="0.25">
      <c r="A6774" s="16" t="s">
        <v>20685</v>
      </c>
      <c r="B6774" s="17" t="s">
        <v>20686</v>
      </c>
      <c r="C6774" s="17" t="s">
        <v>359</v>
      </c>
      <c r="D6774" s="17" t="s">
        <v>32</v>
      </c>
      <c r="E6774" s="17" t="s">
        <v>20</v>
      </c>
      <c r="F6774" s="16" t="s">
        <v>20687</v>
      </c>
    </row>
    <row r="6775" spans="1:6" x14ac:dyDescent="0.25">
      <c r="A6775" s="16" t="s">
        <v>20688</v>
      </c>
      <c r="B6775" s="17" t="s">
        <v>20689</v>
      </c>
      <c r="C6775" s="17" t="s">
        <v>11</v>
      </c>
      <c r="D6775" s="17" t="s">
        <v>32</v>
      </c>
      <c r="E6775" s="17" t="s">
        <v>20</v>
      </c>
      <c r="F6775" s="16" t="s">
        <v>20690</v>
      </c>
    </row>
    <row r="6776" spans="1:6" x14ac:dyDescent="0.25">
      <c r="A6776" s="16" t="s">
        <v>20691</v>
      </c>
      <c r="B6776" s="17" t="s">
        <v>20692</v>
      </c>
      <c r="C6776" s="17" t="s">
        <v>11</v>
      </c>
      <c r="D6776" s="17" t="s">
        <v>32</v>
      </c>
      <c r="E6776" s="17" t="s">
        <v>20</v>
      </c>
      <c r="F6776" s="16" t="s">
        <v>20693</v>
      </c>
    </row>
    <row r="6777" spans="1:6" x14ac:dyDescent="0.25">
      <c r="A6777" s="16" t="s">
        <v>20694</v>
      </c>
      <c r="B6777" s="17" t="s">
        <v>20695</v>
      </c>
      <c r="C6777" s="17" t="s">
        <v>11</v>
      </c>
      <c r="D6777" s="17" t="s">
        <v>32</v>
      </c>
      <c r="E6777" s="17" t="s">
        <v>20</v>
      </c>
      <c r="F6777" s="16" t="s">
        <v>20696</v>
      </c>
    </row>
    <row r="6778" spans="1:6" x14ac:dyDescent="0.25">
      <c r="A6778" s="16" t="s">
        <v>20697</v>
      </c>
      <c r="B6778" s="17" t="s">
        <v>20698</v>
      </c>
      <c r="C6778" s="17" t="s">
        <v>11</v>
      </c>
      <c r="D6778" s="17" t="s">
        <v>83</v>
      </c>
      <c r="E6778" s="17" t="s">
        <v>20</v>
      </c>
      <c r="F6778" s="16" t="s">
        <v>20699</v>
      </c>
    </row>
    <row r="6779" spans="1:6" x14ac:dyDescent="0.25">
      <c r="A6779" s="16" t="s">
        <v>20700</v>
      </c>
      <c r="B6779" s="17" t="s">
        <v>20701</v>
      </c>
      <c r="C6779" s="17" t="s">
        <v>11</v>
      </c>
      <c r="D6779" s="17" t="s">
        <v>32</v>
      </c>
      <c r="E6779" s="17" t="s">
        <v>20</v>
      </c>
      <c r="F6779" s="16" t="s">
        <v>20702</v>
      </c>
    </row>
    <row r="6780" spans="1:6" x14ac:dyDescent="0.25">
      <c r="A6780" s="16" t="s">
        <v>20703</v>
      </c>
      <c r="B6780" s="17" t="s">
        <v>20704</v>
      </c>
      <c r="C6780" s="17" t="s">
        <v>11</v>
      </c>
      <c r="D6780" s="17" t="s">
        <v>32</v>
      </c>
      <c r="E6780" s="17" t="s">
        <v>20</v>
      </c>
      <c r="F6780" s="16" t="s">
        <v>20705</v>
      </c>
    </row>
    <row r="6781" spans="1:6" x14ac:dyDescent="0.25">
      <c r="A6781" s="16" t="s">
        <v>20706</v>
      </c>
      <c r="B6781" s="17" t="s">
        <v>20707</v>
      </c>
      <c r="C6781" s="17" t="s">
        <v>11</v>
      </c>
      <c r="D6781" s="17" t="s">
        <v>32</v>
      </c>
      <c r="E6781" s="17" t="s">
        <v>20</v>
      </c>
      <c r="F6781" s="16" t="s">
        <v>20708</v>
      </c>
    </row>
    <row r="6782" spans="1:6" x14ac:dyDescent="0.25">
      <c r="A6782" s="16" t="s">
        <v>20709</v>
      </c>
      <c r="B6782" s="17" t="s">
        <v>20710</v>
      </c>
      <c r="C6782" s="17" t="s">
        <v>11</v>
      </c>
      <c r="D6782" s="17" t="s">
        <v>32</v>
      </c>
      <c r="E6782" s="17" t="s">
        <v>20</v>
      </c>
      <c r="F6782" s="16" t="s">
        <v>20711</v>
      </c>
    </row>
    <row r="6783" spans="1:6" x14ac:dyDescent="0.25">
      <c r="A6783" s="16" t="s">
        <v>20712</v>
      </c>
      <c r="B6783" s="17" t="s">
        <v>20713</v>
      </c>
      <c r="C6783" s="17" t="s">
        <v>11</v>
      </c>
      <c r="D6783" s="17" t="s">
        <v>148</v>
      </c>
      <c r="E6783" s="17" t="s">
        <v>20</v>
      </c>
      <c r="F6783" s="16" t="s">
        <v>20714</v>
      </c>
    </row>
    <row r="6784" spans="1:6" x14ac:dyDescent="0.25">
      <c r="A6784" s="16" t="s">
        <v>20715</v>
      </c>
      <c r="B6784" s="17" t="s">
        <v>20716</v>
      </c>
      <c r="C6784" s="17" t="s">
        <v>11</v>
      </c>
      <c r="D6784" s="17" t="s">
        <v>649</v>
      </c>
      <c r="E6784" s="17" t="s">
        <v>20</v>
      </c>
      <c r="F6784" s="16" t="s">
        <v>20717</v>
      </c>
    </row>
    <row r="6785" spans="1:6" x14ac:dyDescent="0.25">
      <c r="A6785" s="16" t="s">
        <v>20718</v>
      </c>
      <c r="B6785" s="17" t="s">
        <v>20719</v>
      </c>
      <c r="C6785" s="17" t="s">
        <v>11</v>
      </c>
      <c r="D6785" s="17" t="s">
        <v>32</v>
      </c>
      <c r="E6785" s="17" t="s">
        <v>20</v>
      </c>
      <c r="F6785" s="16" t="s">
        <v>20720</v>
      </c>
    </row>
    <row r="6786" spans="1:6" x14ac:dyDescent="0.25">
      <c r="A6786" s="16" t="s">
        <v>20721</v>
      </c>
      <c r="B6786" s="17" t="s">
        <v>20722</v>
      </c>
      <c r="C6786" s="17" t="s">
        <v>11</v>
      </c>
      <c r="D6786" s="17" t="s">
        <v>32</v>
      </c>
      <c r="E6786" s="17" t="s">
        <v>20</v>
      </c>
      <c r="F6786" s="16" t="s">
        <v>20723</v>
      </c>
    </row>
    <row r="6787" spans="1:6" x14ac:dyDescent="0.25">
      <c r="A6787" s="16" t="s">
        <v>20724</v>
      </c>
      <c r="B6787" s="17" t="s">
        <v>20725</v>
      </c>
      <c r="C6787" s="17" t="s">
        <v>11</v>
      </c>
      <c r="D6787" s="17" t="s">
        <v>32</v>
      </c>
      <c r="E6787" s="17" t="s">
        <v>20</v>
      </c>
      <c r="F6787" s="16" t="s">
        <v>20726</v>
      </c>
    </row>
    <row r="6788" spans="1:6" x14ac:dyDescent="0.25">
      <c r="A6788" s="16" t="s">
        <v>20727</v>
      </c>
      <c r="B6788" s="17" t="s">
        <v>20728</v>
      </c>
      <c r="C6788" s="17" t="s">
        <v>11</v>
      </c>
      <c r="D6788" s="17" t="s">
        <v>83</v>
      </c>
      <c r="E6788" s="17" t="s">
        <v>20</v>
      </c>
      <c r="F6788" s="16" t="s">
        <v>20729</v>
      </c>
    </row>
    <row r="6789" spans="1:6" x14ac:dyDescent="0.25">
      <c r="A6789" s="16" t="s">
        <v>20730</v>
      </c>
      <c r="B6789" s="17" t="s">
        <v>20731</v>
      </c>
      <c r="C6789" s="17" t="s">
        <v>359</v>
      </c>
      <c r="D6789" s="17" t="s">
        <v>83</v>
      </c>
      <c r="E6789" s="17" t="s">
        <v>20</v>
      </c>
      <c r="F6789" s="16" t="s">
        <v>20732</v>
      </c>
    </row>
    <row r="6790" spans="1:6" x14ac:dyDescent="0.25">
      <c r="A6790" s="16" t="s">
        <v>20733</v>
      </c>
      <c r="B6790" s="17" t="s">
        <v>20734</v>
      </c>
      <c r="C6790" s="17" t="s">
        <v>11</v>
      </c>
      <c r="D6790" s="17" t="s">
        <v>32</v>
      </c>
      <c r="E6790" s="17" t="s">
        <v>20</v>
      </c>
      <c r="F6790" s="16" t="s">
        <v>20735</v>
      </c>
    </row>
    <row r="6791" spans="1:6" x14ac:dyDescent="0.25">
      <c r="A6791" s="16" t="s">
        <v>20736</v>
      </c>
      <c r="B6791" s="17" t="s">
        <v>20737</v>
      </c>
      <c r="C6791" s="17" t="s">
        <v>11</v>
      </c>
      <c r="D6791" s="17" t="s">
        <v>32</v>
      </c>
      <c r="E6791" s="17" t="s">
        <v>20</v>
      </c>
      <c r="F6791" s="16" t="s">
        <v>20738</v>
      </c>
    </row>
    <row r="6792" spans="1:6" x14ac:dyDescent="0.25">
      <c r="A6792" s="16" t="s">
        <v>20739</v>
      </c>
      <c r="B6792" s="17" t="s">
        <v>20740</v>
      </c>
      <c r="C6792" s="17" t="s">
        <v>11</v>
      </c>
      <c r="D6792" s="17" t="s">
        <v>32</v>
      </c>
      <c r="E6792" s="17" t="s">
        <v>20</v>
      </c>
      <c r="F6792" s="16" t="s">
        <v>20741</v>
      </c>
    </row>
    <row r="6793" spans="1:6" x14ac:dyDescent="0.25">
      <c r="A6793" s="16" t="s">
        <v>20742</v>
      </c>
      <c r="B6793" s="17" t="s">
        <v>20743</v>
      </c>
      <c r="C6793" s="17" t="s">
        <v>11</v>
      </c>
      <c r="D6793" s="17" t="s">
        <v>32</v>
      </c>
      <c r="E6793" s="17" t="s">
        <v>20</v>
      </c>
      <c r="F6793" s="16" t="s">
        <v>20744</v>
      </c>
    </row>
    <row r="6794" spans="1:6" x14ac:dyDescent="0.25">
      <c r="A6794" s="16" t="s">
        <v>20745</v>
      </c>
      <c r="B6794" s="17" t="s">
        <v>20746</v>
      </c>
      <c r="C6794" s="17" t="s">
        <v>359</v>
      </c>
      <c r="D6794" s="17" t="s">
        <v>32</v>
      </c>
      <c r="E6794" s="17" t="s">
        <v>20</v>
      </c>
      <c r="F6794" s="16" t="s">
        <v>20747</v>
      </c>
    </row>
    <row r="6795" spans="1:6" x14ac:dyDescent="0.25">
      <c r="A6795" s="16" t="s">
        <v>20748</v>
      </c>
      <c r="B6795" s="17" t="s">
        <v>20749</v>
      </c>
      <c r="C6795" s="17" t="s">
        <v>11</v>
      </c>
      <c r="D6795" s="17" t="s">
        <v>26</v>
      </c>
      <c r="E6795" s="17" t="s">
        <v>20</v>
      </c>
      <c r="F6795" s="16" t="s">
        <v>20750</v>
      </c>
    </row>
    <row r="6796" spans="1:6" x14ac:dyDescent="0.25">
      <c r="A6796" s="16" t="s">
        <v>20751</v>
      </c>
      <c r="B6796" s="17" t="s">
        <v>20752</v>
      </c>
      <c r="C6796" s="17" t="s">
        <v>11</v>
      </c>
      <c r="D6796" s="17" t="s">
        <v>32</v>
      </c>
      <c r="E6796" s="17" t="s">
        <v>20</v>
      </c>
      <c r="F6796" s="16" t="s">
        <v>20753</v>
      </c>
    </row>
    <row r="6797" spans="1:6" x14ac:dyDescent="0.25">
      <c r="A6797" s="16" t="s">
        <v>20754</v>
      </c>
      <c r="B6797" s="17" t="s">
        <v>20755</v>
      </c>
      <c r="C6797" s="17" t="s">
        <v>11</v>
      </c>
      <c r="D6797" s="17" t="s">
        <v>544</v>
      </c>
      <c r="E6797" s="17" t="s">
        <v>20</v>
      </c>
      <c r="F6797" s="16" t="s">
        <v>20756</v>
      </c>
    </row>
    <row r="6798" spans="1:6" x14ac:dyDescent="0.25">
      <c r="A6798" s="16" t="s">
        <v>20757</v>
      </c>
      <c r="B6798" s="17" t="s">
        <v>20758</v>
      </c>
      <c r="C6798" s="17" t="s">
        <v>11</v>
      </c>
      <c r="D6798" s="17" t="s">
        <v>26</v>
      </c>
      <c r="E6798" s="17" t="s">
        <v>20</v>
      </c>
      <c r="F6798" s="16" t="s">
        <v>20759</v>
      </c>
    </row>
    <row r="6799" spans="1:6" x14ac:dyDescent="0.25">
      <c r="A6799" s="16" t="s">
        <v>20760</v>
      </c>
      <c r="B6799" s="17" t="s">
        <v>20761</v>
      </c>
      <c r="C6799" s="17" t="s">
        <v>11</v>
      </c>
      <c r="D6799" s="17" t="s">
        <v>32</v>
      </c>
      <c r="E6799" s="17" t="s">
        <v>20</v>
      </c>
      <c r="F6799" s="16" t="s">
        <v>20762</v>
      </c>
    </row>
    <row r="6800" spans="1:6" x14ac:dyDescent="0.25">
      <c r="A6800" s="16" t="s">
        <v>20763</v>
      </c>
      <c r="B6800" s="17" t="s">
        <v>20764</v>
      </c>
      <c r="C6800" s="17" t="s">
        <v>11</v>
      </c>
      <c r="D6800" s="17" t="s">
        <v>1318</v>
      </c>
      <c r="E6800" s="17" t="s">
        <v>20</v>
      </c>
      <c r="F6800" s="16" t="s">
        <v>20765</v>
      </c>
    </row>
    <row r="6801" spans="1:6" x14ac:dyDescent="0.25">
      <c r="A6801" s="16" t="s">
        <v>20766</v>
      </c>
      <c r="B6801" s="17" t="s">
        <v>20767</v>
      </c>
      <c r="C6801" s="17" t="s">
        <v>11</v>
      </c>
      <c r="D6801" s="17" t="s">
        <v>83</v>
      </c>
      <c r="E6801" s="17" t="s">
        <v>20</v>
      </c>
      <c r="F6801" s="16" t="s">
        <v>20768</v>
      </c>
    </row>
    <row r="6802" spans="1:6" x14ac:dyDescent="0.25">
      <c r="A6802" s="16" t="s">
        <v>20769</v>
      </c>
      <c r="B6802" s="17" t="s">
        <v>20770</v>
      </c>
      <c r="C6802" s="17" t="s">
        <v>11</v>
      </c>
      <c r="D6802" s="17" t="s">
        <v>74</v>
      </c>
      <c r="E6802" s="17" t="s">
        <v>20</v>
      </c>
      <c r="F6802" s="16" t="s">
        <v>20771</v>
      </c>
    </row>
    <row r="6803" spans="1:6" x14ac:dyDescent="0.25">
      <c r="A6803" s="16" t="s">
        <v>20772</v>
      </c>
      <c r="B6803" s="17" t="s">
        <v>20773</v>
      </c>
      <c r="C6803" s="17" t="s">
        <v>1235</v>
      </c>
      <c r="D6803" s="17" t="s">
        <v>3614</v>
      </c>
      <c r="E6803" s="17" t="s">
        <v>1237</v>
      </c>
      <c r="F6803" s="16" t="s">
        <v>20774</v>
      </c>
    </row>
    <row r="6804" spans="1:6" x14ac:dyDescent="0.25">
      <c r="A6804" s="16" t="s">
        <v>20775</v>
      </c>
      <c r="B6804" s="17" t="s">
        <v>20776</v>
      </c>
      <c r="C6804" s="17" t="s">
        <v>11</v>
      </c>
      <c r="D6804" s="17" t="s">
        <v>83</v>
      </c>
      <c r="E6804" s="17" t="s">
        <v>20</v>
      </c>
      <c r="F6804" s="16" t="s">
        <v>20777</v>
      </c>
    </row>
    <row r="6805" spans="1:6" x14ac:dyDescent="0.25">
      <c r="A6805" s="16" t="s">
        <v>20778</v>
      </c>
      <c r="B6805" s="17" t="s">
        <v>20779</v>
      </c>
      <c r="C6805" s="17" t="s">
        <v>11</v>
      </c>
      <c r="D6805" s="17" t="s">
        <v>32</v>
      </c>
      <c r="E6805" s="17" t="s">
        <v>20</v>
      </c>
      <c r="F6805" s="16" t="s">
        <v>20780</v>
      </c>
    </row>
    <row r="6806" spans="1:6" x14ac:dyDescent="0.25">
      <c r="A6806" s="16" t="s">
        <v>20781</v>
      </c>
      <c r="B6806" s="17" t="s">
        <v>20782</v>
      </c>
      <c r="C6806" s="17" t="s">
        <v>11</v>
      </c>
      <c r="D6806" s="17" t="s">
        <v>32</v>
      </c>
      <c r="E6806" s="17" t="s">
        <v>20</v>
      </c>
      <c r="F6806" s="16" t="s">
        <v>20783</v>
      </c>
    </row>
    <row r="6807" spans="1:6" x14ac:dyDescent="0.25">
      <c r="A6807" s="16" t="s">
        <v>20784</v>
      </c>
      <c r="B6807" s="17" t="s">
        <v>20785</v>
      </c>
      <c r="C6807" s="17" t="s">
        <v>11</v>
      </c>
      <c r="D6807" s="17" t="s">
        <v>32</v>
      </c>
      <c r="E6807" s="17" t="s">
        <v>20</v>
      </c>
      <c r="F6807" s="16" t="s">
        <v>20786</v>
      </c>
    </row>
    <row r="6808" spans="1:6" x14ac:dyDescent="0.25">
      <c r="A6808" s="16" t="s">
        <v>20787</v>
      </c>
      <c r="B6808" s="17" t="s">
        <v>20788</v>
      </c>
      <c r="C6808" s="17" t="s">
        <v>11</v>
      </c>
      <c r="D6808" s="17" t="s">
        <v>148</v>
      </c>
      <c r="E6808" s="17" t="s">
        <v>20</v>
      </c>
      <c r="F6808" s="16" t="s">
        <v>20789</v>
      </c>
    </row>
    <row r="6809" spans="1:6" x14ac:dyDescent="0.25">
      <c r="A6809" s="16" t="s">
        <v>20790</v>
      </c>
      <c r="B6809" s="17" t="s">
        <v>20791</v>
      </c>
      <c r="C6809" s="17" t="s">
        <v>11</v>
      </c>
      <c r="D6809" s="17" t="s">
        <v>83</v>
      </c>
      <c r="E6809" s="17" t="s">
        <v>20</v>
      </c>
      <c r="F6809" s="16" t="s">
        <v>20792</v>
      </c>
    </row>
    <row r="6810" spans="1:6" x14ac:dyDescent="0.25">
      <c r="A6810" s="16" t="s">
        <v>20793</v>
      </c>
      <c r="B6810" s="17" t="s">
        <v>20794</v>
      </c>
      <c r="C6810" s="17" t="s">
        <v>11</v>
      </c>
      <c r="D6810" s="17" t="s">
        <v>32</v>
      </c>
      <c r="E6810" s="17" t="s">
        <v>20</v>
      </c>
      <c r="F6810" s="16" t="s">
        <v>20795</v>
      </c>
    </row>
    <row r="6811" spans="1:6" x14ac:dyDescent="0.25">
      <c r="A6811" s="16" t="s">
        <v>20796</v>
      </c>
      <c r="B6811" s="17" t="s">
        <v>20797</v>
      </c>
      <c r="C6811" s="17" t="s">
        <v>11</v>
      </c>
      <c r="D6811" s="17" t="s">
        <v>83</v>
      </c>
      <c r="E6811" s="17" t="s">
        <v>20</v>
      </c>
      <c r="F6811" s="16" t="s">
        <v>20798</v>
      </c>
    </row>
    <row r="6812" spans="1:6" x14ac:dyDescent="0.25">
      <c r="A6812" s="16" t="s">
        <v>20799</v>
      </c>
      <c r="B6812" s="17" t="s">
        <v>20800</v>
      </c>
      <c r="C6812" s="17" t="s">
        <v>11</v>
      </c>
      <c r="D6812" s="17" t="s">
        <v>74</v>
      </c>
      <c r="E6812" s="17" t="s">
        <v>20</v>
      </c>
      <c r="F6812" s="16" t="s">
        <v>20801</v>
      </c>
    </row>
    <row r="6813" spans="1:6" x14ac:dyDescent="0.25">
      <c r="A6813" s="16" t="s">
        <v>20802</v>
      </c>
      <c r="B6813" s="17" t="s">
        <v>20803</v>
      </c>
      <c r="C6813" s="17" t="s">
        <v>11</v>
      </c>
      <c r="D6813" s="17" t="s">
        <v>83</v>
      </c>
      <c r="E6813" s="17" t="s">
        <v>20</v>
      </c>
      <c r="F6813" s="16" t="s">
        <v>20804</v>
      </c>
    </row>
    <row r="6814" spans="1:6" x14ac:dyDescent="0.25">
      <c r="A6814" s="16" t="s">
        <v>20805</v>
      </c>
      <c r="B6814" s="17" t="s">
        <v>20806</v>
      </c>
      <c r="C6814" s="17" t="s">
        <v>11</v>
      </c>
      <c r="D6814" s="17" t="s">
        <v>32</v>
      </c>
      <c r="E6814" s="17" t="s">
        <v>20</v>
      </c>
      <c r="F6814" s="16" t="s">
        <v>20807</v>
      </c>
    </row>
    <row r="6815" spans="1:6" x14ac:dyDescent="0.25">
      <c r="A6815" s="16" t="s">
        <v>20808</v>
      </c>
      <c r="B6815" s="17" t="s">
        <v>20809</v>
      </c>
      <c r="C6815" s="17" t="s">
        <v>11</v>
      </c>
      <c r="D6815" s="17" t="s">
        <v>544</v>
      </c>
      <c r="E6815" s="17" t="s">
        <v>20</v>
      </c>
      <c r="F6815" s="16" t="s">
        <v>20810</v>
      </c>
    </row>
    <row r="6816" spans="1:6" x14ac:dyDescent="0.25">
      <c r="A6816" s="16" t="s">
        <v>20811</v>
      </c>
      <c r="B6816" s="17" t="s">
        <v>20812</v>
      </c>
      <c r="C6816" s="17" t="s">
        <v>1235</v>
      </c>
      <c r="D6816" s="17" t="s">
        <v>12527</v>
      </c>
      <c r="E6816" s="17" t="s">
        <v>1237</v>
      </c>
      <c r="F6816" s="16" t="s">
        <v>20813</v>
      </c>
    </row>
    <row r="6817" spans="1:6" x14ac:dyDescent="0.25">
      <c r="A6817" s="16" t="s">
        <v>20814</v>
      </c>
      <c r="B6817" s="17" t="s">
        <v>20815</v>
      </c>
      <c r="C6817" s="17" t="s">
        <v>11</v>
      </c>
      <c r="D6817" s="17" t="s">
        <v>26</v>
      </c>
      <c r="E6817" s="17" t="s">
        <v>20</v>
      </c>
      <c r="F6817" s="16" t="s">
        <v>20816</v>
      </c>
    </row>
    <row r="6818" spans="1:6" x14ac:dyDescent="0.25">
      <c r="A6818" s="16" t="s">
        <v>20817</v>
      </c>
      <c r="B6818" s="17" t="s">
        <v>20818</v>
      </c>
      <c r="C6818" s="17" t="s">
        <v>11</v>
      </c>
      <c r="D6818" s="17" t="s">
        <v>32</v>
      </c>
      <c r="E6818" s="17" t="s">
        <v>20</v>
      </c>
      <c r="F6818" s="16" t="s">
        <v>20819</v>
      </c>
    </row>
    <row r="6819" spans="1:6" x14ac:dyDescent="0.25">
      <c r="A6819" s="16" t="s">
        <v>20820</v>
      </c>
      <c r="B6819" s="17" t="s">
        <v>20821</v>
      </c>
      <c r="C6819" s="17" t="s">
        <v>11</v>
      </c>
      <c r="D6819" s="17" t="s">
        <v>32</v>
      </c>
      <c r="E6819" s="17" t="s">
        <v>20</v>
      </c>
      <c r="F6819" s="16" t="s">
        <v>20822</v>
      </c>
    </row>
    <row r="6820" spans="1:6" x14ac:dyDescent="0.25">
      <c r="A6820" s="16" t="s">
        <v>20823</v>
      </c>
      <c r="B6820" s="17" t="s">
        <v>20824</v>
      </c>
      <c r="C6820" s="17" t="s">
        <v>11</v>
      </c>
      <c r="D6820" s="17" t="s">
        <v>83</v>
      </c>
      <c r="E6820" s="17" t="s">
        <v>20</v>
      </c>
      <c r="F6820" s="16" t="s">
        <v>20825</v>
      </c>
    </row>
    <row r="6821" spans="1:6" x14ac:dyDescent="0.25">
      <c r="A6821" s="16" t="s">
        <v>20826</v>
      </c>
      <c r="B6821" s="17" t="s">
        <v>20827</v>
      </c>
      <c r="C6821" s="17" t="s">
        <v>359</v>
      </c>
      <c r="D6821" s="17" t="s">
        <v>32</v>
      </c>
      <c r="E6821" s="17" t="s">
        <v>20</v>
      </c>
      <c r="F6821" s="16" t="s">
        <v>20828</v>
      </c>
    </row>
    <row r="6822" spans="1:6" x14ac:dyDescent="0.25">
      <c r="A6822" s="16" t="s">
        <v>20829</v>
      </c>
      <c r="B6822" s="17" t="s">
        <v>20830</v>
      </c>
      <c r="C6822" s="17" t="s">
        <v>11</v>
      </c>
      <c r="D6822" s="17" t="s">
        <v>32</v>
      </c>
      <c r="E6822" s="17" t="s">
        <v>20</v>
      </c>
      <c r="F6822" s="16" t="s">
        <v>20831</v>
      </c>
    </row>
    <row r="6823" spans="1:6" x14ac:dyDescent="0.25">
      <c r="A6823" s="16" t="s">
        <v>20832</v>
      </c>
      <c r="B6823" s="17" t="s">
        <v>20833</v>
      </c>
      <c r="C6823" s="17" t="s">
        <v>11</v>
      </c>
      <c r="D6823" s="17" t="s">
        <v>89</v>
      </c>
      <c r="E6823" s="17" t="s">
        <v>20</v>
      </c>
      <c r="F6823" s="16" t="s">
        <v>20834</v>
      </c>
    </row>
    <row r="6824" spans="1:6" x14ac:dyDescent="0.25">
      <c r="A6824" s="16" t="s">
        <v>20835</v>
      </c>
      <c r="B6824" s="17" t="s">
        <v>20836</v>
      </c>
      <c r="C6824" s="17" t="s">
        <v>11</v>
      </c>
      <c r="D6824" s="17" t="s">
        <v>74</v>
      </c>
      <c r="E6824" s="17" t="s">
        <v>20</v>
      </c>
      <c r="F6824" s="16" t="s">
        <v>20837</v>
      </c>
    </row>
    <row r="6825" spans="1:6" x14ac:dyDescent="0.25">
      <c r="A6825" s="16" t="s">
        <v>20838</v>
      </c>
      <c r="B6825" s="17" t="s">
        <v>20839</v>
      </c>
      <c r="C6825" s="17" t="s">
        <v>11</v>
      </c>
      <c r="D6825" s="17" t="s">
        <v>32</v>
      </c>
      <c r="E6825" s="17" t="s">
        <v>20</v>
      </c>
      <c r="F6825" s="16" t="s">
        <v>20840</v>
      </c>
    </row>
    <row r="6826" spans="1:6" x14ac:dyDescent="0.25">
      <c r="A6826" s="16" t="s">
        <v>20841</v>
      </c>
      <c r="B6826" s="17" t="s">
        <v>20842</v>
      </c>
      <c r="C6826" s="17" t="s">
        <v>11</v>
      </c>
      <c r="D6826" s="17" t="s">
        <v>32</v>
      </c>
      <c r="E6826" s="17" t="s">
        <v>20</v>
      </c>
      <c r="F6826" s="16" t="s">
        <v>20843</v>
      </c>
    </row>
    <row r="6827" spans="1:6" x14ac:dyDescent="0.25">
      <c r="A6827" s="16" t="s">
        <v>20844</v>
      </c>
      <c r="B6827" s="17" t="s">
        <v>20845</v>
      </c>
      <c r="C6827" s="17" t="s">
        <v>11</v>
      </c>
      <c r="D6827" s="17" t="s">
        <v>74</v>
      </c>
      <c r="E6827" s="17" t="s">
        <v>20</v>
      </c>
      <c r="F6827" s="16" t="s">
        <v>20846</v>
      </c>
    </row>
    <row r="6828" spans="1:6" x14ac:dyDescent="0.25">
      <c r="A6828" s="16" t="s">
        <v>20847</v>
      </c>
      <c r="B6828" s="17" t="s">
        <v>20848</v>
      </c>
      <c r="C6828" s="17" t="s">
        <v>359</v>
      </c>
      <c r="D6828" s="17" t="s">
        <v>32</v>
      </c>
      <c r="E6828" s="17" t="s">
        <v>20</v>
      </c>
      <c r="F6828" s="16" t="s">
        <v>20849</v>
      </c>
    </row>
    <row r="6829" spans="1:6" x14ac:dyDescent="0.25">
      <c r="A6829" s="16" t="s">
        <v>20850</v>
      </c>
      <c r="B6829" s="17" t="s">
        <v>20851</v>
      </c>
      <c r="C6829" s="17" t="s">
        <v>11</v>
      </c>
      <c r="D6829" s="17" t="s">
        <v>32</v>
      </c>
      <c r="E6829" s="17" t="s">
        <v>20</v>
      </c>
      <c r="F6829" s="16" t="s">
        <v>20852</v>
      </c>
    </row>
    <row r="6830" spans="1:6" x14ac:dyDescent="0.25">
      <c r="A6830" s="16" t="s">
        <v>20853</v>
      </c>
      <c r="B6830" s="17" t="s">
        <v>20854</v>
      </c>
      <c r="C6830" s="17" t="s">
        <v>11</v>
      </c>
      <c r="D6830" s="17" t="s">
        <v>148</v>
      </c>
      <c r="E6830" s="17" t="s">
        <v>20</v>
      </c>
      <c r="F6830" s="16" t="s">
        <v>20855</v>
      </c>
    </row>
    <row r="6831" spans="1:6" x14ac:dyDescent="0.25">
      <c r="A6831" s="16" t="s">
        <v>20856</v>
      </c>
      <c r="B6831" s="17" t="s">
        <v>20857</v>
      </c>
      <c r="C6831" s="17" t="s">
        <v>11</v>
      </c>
      <c r="D6831" s="17" t="s">
        <v>544</v>
      </c>
      <c r="E6831" s="17" t="s">
        <v>20</v>
      </c>
      <c r="F6831" s="16" t="s">
        <v>20858</v>
      </c>
    </row>
    <row r="6832" spans="1:6" x14ac:dyDescent="0.25">
      <c r="A6832" s="16" t="s">
        <v>20859</v>
      </c>
      <c r="B6832" s="17" t="s">
        <v>20860</v>
      </c>
      <c r="C6832" s="17" t="s">
        <v>11</v>
      </c>
      <c r="D6832" s="17" t="s">
        <v>32</v>
      </c>
      <c r="E6832" s="17" t="s">
        <v>20</v>
      </c>
      <c r="F6832" s="16" t="s">
        <v>20861</v>
      </c>
    </row>
    <row r="6833" spans="1:6" x14ac:dyDescent="0.25">
      <c r="A6833" s="16" t="s">
        <v>20862</v>
      </c>
      <c r="B6833" s="17" t="s">
        <v>20863</v>
      </c>
      <c r="C6833" s="17" t="s">
        <v>11</v>
      </c>
      <c r="D6833" s="17" t="s">
        <v>26</v>
      </c>
      <c r="E6833" s="17" t="s">
        <v>20</v>
      </c>
      <c r="F6833" s="16" t="s">
        <v>20864</v>
      </c>
    </row>
    <row r="6834" spans="1:6" x14ac:dyDescent="0.25">
      <c r="A6834" s="16" t="s">
        <v>20865</v>
      </c>
      <c r="B6834" s="17" t="s">
        <v>20866</v>
      </c>
      <c r="C6834" s="17" t="s">
        <v>11</v>
      </c>
      <c r="D6834" s="17" t="s">
        <v>32</v>
      </c>
      <c r="E6834" s="17" t="s">
        <v>20</v>
      </c>
      <c r="F6834" s="16" t="s">
        <v>20867</v>
      </c>
    </row>
    <row r="6835" spans="1:6" x14ac:dyDescent="0.25">
      <c r="A6835" s="16" t="s">
        <v>20868</v>
      </c>
      <c r="B6835" s="17" t="s">
        <v>20869</v>
      </c>
      <c r="C6835" s="17" t="s">
        <v>11</v>
      </c>
      <c r="D6835" s="17" t="s">
        <v>32</v>
      </c>
      <c r="E6835" s="17" t="s">
        <v>20</v>
      </c>
      <c r="F6835" s="16" t="s">
        <v>20870</v>
      </c>
    </row>
    <row r="6836" spans="1:6" x14ac:dyDescent="0.25">
      <c r="A6836" s="16" t="s">
        <v>20871</v>
      </c>
      <c r="B6836" s="17" t="s">
        <v>20872</v>
      </c>
      <c r="C6836" s="17" t="s">
        <v>11</v>
      </c>
      <c r="D6836" s="17" t="s">
        <v>32</v>
      </c>
      <c r="E6836" s="17" t="s">
        <v>20</v>
      </c>
      <c r="F6836" s="16" t="s">
        <v>20873</v>
      </c>
    </row>
    <row r="6837" spans="1:6" x14ac:dyDescent="0.25">
      <c r="A6837" s="16" t="s">
        <v>20874</v>
      </c>
      <c r="B6837" s="17" t="s">
        <v>20875</v>
      </c>
      <c r="C6837" s="17" t="s">
        <v>11</v>
      </c>
      <c r="D6837" s="17" t="s">
        <v>83</v>
      </c>
      <c r="E6837" s="17" t="s">
        <v>20</v>
      </c>
      <c r="F6837" s="16" t="s">
        <v>20876</v>
      </c>
    </row>
    <row r="6838" spans="1:6" x14ac:dyDescent="0.25">
      <c r="A6838" s="16" t="s">
        <v>20877</v>
      </c>
      <c r="B6838" s="17" t="s">
        <v>20878</v>
      </c>
      <c r="C6838" s="17" t="s">
        <v>11</v>
      </c>
      <c r="D6838" s="17" t="s">
        <v>32</v>
      </c>
      <c r="E6838" s="17" t="s">
        <v>20</v>
      </c>
      <c r="F6838" s="16" t="s">
        <v>20879</v>
      </c>
    </row>
    <row r="6839" spans="1:6" x14ac:dyDescent="0.25">
      <c r="A6839" s="16" t="s">
        <v>20880</v>
      </c>
      <c r="B6839" s="17" t="s">
        <v>20881</v>
      </c>
      <c r="C6839" s="17" t="s">
        <v>11</v>
      </c>
      <c r="D6839" s="17" t="s">
        <v>32</v>
      </c>
      <c r="E6839" s="17" t="s">
        <v>20</v>
      </c>
      <c r="F6839" s="16" t="s">
        <v>20882</v>
      </c>
    </row>
    <row r="6840" spans="1:6" x14ac:dyDescent="0.25">
      <c r="A6840" s="16" t="s">
        <v>20883</v>
      </c>
      <c r="B6840" s="17" t="s">
        <v>20884</v>
      </c>
      <c r="C6840" s="17" t="s">
        <v>11</v>
      </c>
      <c r="D6840" s="17" t="s">
        <v>32</v>
      </c>
      <c r="E6840" s="17" t="s">
        <v>20</v>
      </c>
      <c r="F6840" s="16" t="s">
        <v>20885</v>
      </c>
    </row>
    <row r="6841" spans="1:6" x14ac:dyDescent="0.25">
      <c r="A6841" s="16" t="s">
        <v>20886</v>
      </c>
      <c r="B6841" s="17" t="s">
        <v>20887</v>
      </c>
      <c r="C6841" s="17" t="s">
        <v>11</v>
      </c>
      <c r="D6841" s="17" t="s">
        <v>83</v>
      </c>
      <c r="E6841" s="17" t="s">
        <v>20</v>
      </c>
      <c r="F6841" s="16" t="s">
        <v>20888</v>
      </c>
    </row>
    <row r="6842" spans="1:6" x14ac:dyDescent="0.25">
      <c r="A6842" s="16" t="s">
        <v>20889</v>
      </c>
      <c r="B6842" s="17" t="s">
        <v>20890</v>
      </c>
      <c r="C6842" s="17" t="s">
        <v>11</v>
      </c>
      <c r="D6842" s="17" t="s">
        <v>83</v>
      </c>
      <c r="E6842" s="17" t="s">
        <v>20</v>
      </c>
      <c r="F6842" s="16" t="s">
        <v>20891</v>
      </c>
    </row>
    <row r="6843" spans="1:6" x14ac:dyDescent="0.25">
      <c r="A6843" s="16" t="s">
        <v>20892</v>
      </c>
      <c r="B6843" s="17" t="s">
        <v>20893</v>
      </c>
      <c r="C6843" s="17" t="s">
        <v>11</v>
      </c>
      <c r="D6843" s="17" t="s">
        <v>32</v>
      </c>
      <c r="E6843" s="17" t="s">
        <v>20</v>
      </c>
      <c r="F6843" s="16" t="s">
        <v>20894</v>
      </c>
    </row>
    <row r="6844" spans="1:6" x14ac:dyDescent="0.25">
      <c r="A6844" s="16" t="s">
        <v>20895</v>
      </c>
      <c r="B6844" s="17" t="s">
        <v>20896</v>
      </c>
      <c r="C6844" s="17" t="s">
        <v>11</v>
      </c>
      <c r="D6844" s="17" t="s">
        <v>32</v>
      </c>
      <c r="E6844" s="17" t="s">
        <v>20</v>
      </c>
      <c r="F6844" s="16" t="s">
        <v>20897</v>
      </c>
    </row>
    <row r="6845" spans="1:6" x14ac:dyDescent="0.25">
      <c r="A6845" s="16" t="s">
        <v>20898</v>
      </c>
      <c r="B6845" s="17" t="s">
        <v>20899</v>
      </c>
      <c r="C6845" s="17" t="s">
        <v>11</v>
      </c>
      <c r="D6845" s="17" t="s">
        <v>83</v>
      </c>
      <c r="E6845" s="17" t="s">
        <v>20</v>
      </c>
      <c r="F6845" s="16" t="s">
        <v>20900</v>
      </c>
    </row>
    <row r="6846" spans="1:6" x14ac:dyDescent="0.25">
      <c r="A6846" s="16" t="s">
        <v>20901</v>
      </c>
      <c r="B6846" s="17" t="s">
        <v>20902</v>
      </c>
      <c r="C6846" s="17" t="s">
        <v>11</v>
      </c>
      <c r="D6846" s="17" t="s">
        <v>83</v>
      </c>
      <c r="E6846" s="17" t="s">
        <v>20</v>
      </c>
      <c r="F6846" s="16" t="s">
        <v>20903</v>
      </c>
    </row>
    <row r="6847" spans="1:6" x14ac:dyDescent="0.25">
      <c r="A6847" s="16" t="s">
        <v>20904</v>
      </c>
      <c r="B6847" s="17" t="s">
        <v>20905</v>
      </c>
      <c r="C6847" s="17" t="s">
        <v>11</v>
      </c>
      <c r="D6847" s="17" t="s">
        <v>32</v>
      </c>
      <c r="E6847" s="17" t="s">
        <v>20</v>
      </c>
      <c r="F6847" s="16" t="s">
        <v>20906</v>
      </c>
    </row>
    <row r="6848" spans="1:6" x14ac:dyDescent="0.25">
      <c r="A6848" s="16" t="s">
        <v>20907</v>
      </c>
      <c r="B6848" s="17" t="s">
        <v>20908</v>
      </c>
      <c r="C6848" s="17" t="s">
        <v>214</v>
      </c>
      <c r="D6848" s="17" t="s">
        <v>26</v>
      </c>
      <c r="E6848" s="17" t="s">
        <v>20</v>
      </c>
      <c r="F6848" s="16" t="s">
        <v>20909</v>
      </c>
    </row>
    <row r="6849" spans="1:6" x14ac:dyDescent="0.25">
      <c r="A6849" s="16" t="s">
        <v>20910</v>
      </c>
      <c r="B6849" s="17" t="s">
        <v>20911</v>
      </c>
      <c r="C6849" s="17" t="s">
        <v>11</v>
      </c>
      <c r="D6849" s="17" t="s">
        <v>32</v>
      </c>
      <c r="E6849" s="17" t="s">
        <v>20</v>
      </c>
      <c r="F6849" s="16" t="s">
        <v>20912</v>
      </c>
    </row>
    <row r="6850" spans="1:6" x14ac:dyDescent="0.25">
      <c r="A6850" s="16" t="s">
        <v>20913</v>
      </c>
      <c r="B6850" s="17" t="s">
        <v>20914</v>
      </c>
      <c r="C6850" s="17" t="s">
        <v>11</v>
      </c>
      <c r="D6850" s="17" t="s">
        <v>83</v>
      </c>
      <c r="E6850" s="17" t="s">
        <v>20</v>
      </c>
      <c r="F6850" s="16" t="s">
        <v>20915</v>
      </c>
    </row>
    <row r="6851" spans="1:6" x14ac:dyDescent="0.25">
      <c r="A6851" s="16" t="s">
        <v>20916</v>
      </c>
      <c r="B6851" s="17" t="s">
        <v>20917</v>
      </c>
      <c r="C6851" s="17" t="s">
        <v>11</v>
      </c>
      <c r="D6851" s="17" t="s">
        <v>83</v>
      </c>
      <c r="E6851" s="17" t="s">
        <v>20</v>
      </c>
      <c r="F6851" s="16" t="s">
        <v>20918</v>
      </c>
    </row>
    <row r="6852" spans="1:6" x14ac:dyDescent="0.25">
      <c r="A6852" s="16" t="s">
        <v>20919</v>
      </c>
      <c r="B6852" s="17" t="s">
        <v>20920</v>
      </c>
      <c r="C6852" s="17" t="s">
        <v>11</v>
      </c>
      <c r="D6852" s="17" t="s">
        <v>32</v>
      </c>
      <c r="E6852" s="17" t="s">
        <v>20</v>
      </c>
      <c r="F6852" s="16" t="s">
        <v>20921</v>
      </c>
    </row>
    <row r="6853" spans="1:6" x14ac:dyDescent="0.25">
      <c r="A6853" s="16" t="s">
        <v>20922</v>
      </c>
      <c r="B6853" s="17" t="s">
        <v>20923</v>
      </c>
      <c r="C6853" s="17" t="s">
        <v>11</v>
      </c>
      <c r="D6853" s="17" t="s">
        <v>26</v>
      </c>
      <c r="E6853" s="17" t="s">
        <v>20</v>
      </c>
      <c r="F6853" s="16" t="s">
        <v>20924</v>
      </c>
    </row>
    <row r="6854" spans="1:6" x14ac:dyDescent="0.25">
      <c r="A6854" s="16" t="s">
        <v>20925</v>
      </c>
      <c r="B6854" s="17" t="s">
        <v>20926</v>
      </c>
      <c r="C6854" s="17" t="s">
        <v>11</v>
      </c>
      <c r="D6854" s="17" t="s">
        <v>544</v>
      </c>
      <c r="E6854" s="17" t="s">
        <v>20</v>
      </c>
      <c r="F6854" s="16" t="s">
        <v>20927</v>
      </c>
    </row>
    <row r="6855" spans="1:6" x14ac:dyDescent="0.25">
      <c r="A6855" s="16" t="s">
        <v>20928</v>
      </c>
      <c r="B6855" s="17" t="s">
        <v>20929</v>
      </c>
      <c r="C6855" s="17" t="s">
        <v>11</v>
      </c>
      <c r="D6855" s="17" t="s">
        <v>83</v>
      </c>
      <c r="E6855" s="17" t="s">
        <v>20</v>
      </c>
      <c r="F6855" s="16" t="s">
        <v>20930</v>
      </c>
    </row>
    <row r="6856" spans="1:6" x14ac:dyDescent="0.25">
      <c r="A6856" s="16" t="s">
        <v>20931</v>
      </c>
      <c r="B6856" s="17" t="s">
        <v>20932</v>
      </c>
      <c r="C6856" s="17" t="s">
        <v>11</v>
      </c>
      <c r="D6856" s="17" t="s">
        <v>83</v>
      </c>
      <c r="E6856" s="17" t="s">
        <v>20</v>
      </c>
      <c r="F6856" s="16" t="s">
        <v>20933</v>
      </c>
    </row>
    <row r="6857" spans="1:6" x14ac:dyDescent="0.25">
      <c r="A6857" s="16" t="s">
        <v>20934</v>
      </c>
      <c r="B6857" s="17" t="s">
        <v>20935</v>
      </c>
      <c r="C6857" s="17" t="s">
        <v>11</v>
      </c>
      <c r="D6857" s="17" t="s">
        <v>32</v>
      </c>
      <c r="E6857" s="17" t="s">
        <v>20</v>
      </c>
      <c r="F6857" s="16" t="s">
        <v>20936</v>
      </c>
    </row>
    <row r="6858" spans="1:6" x14ac:dyDescent="0.25">
      <c r="A6858" s="16" t="s">
        <v>20937</v>
      </c>
      <c r="B6858" s="17" t="s">
        <v>20938</v>
      </c>
      <c r="C6858" s="17" t="s">
        <v>11</v>
      </c>
      <c r="D6858" s="17" t="s">
        <v>32</v>
      </c>
      <c r="E6858" s="17" t="s">
        <v>20</v>
      </c>
      <c r="F6858" s="16" t="s">
        <v>20939</v>
      </c>
    </row>
    <row r="6859" spans="1:6" x14ac:dyDescent="0.25">
      <c r="A6859" s="16" t="s">
        <v>20940</v>
      </c>
      <c r="B6859" s="17" t="s">
        <v>20941</v>
      </c>
      <c r="C6859" s="17" t="s">
        <v>11</v>
      </c>
      <c r="D6859" s="17" t="s">
        <v>148</v>
      </c>
      <c r="E6859" s="17" t="s">
        <v>20</v>
      </c>
      <c r="F6859" s="16" t="s">
        <v>20942</v>
      </c>
    </row>
    <row r="6860" spans="1:6" x14ac:dyDescent="0.25">
      <c r="A6860" s="16" t="s">
        <v>20943</v>
      </c>
      <c r="B6860" s="17" t="s">
        <v>20944</v>
      </c>
      <c r="C6860" s="17" t="s">
        <v>11</v>
      </c>
      <c r="D6860" s="17" t="s">
        <v>32</v>
      </c>
      <c r="E6860" s="17" t="s">
        <v>20</v>
      </c>
      <c r="F6860" s="16" t="s">
        <v>20945</v>
      </c>
    </row>
    <row r="6861" spans="1:6" x14ac:dyDescent="0.25">
      <c r="A6861" s="16" t="s">
        <v>20946</v>
      </c>
      <c r="B6861" s="17" t="s">
        <v>20947</v>
      </c>
      <c r="C6861" s="17" t="s">
        <v>11</v>
      </c>
      <c r="D6861" s="17" t="s">
        <v>83</v>
      </c>
      <c r="E6861" s="17" t="s">
        <v>20</v>
      </c>
      <c r="F6861" s="16" t="s">
        <v>20948</v>
      </c>
    </row>
    <row r="6862" spans="1:6" x14ac:dyDescent="0.25">
      <c r="A6862" s="16" t="s">
        <v>20949</v>
      </c>
      <c r="B6862" s="17" t="s">
        <v>20950</v>
      </c>
      <c r="C6862" s="17" t="s">
        <v>11</v>
      </c>
      <c r="D6862" s="17" t="s">
        <v>32</v>
      </c>
      <c r="E6862" s="17" t="s">
        <v>20</v>
      </c>
      <c r="F6862" s="16" t="s">
        <v>20951</v>
      </c>
    </row>
    <row r="6863" spans="1:6" x14ac:dyDescent="0.25">
      <c r="A6863" s="16" t="s">
        <v>20952</v>
      </c>
      <c r="B6863" s="17" t="s">
        <v>20953</v>
      </c>
      <c r="C6863" s="17" t="s">
        <v>11</v>
      </c>
      <c r="D6863" s="17" t="s">
        <v>32</v>
      </c>
      <c r="E6863" s="17" t="s">
        <v>20</v>
      </c>
      <c r="F6863" s="16" t="s">
        <v>20954</v>
      </c>
    </row>
    <row r="6864" spans="1:6" x14ac:dyDescent="0.25">
      <c r="A6864" s="16" t="s">
        <v>20955</v>
      </c>
      <c r="B6864" s="17" t="s">
        <v>20956</v>
      </c>
      <c r="C6864" s="17" t="s">
        <v>11</v>
      </c>
      <c r="D6864" s="17" t="s">
        <v>83</v>
      </c>
      <c r="E6864" s="17" t="s">
        <v>20</v>
      </c>
      <c r="F6864" s="16" t="s">
        <v>20957</v>
      </c>
    </row>
    <row r="6865" spans="1:6" x14ac:dyDescent="0.25">
      <c r="A6865" s="16" t="s">
        <v>20958</v>
      </c>
      <c r="B6865" s="17" t="s">
        <v>20959</v>
      </c>
      <c r="C6865" s="17" t="s">
        <v>11</v>
      </c>
      <c r="D6865" s="17" t="s">
        <v>32</v>
      </c>
      <c r="E6865" s="17" t="s">
        <v>20</v>
      </c>
      <c r="F6865" s="16" t="s">
        <v>20960</v>
      </c>
    </row>
    <row r="6866" spans="1:6" x14ac:dyDescent="0.25">
      <c r="A6866" s="16" t="s">
        <v>20961</v>
      </c>
      <c r="B6866" s="17" t="s">
        <v>20962</v>
      </c>
      <c r="C6866" s="17" t="s">
        <v>11</v>
      </c>
      <c r="D6866" s="17" t="s">
        <v>32</v>
      </c>
      <c r="E6866" s="17" t="s">
        <v>20</v>
      </c>
      <c r="F6866" s="16" t="s">
        <v>20963</v>
      </c>
    </row>
    <row r="6867" spans="1:6" x14ac:dyDescent="0.25">
      <c r="A6867" s="16" t="s">
        <v>20964</v>
      </c>
      <c r="B6867" s="17" t="s">
        <v>20965</v>
      </c>
      <c r="C6867" s="17" t="s">
        <v>11</v>
      </c>
      <c r="D6867" s="17" t="s">
        <v>89</v>
      </c>
      <c r="E6867" s="17" t="s">
        <v>20</v>
      </c>
      <c r="F6867" s="16" t="s">
        <v>20966</v>
      </c>
    </row>
    <row r="6868" spans="1:6" x14ac:dyDescent="0.25">
      <c r="A6868" s="16" t="s">
        <v>20967</v>
      </c>
      <c r="B6868" s="17" t="s">
        <v>20968</v>
      </c>
      <c r="C6868" s="17" t="s">
        <v>11</v>
      </c>
      <c r="D6868" s="17" t="s">
        <v>74</v>
      </c>
      <c r="E6868" s="17" t="s">
        <v>20</v>
      </c>
      <c r="F6868" s="16" t="s">
        <v>20969</v>
      </c>
    </row>
    <row r="6869" spans="1:6" x14ac:dyDescent="0.25">
      <c r="A6869" s="16" t="s">
        <v>20970</v>
      </c>
      <c r="B6869" s="17" t="s">
        <v>20971</v>
      </c>
      <c r="C6869" s="17" t="s">
        <v>11</v>
      </c>
      <c r="D6869" s="17" t="s">
        <v>570</v>
      </c>
      <c r="E6869" s="17" t="s">
        <v>20</v>
      </c>
      <c r="F6869" s="16" t="s">
        <v>20972</v>
      </c>
    </row>
    <row r="6870" spans="1:6" x14ac:dyDescent="0.25">
      <c r="A6870" s="16" t="s">
        <v>20973</v>
      </c>
      <c r="B6870" s="17" t="s">
        <v>20974</v>
      </c>
      <c r="C6870" s="17" t="s">
        <v>11</v>
      </c>
      <c r="D6870" s="17" t="s">
        <v>68</v>
      </c>
      <c r="E6870" s="17" t="s">
        <v>20</v>
      </c>
      <c r="F6870" s="16" t="s">
        <v>20975</v>
      </c>
    </row>
    <row r="6871" spans="1:6" x14ac:dyDescent="0.25">
      <c r="A6871" s="16" t="s">
        <v>20976</v>
      </c>
      <c r="B6871" s="17" t="s">
        <v>20977</v>
      </c>
      <c r="C6871" s="17" t="s">
        <v>11</v>
      </c>
      <c r="D6871" s="17" t="s">
        <v>26</v>
      </c>
      <c r="E6871" s="17" t="s">
        <v>20</v>
      </c>
      <c r="F6871" s="16" t="s">
        <v>20978</v>
      </c>
    </row>
    <row r="6872" spans="1:6" x14ac:dyDescent="0.25">
      <c r="A6872" s="16" t="s">
        <v>20979</v>
      </c>
      <c r="B6872" s="17" t="s">
        <v>20980</v>
      </c>
      <c r="C6872" s="17" t="s">
        <v>11</v>
      </c>
      <c r="D6872" s="17" t="s">
        <v>32</v>
      </c>
      <c r="E6872" s="17" t="s">
        <v>20</v>
      </c>
      <c r="F6872" s="16" t="s">
        <v>20981</v>
      </c>
    </row>
    <row r="6873" spans="1:6" x14ac:dyDescent="0.25">
      <c r="A6873" s="16" t="s">
        <v>20982</v>
      </c>
      <c r="B6873" s="17" t="s">
        <v>20983</v>
      </c>
      <c r="C6873" s="17" t="s">
        <v>11</v>
      </c>
      <c r="D6873" s="17" t="s">
        <v>19</v>
      </c>
      <c r="E6873" s="17" t="s">
        <v>20</v>
      </c>
      <c r="F6873" s="16" t="s">
        <v>20984</v>
      </c>
    </row>
    <row r="6874" spans="1:6" x14ac:dyDescent="0.25">
      <c r="A6874" s="16" t="s">
        <v>20985</v>
      </c>
      <c r="B6874" s="17" t="s">
        <v>20986</v>
      </c>
      <c r="C6874" s="17" t="s">
        <v>11</v>
      </c>
      <c r="D6874" s="17" t="s">
        <v>26</v>
      </c>
      <c r="E6874" s="17" t="s">
        <v>20</v>
      </c>
      <c r="F6874" s="16" t="s">
        <v>20987</v>
      </c>
    </row>
    <row r="6875" spans="1:6" x14ac:dyDescent="0.25">
      <c r="A6875" s="16" t="s">
        <v>20988</v>
      </c>
      <c r="B6875" s="17" t="s">
        <v>20989</v>
      </c>
      <c r="C6875" s="17" t="s">
        <v>11</v>
      </c>
      <c r="D6875" s="17" t="s">
        <v>32</v>
      </c>
      <c r="E6875" s="17" t="s">
        <v>20</v>
      </c>
      <c r="F6875" s="16" t="s">
        <v>20990</v>
      </c>
    </row>
    <row r="6876" spans="1:6" x14ac:dyDescent="0.25">
      <c r="A6876" s="16" t="s">
        <v>20991</v>
      </c>
      <c r="B6876" s="17" t="s">
        <v>20992</v>
      </c>
      <c r="C6876" s="17" t="s">
        <v>11</v>
      </c>
      <c r="D6876" s="17" t="s">
        <v>148</v>
      </c>
      <c r="E6876" s="17" t="s">
        <v>20</v>
      </c>
      <c r="F6876" s="16" t="s">
        <v>20993</v>
      </c>
    </row>
    <row r="6877" spans="1:6" x14ac:dyDescent="0.25">
      <c r="A6877" s="16" t="s">
        <v>20994</v>
      </c>
      <c r="B6877" s="17" t="s">
        <v>20995</v>
      </c>
      <c r="C6877" s="17" t="s">
        <v>11</v>
      </c>
      <c r="D6877" s="17" t="s">
        <v>26</v>
      </c>
      <c r="E6877" s="17" t="s">
        <v>20</v>
      </c>
      <c r="F6877" s="16" t="s">
        <v>20996</v>
      </c>
    </row>
    <row r="6878" spans="1:6" x14ac:dyDescent="0.25">
      <c r="A6878" s="16" t="s">
        <v>20997</v>
      </c>
      <c r="B6878" s="17" t="s">
        <v>20998</v>
      </c>
      <c r="C6878" s="17" t="s">
        <v>214</v>
      </c>
      <c r="D6878" s="17" t="s">
        <v>182</v>
      </c>
      <c r="E6878" s="17" t="s">
        <v>20</v>
      </c>
      <c r="F6878" s="16" t="s">
        <v>20999</v>
      </c>
    </row>
    <row r="6879" spans="1:6" x14ac:dyDescent="0.25">
      <c r="A6879" s="16" t="s">
        <v>21000</v>
      </c>
      <c r="B6879" s="17" t="s">
        <v>21001</v>
      </c>
      <c r="C6879" s="17" t="s">
        <v>11</v>
      </c>
      <c r="D6879" s="17" t="s">
        <v>544</v>
      </c>
      <c r="E6879" s="17" t="s">
        <v>20</v>
      </c>
      <c r="F6879" s="16" t="s">
        <v>21002</v>
      </c>
    </row>
    <row r="6880" spans="1:6" x14ac:dyDescent="0.25">
      <c r="A6880" s="16" t="s">
        <v>21003</v>
      </c>
      <c r="B6880" s="17" t="s">
        <v>21004</v>
      </c>
      <c r="C6880" s="17" t="s">
        <v>11</v>
      </c>
      <c r="D6880" s="17" t="s">
        <v>83</v>
      </c>
      <c r="E6880" s="17" t="s">
        <v>20</v>
      </c>
      <c r="F6880" s="16" t="s">
        <v>21005</v>
      </c>
    </row>
    <row r="6881" spans="1:6" x14ac:dyDescent="0.25">
      <c r="A6881" s="16" t="s">
        <v>21006</v>
      </c>
      <c r="B6881" s="17" t="s">
        <v>21007</v>
      </c>
      <c r="C6881" s="17" t="s">
        <v>11</v>
      </c>
      <c r="D6881" s="17" t="s">
        <v>83</v>
      </c>
      <c r="E6881" s="17" t="s">
        <v>20</v>
      </c>
      <c r="F6881" s="16" t="s">
        <v>21008</v>
      </c>
    </row>
    <row r="6882" spans="1:6" x14ac:dyDescent="0.25">
      <c r="A6882" s="16" t="s">
        <v>21009</v>
      </c>
      <c r="B6882" s="17" t="s">
        <v>21010</v>
      </c>
      <c r="C6882" s="17" t="s">
        <v>11</v>
      </c>
      <c r="D6882" s="17" t="s">
        <v>32</v>
      </c>
      <c r="E6882" s="17" t="s">
        <v>20</v>
      </c>
      <c r="F6882" s="16" t="s">
        <v>21011</v>
      </c>
    </row>
    <row r="6883" spans="1:6" x14ac:dyDescent="0.25">
      <c r="A6883" s="16" t="s">
        <v>21012</v>
      </c>
      <c r="B6883" s="17" t="s">
        <v>21013</v>
      </c>
      <c r="C6883" s="17" t="s">
        <v>11</v>
      </c>
      <c r="D6883" s="17" t="s">
        <v>32</v>
      </c>
      <c r="E6883" s="17" t="s">
        <v>20</v>
      </c>
      <c r="F6883" s="16" t="s">
        <v>21014</v>
      </c>
    </row>
    <row r="6884" spans="1:6" x14ac:dyDescent="0.25">
      <c r="A6884" s="16" t="s">
        <v>21015</v>
      </c>
      <c r="B6884" s="17" t="s">
        <v>21016</v>
      </c>
      <c r="C6884" s="17" t="s">
        <v>11</v>
      </c>
      <c r="D6884" s="17" t="s">
        <v>32</v>
      </c>
      <c r="E6884" s="17" t="s">
        <v>20</v>
      </c>
      <c r="F6884" s="16" t="s">
        <v>21017</v>
      </c>
    </row>
    <row r="6885" spans="1:6" x14ac:dyDescent="0.25">
      <c r="A6885" s="16" t="s">
        <v>21018</v>
      </c>
      <c r="B6885" s="17" t="s">
        <v>21019</v>
      </c>
      <c r="C6885" s="17" t="s">
        <v>11</v>
      </c>
      <c r="D6885" s="17" t="s">
        <v>83</v>
      </c>
      <c r="E6885" s="17" t="s">
        <v>20</v>
      </c>
      <c r="F6885" s="16" t="s">
        <v>21020</v>
      </c>
    </row>
    <row r="6886" spans="1:6" x14ac:dyDescent="0.25">
      <c r="A6886" s="16" t="s">
        <v>21021</v>
      </c>
      <c r="B6886" s="17" t="s">
        <v>21022</v>
      </c>
      <c r="C6886" s="17" t="s">
        <v>11</v>
      </c>
      <c r="D6886" s="17" t="s">
        <v>32</v>
      </c>
      <c r="E6886" s="17" t="s">
        <v>20</v>
      </c>
      <c r="F6886" s="16" t="s">
        <v>21023</v>
      </c>
    </row>
    <row r="6887" spans="1:6" x14ac:dyDescent="0.25">
      <c r="A6887" s="16" t="s">
        <v>21024</v>
      </c>
      <c r="B6887" s="17" t="s">
        <v>21025</v>
      </c>
      <c r="C6887" s="17" t="s">
        <v>11</v>
      </c>
      <c r="D6887" s="17" t="s">
        <v>83</v>
      </c>
      <c r="E6887" s="17" t="s">
        <v>20</v>
      </c>
      <c r="F6887" s="16" t="s">
        <v>21026</v>
      </c>
    </row>
    <row r="6888" spans="1:6" x14ac:dyDescent="0.25">
      <c r="A6888" s="16" t="s">
        <v>21027</v>
      </c>
      <c r="B6888" s="17" t="s">
        <v>21028</v>
      </c>
      <c r="C6888" s="17" t="s">
        <v>11</v>
      </c>
      <c r="D6888" s="17" t="s">
        <v>74</v>
      </c>
      <c r="E6888" s="17" t="s">
        <v>20</v>
      </c>
      <c r="F6888" s="16" t="s">
        <v>21029</v>
      </c>
    </row>
    <row r="6889" spans="1:6" x14ac:dyDescent="0.25">
      <c r="A6889" s="16" t="s">
        <v>21030</v>
      </c>
      <c r="B6889" s="17" t="s">
        <v>21031</v>
      </c>
      <c r="C6889" s="17" t="s">
        <v>11</v>
      </c>
      <c r="D6889" s="17" t="s">
        <v>32</v>
      </c>
      <c r="E6889" s="17" t="s">
        <v>20</v>
      </c>
      <c r="F6889" s="16" t="s">
        <v>21032</v>
      </c>
    </row>
    <row r="6890" spans="1:6" x14ac:dyDescent="0.25">
      <c r="A6890" s="16" t="s">
        <v>21033</v>
      </c>
      <c r="B6890" s="17" t="s">
        <v>21034</v>
      </c>
      <c r="C6890" s="17" t="s">
        <v>11</v>
      </c>
      <c r="D6890" s="17" t="s">
        <v>32</v>
      </c>
      <c r="E6890" s="17" t="s">
        <v>20</v>
      </c>
      <c r="F6890" s="16" t="s">
        <v>21035</v>
      </c>
    </row>
    <row r="6891" spans="1:6" x14ac:dyDescent="0.25">
      <c r="A6891" s="16" t="s">
        <v>21036</v>
      </c>
      <c r="B6891" s="17" t="s">
        <v>21037</v>
      </c>
      <c r="C6891" s="17" t="s">
        <v>11</v>
      </c>
      <c r="D6891" s="17" t="s">
        <v>32</v>
      </c>
      <c r="E6891" s="17" t="s">
        <v>20</v>
      </c>
      <c r="F6891" s="16" t="s">
        <v>21038</v>
      </c>
    </row>
    <row r="6892" spans="1:6" x14ac:dyDescent="0.25">
      <c r="A6892" s="16" t="s">
        <v>21039</v>
      </c>
      <c r="B6892" s="17" t="s">
        <v>21040</v>
      </c>
      <c r="C6892" s="17" t="s">
        <v>11</v>
      </c>
      <c r="D6892" s="17" t="s">
        <v>32</v>
      </c>
      <c r="E6892" s="17" t="s">
        <v>20</v>
      </c>
      <c r="F6892" s="16" t="s">
        <v>21041</v>
      </c>
    </row>
    <row r="6893" spans="1:6" x14ac:dyDescent="0.25">
      <c r="A6893" s="16" t="s">
        <v>21042</v>
      </c>
      <c r="B6893" s="17" t="s">
        <v>21043</v>
      </c>
      <c r="C6893" s="17" t="s">
        <v>11</v>
      </c>
      <c r="D6893" s="17" t="s">
        <v>83</v>
      </c>
      <c r="E6893" s="17" t="s">
        <v>20</v>
      </c>
      <c r="F6893" s="16" t="s">
        <v>21044</v>
      </c>
    </row>
    <row r="6894" spans="1:6" x14ac:dyDescent="0.25">
      <c r="A6894" s="16" t="s">
        <v>21045</v>
      </c>
      <c r="B6894" s="17" t="s">
        <v>21046</v>
      </c>
      <c r="C6894" s="17" t="s">
        <v>11</v>
      </c>
      <c r="D6894" s="17" t="s">
        <v>32</v>
      </c>
      <c r="E6894" s="17" t="s">
        <v>20</v>
      </c>
      <c r="F6894" s="16" t="s">
        <v>21047</v>
      </c>
    </row>
    <row r="6895" spans="1:6" x14ac:dyDescent="0.25">
      <c r="A6895" s="16" t="s">
        <v>21048</v>
      </c>
      <c r="B6895" s="17" t="s">
        <v>21049</v>
      </c>
      <c r="C6895" s="17" t="s">
        <v>11</v>
      </c>
      <c r="D6895" s="17" t="s">
        <v>182</v>
      </c>
      <c r="E6895" s="17" t="s">
        <v>20</v>
      </c>
      <c r="F6895" s="16" t="s">
        <v>21050</v>
      </c>
    </row>
    <row r="6896" spans="1:6" x14ac:dyDescent="0.25">
      <c r="A6896" s="16" t="s">
        <v>21051</v>
      </c>
      <c r="B6896" s="17" t="s">
        <v>21052</v>
      </c>
      <c r="C6896" s="17" t="s">
        <v>11</v>
      </c>
      <c r="D6896" s="17" t="s">
        <v>32</v>
      </c>
      <c r="E6896" s="17" t="s">
        <v>20</v>
      </c>
      <c r="F6896" s="16" t="s">
        <v>21053</v>
      </c>
    </row>
    <row r="6897" spans="1:6" x14ac:dyDescent="0.25">
      <c r="A6897" s="16" t="s">
        <v>21054</v>
      </c>
      <c r="B6897" s="17" t="s">
        <v>21055</v>
      </c>
      <c r="C6897" s="17" t="s">
        <v>11</v>
      </c>
      <c r="D6897" s="17" t="s">
        <v>570</v>
      </c>
      <c r="E6897" s="17" t="s">
        <v>20</v>
      </c>
      <c r="F6897" s="16" t="s">
        <v>21056</v>
      </c>
    </row>
    <row r="6898" spans="1:6" x14ac:dyDescent="0.25">
      <c r="A6898" s="16" t="s">
        <v>21057</v>
      </c>
      <c r="B6898" s="17" t="s">
        <v>21058</v>
      </c>
      <c r="C6898" s="17" t="s">
        <v>11</v>
      </c>
      <c r="D6898" s="17" t="s">
        <v>148</v>
      </c>
      <c r="E6898" s="17" t="s">
        <v>20</v>
      </c>
      <c r="F6898" s="16" t="s">
        <v>21059</v>
      </c>
    </row>
    <row r="6899" spans="1:6" x14ac:dyDescent="0.25">
      <c r="A6899" s="16" t="s">
        <v>21060</v>
      </c>
      <c r="B6899" s="17" t="s">
        <v>21061</v>
      </c>
      <c r="C6899" s="17" t="s">
        <v>11</v>
      </c>
      <c r="D6899" s="17" t="s">
        <v>32</v>
      </c>
      <c r="E6899" s="17" t="s">
        <v>20</v>
      </c>
      <c r="F6899" s="16" t="s">
        <v>21062</v>
      </c>
    </row>
    <row r="6900" spans="1:6" x14ac:dyDescent="0.25">
      <c r="A6900" s="16" t="s">
        <v>21063</v>
      </c>
      <c r="B6900" s="17" t="s">
        <v>21064</v>
      </c>
      <c r="C6900" s="17" t="s">
        <v>11</v>
      </c>
      <c r="D6900" s="17" t="s">
        <v>26</v>
      </c>
      <c r="E6900" s="17" t="s">
        <v>20</v>
      </c>
      <c r="F6900" s="16" t="s">
        <v>21065</v>
      </c>
    </row>
    <row r="6901" spans="1:6" x14ac:dyDescent="0.25">
      <c r="A6901" s="16" t="s">
        <v>21066</v>
      </c>
      <c r="B6901" s="17" t="s">
        <v>21067</v>
      </c>
      <c r="C6901" s="17" t="s">
        <v>11</v>
      </c>
      <c r="D6901" s="17" t="s">
        <v>250</v>
      </c>
      <c r="E6901" s="17" t="s">
        <v>20</v>
      </c>
      <c r="F6901" s="16" t="s">
        <v>21068</v>
      </c>
    </row>
    <row r="6902" spans="1:6" x14ac:dyDescent="0.25">
      <c r="A6902" s="16" t="s">
        <v>21069</v>
      </c>
      <c r="B6902" s="17" t="s">
        <v>21070</v>
      </c>
      <c r="C6902" s="17" t="s">
        <v>11</v>
      </c>
      <c r="D6902" s="17" t="s">
        <v>32</v>
      </c>
      <c r="E6902" s="17" t="s">
        <v>20</v>
      </c>
      <c r="F6902" s="16" t="s">
        <v>21071</v>
      </c>
    </row>
    <row r="6903" spans="1:6" x14ac:dyDescent="0.25">
      <c r="A6903" s="16" t="s">
        <v>21072</v>
      </c>
      <c r="B6903" s="17" t="s">
        <v>21073</v>
      </c>
      <c r="C6903" s="17" t="s">
        <v>11</v>
      </c>
      <c r="D6903" s="17" t="s">
        <v>26</v>
      </c>
      <c r="E6903" s="17" t="s">
        <v>20</v>
      </c>
      <c r="F6903" s="16" t="s">
        <v>21074</v>
      </c>
    </row>
    <row r="6904" spans="1:6" x14ac:dyDescent="0.25">
      <c r="A6904" s="16" t="s">
        <v>21075</v>
      </c>
      <c r="B6904" s="17" t="s">
        <v>21076</v>
      </c>
      <c r="C6904" s="17" t="s">
        <v>214</v>
      </c>
      <c r="D6904" s="17" t="s">
        <v>148</v>
      </c>
      <c r="E6904" s="17" t="s">
        <v>20</v>
      </c>
      <c r="F6904" s="16" t="s">
        <v>21077</v>
      </c>
    </row>
    <row r="6905" spans="1:6" x14ac:dyDescent="0.25">
      <c r="A6905" s="16" t="s">
        <v>21078</v>
      </c>
      <c r="B6905" s="17" t="s">
        <v>21079</v>
      </c>
      <c r="C6905" s="17" t="s">
        <v>11</v>
      </c>
      <c r="D6905" s="17" t="s">
        <v>148</v>
      </c>
      <c r="E6905" s="17" t="s">
        <v>20</v>
      </c>
      <c r="F6905" s="16" t="s">
        <v>21080</v>
      </c>
    </row>
    <row r="6906" spans="1:6" x14ac:dyDescent="0.25">
      <c r="A6906" s="16" t="s">
        <v>21081</v>
      </c>
      <c r="B6906" s="17" t="s">
        <v>21082</v>
      </c>
      <c r="C6906" s="17" t="s">
        <v>11</v>
      </c>
      <c r="D6906" s="17" t="s">
        <v>80</v>
      </c>
      <c r="E6906" s="17" t="s">
        <v>20</v>
      </c>
      <c r="F6906" s="16" t="s">
        <v>21083</v>
      </c>
    </row>
    <row r="6907" spans="1:6" x14ac:dyDescent="0.25">
      <c r="A6907" s="16" t="s">
        <v>21084</v>
      </c>
      <c r="B6907" s="17" t="s">
        <v>21085</v>
      </c>
      <c r="C6907" s="17" t="s">
        <v>11</v>
      </c>
      <c r="D6907" s="17" t="s">
        <v>32</v>
      </c>
      <c r="E6907" s="17" t="s">
        <v>20</v>
      </c>
      <c r="F6907" s="16" t="s">
        <v>21086</v>
      </c>
    </row>
    <row r="6908" spans="1:6" x14ac:dyDescent="0.25">
      <c r="A6908" s="16" t="s">
        <v>21087</v>
      </c>
      <c r="B6908" s="17" t="s">
        <v>21088</v>
      </c>
      <c r="C6908" s="17" t="s">
        <v>11</v>
      </c>
      <c r="D6908" s="17" t="s">
        <v>89</v>
      </c>
      <c r="E6908" s="17" t="s">
        <v>20</v>
      </c>
      <c r="F6908" s="16" t="s">
        <v>21089</v>
      </c>
    </row>
    <row r="6909" spans="1:6" x14ac:dyDescent="0.25">
      <c r="A6909" s="16" t="s">
        <v>21090</v>
      </c>
      <c r="B6909" s="17" t="s">
        <v>21091</v>
      </c>
      <c r="C6909" s="17" t="s">
        <v>11</v>
      </c>
      <c r="D6909" s="17" t="s">
        <v>32</v>
      </c>
      <c r="E6909" s="17" t="s">
        <v>20</v>
      </c>
      <c r="F6909" s="16" t="s">
        <v>21092</v>
      </c>
    </row>
    <row r="6910" spans="1:6" x14ac:dyDescent="0.25">
      <c r="A6910" s="16" t="s">
        <v>21093</v>
      </c>
      <c r="B6910" s="17" t="s">
        <v>21094</v>
      </c>
      <c r="C6910" s="17" t="s">
        <v>11</v>
      </c>
      <c r="D6910" s="17" t="s">
        <v>68</v>
      </c>
      <c r="E6910" s="17" t="s">
        <v>20</v>
      </c>
      <c r="F6910" s="16" t="s">
        <v>21095</v>
      </c>
    </row>
    <row r="6911" spans="1:6" x14ac:dyDescent="0.25">
      <c r="A6911" s="16" t="s">
        <v>21096</v>
      </c>
      <c r="B6911" s="17" t="s">
        <v>21097</v>
      </c>
      <c r="C6911" s="17" t="s">
        <v>11</v>
      </c>
      <c r="D6911" s="17" t="s">
        <v>32</v>
      </c>
      <c r="E6911" s="17" t="s">
        <v>20</v>
      </c>
      <c r="F6911" s="16" t="s">
        <v>21098</v>
      </c>
    </row>
    <row r="6912" spans="1:6" x14ac:dyDescent="0.25">
      <c r="A6912" s="16" t="s">
        <v>21099</v>
      </c>
      <c r="B6912" s="17" t="s">
        <v>21100</v>
      </c>
      <c r="C6912" s="17" t="s">
        <v>11</v>
      </c>
      <c r="D6912" s="17" t="s">
        <v>32</v>
      </c>
      <c r="E6912" s="17" t="s">
        <v>20</v>
      </c>
      <c r="F6912" s="16" t="s">
        <v>21101</v>
      </c>
    </row>
    <row r="6913" spans="1:6" x14ac:dyDescent="0.25">
      <c r="A6913" s="16" t="s">
        <v>21102</v>
      </c>
      <c r="B6913" s="17" t="s">
        <v>21103</v>
      </c>
      <c r="C6913" s="17" t="s">
        <v>11</v>
      </c>
      <c r="D6913" s="17" t="s">
        <v>26</v>
      </c>
      <c r="E6913" s="17" t="s">
        <v>20</v>
      </c>
      <c r="F6913" s="16" t="s">
        <v>21104</v>
      </c>
    </row>
    <row r="6914" spans="1:6" x14ac:dyDescent="0.25">
      <c r="A6914" s="16" t="s">
        <v>21105</v>
      </c>
      <c r="B6914" s="17" t="s">
        <v>21106</v>
      </c>
      <c r="C6914" s="17" t="s">
        <v>11</v>
      </c>
      <c r="D6914" s="17" t="s">
        <v>32</v>
      </c>
      <c r="E6914" s="17" t="s">
        <v>20</v>
      </c>
      <c r="F6914" s="16" t="s">
        <v>21107</v>
      </c>
    </row>
    <row r="6915" spans="1:6" x14ac:dyDescent="0.25">
      <c r="A6915" s="16" t="s">
        <v>21108</v>
      </c>
      <c r="B6915" s="17" t="s">
        <v>21109</v>
      </c>
      <c r="C6915" s="17" t="s">
        <v>11</v>
      </c>
      <c r="D6915" s="17" t="s">
        <v>32</v>
      </c>
      <c r="E6915" s="17" t="s">
        <v>20</v>
      </c>
      <c r="F6915" s="16" t="s">
        <v>21110</v>
      </c>
    </row>
    <row r="6916" spans="1:6" x14ac:dyDescent="0.25">
      <c r="A6916" s="16" t="s">
        <v>21111</v>
      </c>
      <c r="B6916" s="17" t="s">
        <v>21112</v>
      </c>
      <c r="C6916" s="17" t="s">
        <v>11</v>
      </c>
      <c r="D6916" s="17" t="s">
        <v>32</v>
      </c>
      <c r="E6916" s="17" t="s">
        <v>20</v>
      </c>
      <c r="F6916" s="16" t="s">
        <v>21113</v>
      </c>
    </row>
    <row r="6917" spans="1:6" x14ac:dyDescent="0.25">
      <c r="A6917" s="16" t="s">
        <v>21114</v>
      </c>
      <c r="B6917" s="17" t="s">
        <v>21115</v>
      </c>
      <c r="C6917" s="17" t="s">
        <v>11</v>
      </c>
      <c r="D6917" s="17" t="s">
        <v>80</v>
      </c>
      <c r="E6917" s="17" t="s">
        <v>20</v>
      </c>
      <c r="F6917" s="16" t="s">
        <v>21116</v>
      </c>
    </row>
    <row r="6918" spans="1:6" x14ac:dyDescent="0.25">
      <c r="A6918" s="16" t="s">
        <v>21117</v>
      </c>
      <c r="B6918" s="17" t="s">
        <v>21118</v>
      </c>
      <c r="C6918" s="17" t="s">
        <v>11</v>
      </c>
      <c r="D6918" s="17" t="s">
        <v>26</v>
      </c>
      <c r="E6918" s="17" t="s">
        <v>20</v>
      </c>
      <c r="F6918" s="16" t="s">
        <v>21119</v>
      </c>
    </row>
    <row r="6919" spans="1:6" x14ac:dyDescent="0.25">
      <c r="A6919" s="16" t="s">
        <v>21120</v>
      </c>
      <c r="B6919" s="17" t="s">
        <v>21121</v>
      </c>
      <c r="C6919" s="17" t="s">
        <v>11</v>
      </c>
      <c r="D6919" s="17" t="s">
        <v>26</v>
      </c>
      <c r="E6919" s="17" t="s">
        <v>20</v>
      </c>
      <c r="F6919" s="16" t="s">
        <v>21122</v>
      </c>
    </row>
    <row r="6920" spans="1:6" x14ac:dyDescent="0.25">
      <c r="A6920" s="16" t="s">
        <v>21123</v>
      </c>
      <c r="B6920" s="17" t="s">
        <v>21124</v>
      </c>
      <c r="C6920" s="17" t="s">
        <v>11</v>
      </c>
      <c r="D6920" s="17" t="s">
        <v>148</v>
      </c>
      <c r="E6920" s="17" t="s">
        <v>20</v>
      </c>
      <c r="F6920" s="16" t="s">
        <v>21125</v>
      </c>
    </row>
    <row r="6921" spans="1:6" x14ac:dyDescent="0.25">
      <c r="A6921" s="16" t="s">
        <v>21126</v>
      </c>
      <c r="B6921" s="17" t="s">
        <v>21127</v>
      </c>
      <c r="C6921" s="17" t="s">
        <v>11</v>
      </c>
      <c r="D6921" s="17" t="s">
        <v>32</v>
      </c>
      <c r="E6921" s="17" t="s">
        <v>20</v>
      </c>
      <c r="F6921" s="16" t="s">
        <v>21128</v>
      </c>
    </row>
    <row r="6922" spans="1:6" x14ac:dyDescent="0.25">
      <c r="A6922" s="16" t="s">
        <v>21129</v>
      </c>
      <c r="B6922" s="17" t="s">
        <v>21130</v>
      </c>
      <c r="C6922" s="17" t="s">
        <v>11</v>
      </c>
      <c r="D6922" s="17" t="s">
        <v>32</v>
      </c>
      <c r="E6922" s="17" t="s">
        <v>20</v>
      </c>
      <c r="F6922" s="16" t="s">
        <v>21131</v>
      </c>
    </row>
    <row r="6923" spans="1:6" x14ac:dyDescent="0.25">
      <c r="A6923" s="16" t="s">
        <v>21132</v>
      </c>
      <c r="B6923" s="17" t="s">
        <v>21133</v>
      </c>
      <c r="C6923" s="17" t="s">
        <v>11</v>
      </c>
      <c r="D6923" s="17" t="s">
        <v>148</v>
      </c>
      <c r="E6923" s="17" t="s">
        <v>20</v>
      </c>
      <c r="F6923" s="16" t="s">
        <v>21134</v>
      </c>
    </row>
    <row r="6924" spans="1:6" x14ac:dyDescent="0.25">
      <c r="A6924" s="16" t="s">
        <v>21135</v>
      </c>
      <c r="B6924" s="17" t="s">
        <v>21136</v>
      </c>
      <c r="C6924" s="17" t="s">
        <v>11</v>
      </c>
      <c r="D6924" s="17" t="s">
        <v>80</v>
      </c>
      <c r="E6924" s="17" t="s">
        <v>20</v>
      </c>
      <c r="F6924" s="16" t="s">
        <v>21137</v>
      </c>
    </row>
    <row r="6925" spans="1:6" x14ac:dyDescent="0.25">
      <c r="A6925" s="16" t="s">
        <v>21138</v>
      </c>
      <c r="B6925" s="17" t="s">
        <v>21139</v>
      </c>
      <c r="C6925" s="17" t="s">
        <v>11</v>
      </c>
      <c r="D6925" s="17" t="s">
        <v>26</v>
      </c>
      <c r="E6925" s="17" t="s">
        <v>20</v>
      </c>
      <c r="F6925" s="16" t="s">
        <v>21140</v>
      </c>
    </row>
    <row r="6926" spans="1:6" x14ac:dyDescent="0.25">
      <c r="A6926" s="16" t="s">
        <v>21141</v>
      </c>
      <c r="B6926" s="17" t="s">
        <v>21142</v>
      </c>
      <c r="C6926" s="17" t="s">
        <v>359</v>
      </c>
      <c r="D6926" s="17" t="s">
        <v>83</v>
      </c>
      <c r="E6926" s="17" t="s">
        <v>20</v>
      </c>
      <c r="F6926" s="16" t="s">
        <v>21143</v>
      </c>
    </row>
    <row r="6927" spans="1:6" x14ac:dyDescent="0.25">
      <c r="A6927" s="16" t="s">
        <v>21144</v>
      </c>
      <c r="B6927" s="17" t="s">
        <v>21145</v>
      </c>
      <c r="C6927" s="17" t="s">
        <v>11</v>
      </c>
      <c r="D6927" s="17" t="s">
        <v>32</v>
      </c>
      <c r="E6927" s="17" t="s">
        <v>20</v>
      </c>
      <c r="F6927" s="16" t="s">
        <v>21146</v>
      </c>
    </row>
    <row r="6928" spans="1:6" x14ac:dyDescent="0.25">
      <c r="A6928" s="16" t="s">
        <v>21147</v>
      </c>
      <c r="B6928" s="17" t="s">
        <v>21148</v>
      </c>
      <c r="C6928" s="17" t="s">
        <v>11</v>
      </c>
      <c r="D6928" s="17" t="s">
        <v>89</v>
      </c>
      <c r="E6928" s="17" t="s">
        <v>20</v>
      </c>
      <c r="F6928" s="16" t="s">
        <v>21149</v>
      </c>
    </row>
    <row r="6929" spans="1:6" x14ac:dyDescent="0.25">
      <c r="A6929" s="16" t="s">
        <v>21150</v>
      </c>
      <c r="B6929" s="17" t="s">
        <v>21151</v>
      </c>
      <c r="C6929" s="17" t="s">
        <v>11</v>
      </c>
      <c r="D6929" s="17" t="s">
        <v>32</v>
      </c>
      <c r="E6929" s="17" t="s">
        <v>20</v>
      </c>
      <c r="F6929" s="16" t="s">
        <v>21152</v>
      </c>
    </row>
    <row r="6930" spans="1:6" x14ac:dyDescent="0.25">
      <c r="A6930" s="16" t="s">
        <v>21153</v>
      </c>
      <c r="B6930" s="17" t="s">
        <v>21154</v>
      </c>
      <c r="C6930" s="17" t="s">
        <v>11</v>
      </c>
      <c r="D6930" s="17" t="s">
        <v>32</v>
      </c>
      <c r="E6930" s="17" t="s">
        <v>20</v>
      </c>
      <c r="F6930" s="16" t="s">
        <v>21155</v>
      </c>
    </row>
    <row r="6931" spans="1:6" x14ac:dyDescent="0.25">
      <c r="A6931" s="16" t="s">
        <v>21156</v>
      </c>
      <c r="B6931" s="17" t="s">
        <v>21157</v>
      </c>
      <c r="C6931" s="17" t="s">
        <v>11</v>
      </c>
      <c r="D6931" s="17" t="s">
        <v>148</v>
      </c>
      <c r="E6931" s="17" t="s">
        <v>20</v>
      </c>
      <c r="F6931" s="16" t="s">
        <v>21158</v>
      </c>
    </row>
    <row r="6932" spans="1:6" x14ac:dyDescent="0.25">
      <c r="A6932" s="16" t="s">
        <v>21159</v>
      </c>
      <c r="B6932" s="17" t="s">
        <v>21160</v>
      </c>
      <c r="C6932" s="17" t="s">
        <v>11</v>
      </c>
      <c r="D6932" s="17" t="s">
        <v>32</v>
      </c>
      <c r="E6932" s="17" t="s">
        <v>20</v>
      </c>
      <c r="F6932" s="16" t="s">
        <v>21161</v>
      </c>
    </row>
    <row r="6933" spans="1:6" x14ac:dyDescent="0.25">
      <c r="A6933" s="16" t="s">
        <v>21162</v>
      </c>
      <c r="B6933" s="17" t="s">
        <v>21163</v>
      </c>
      <c r="C6933" s="17" t="s">
        <v>11</v>
      </c>
      <c r="D6933" s="17" t="s">
        <v>570</v>
      </c>
      <c r="E6933" s="17" t="s">
        <v>20</v>
      </c>
      <c r="F6933" s="16" t="s">
        <v>21164</v>
      </c>
    </row>
    <row r="6934" spans="1:6" x14ac:dyDescent="0.25">
      <c r="A6934" s="16" t="s">
        <v>21165</v>
      </c>
      <c r="B6934" s="17" t="s">
        <v>21166</v>
      </c>
      <c r="C6934" s="17" t="s">
        <v>11</v>
      </c>
      <c r="D6934" s="17" t="s">
        <v>32</v>
      </c>
      <c r="E6934" s="17" t="s">
        <v>20</v>
      </c>
      <c r="F6934" s="16" t="s">
        <v>21167</v>
      </c>
    </row>
    <row r="6935" spans="1:6" x14ac:dyDescent="0.25">
      <c r="A6935" s="16" t="s">
        <v>21168</v>
      </c>
      <c r="B6935" s="17" t="s">
        <v>21169</v>
      </c>
      <c r="C6935" s="17" t="s">
        <v>11</v>
      </c>
      <c r="D6935" s="17" t="s">
        <v>26</v>
      </c>
      <c r="E6935" s="17" t="s">
        <v>20</v>
      </c>
      <c r="F6935" s="16" t="s">
        <v>21170</v>
      </c>
    </row>
    <row r="6936" spans="1:6" x14ac:dyDescent="0.25">
      <c r="A6936" s="16" t="s">
        <v>21171</v>
      </c>
      <c r="B6936" s="17" t="s">
        <v>21172</v>
      </c>
      <c r="C6936" s="17" t="s">
        <v>11</v>
      </c>
      <c r="D6936" s="17" t="s">
        <v>26</v>
      </c>
      <c r="E6936" s="17" t="s">
        <v>20</v>
      </c>
      <c r="F6936" s="16" t="s">
        <v>21173</v>
      </c>
    </row>
    <row r="6937" spans="1:6" x14ac:dyDescent="0.25">
      <c r="A6937" s="16" t="s">
        <v>21174</v>
      </c>
      <c r="B6937" s="17" t="s">
        <v>21175</v>
      </c>
      <c r="C6937" s="17" t="s">
        <v>11</v>
      </c>
      <c r="D6937" s="17" t="s">
        <v>32</v>
      </c>
      <c r="E6937" s="17" t="s">
        <v>20</v>
      </c>
      <c r="F6937" s="16" t="s">
        <v>21176</v>
      </c>
    </row>
    <row r="6938" spans="1:6" x14ac:dyDescent="0.25">
      <c r="A6938" s="16" t="s">
        <v>21177</v>
      </c>
      <c r="B6938" s="17" t="s">
        <v>21178</v>
      </c>
      <c r="C6938" s="17" t="s">
        <v>11</v>
      </c>
      <c r="D6938" s="17" t="s">
        <v>32</v>
      </c>
      <c r="E6938" s="17" t="s">
        <v>20</v>
      </c>
      <c r="F6938" s="16" t="s">
        <v>21179</v>
      </c>
    </row>
    <row r="6939" spans="1:6" x14ac:dyDescent="0.25">
      <c r="A6939" s="16" t="s">
        <v>21180</v>
      </c>
      <c r="B6939" s="17" t="s">
        <v>21181</v>
      </c>
      <c r="C6939" s="17" t="s">
        <v>11</v>
      </c>
      <c r="D6939" s="17" t="s">
        <v>32</v>
      </c>
      <c r="E6939" s="17" t="s">
        <v>20</v>
      </c>
      <c r="F6939" s="16" t="s">
        <v>21182</v>
      </c>
    </row>
    <row r="6940" spans="1:6" x14ac:dyDescent="0.25">
      <c r="A6940" s="16" t="s">
        <v>21183</v>
      </c>
      <c r="B6940" s="17" t="s">
        <v>21184</v>
      </c>
      <c r="C6940" s="17" t="s">
        <v>11</v>
      </c>
      <c r="D6940" s="17" t="s">
        <v>32</v>
      </c>
      <c r="E6940" s="17" t="s">
        <v>20</v>
      </c>
      <c r="F6940" s="16" t="s">
        <v>21185</v>
      </c>
    </row>
    <row r="6941" spans="1:6" x14ac:dyDescent="0.25">
      <c r="A6941" s="16" t="s">
        <v>21186</v>
      </c>
      <c r="B6941" s="17" t="s">
        <v>21187</v>
      </c>
      <c r="C6941" s="17" t="s">
        <v>11</v>
      </c>
      <c r="D6941" s="17" t="s">
        <v>74</v>
      </c>
      <c r="E6941" s="17" t="s">
        <v>20</v>
      </c>
      <c r="F6941" s="16" t="s">
        <v>21188</v>
      </c>
    </row>
    <row r="6942" spans="1:6" x14ac:dyDescent="0.25">
      <c r="A6942" s="16" t="s">
        <v>21189</v>
      </c>
      <c r="B6942" s="17" t="s">
        <v>21190</v>
      </c>
      <c r="C6942" s="17" t="s">
        <v>11</v>
      </c>
      <c r="D6942" s="17" t="s">
        <v>32</v>
      </c>
      <c r="E6942" s="17" t="s">
        <v>20</v>
      </c>
      <c r="F6942" s="16" t="s">
        <v>21191</v>
      </c>
    </row>
    <row r="6943" spans="1:6" x14ac:dyDescent="0.25">
      <c r="A6943" s="16" t="s">
        <v>21192</v>
      </c>
      <c r="B6943" s="17" t="s">
        <v>21193</v>
      </c>
      <c r="C6943" s="17" t="s">
        <v>11</v>
      </c>
      <c r="D6943" s="17" t="s">
        <v>544</v>
      </c>
      <c r="E6943" s="17" t="s">
        <v>20</v>
      </c>
      <c r="F6943" s="16" t="s">
        <v>21194</v>
      </c>
    </row>
    <row r="6944" spans="1:6" x14ac:dyDescent="0.25">
      <c r="A6944" s="16" t="s">
        <v>21195</v>
      </c>
      <c r="B6944" s="17" t="s">
        <v>21196</v>
      </c>
      <c r="C6944" s="17" t="s">
        <v>11</v>
      </c>
      <c r="D6944" s="17" t="s">
        <v>32</v>
      </c>
      <c r="E6944" s="17" t="s">
        <v>20</v>
      </c>
      <c r="F6944" s="16" t="s">
        <v>21197</v>
      </c>
    </row>
    <row r="6945" spans="1:6" x14ac:dyDescent="0.25">
      <c r="A6945" s="16" t="s">
        <v>21198</v>
      </c>
      <c r="B6945" s="17" t="s">
        <v>21199</v>
      </c>
      <c r="C6945" s="17" t="s">
        <v>11</v>
      </c>
      <c r="D6945" s="17" t="s">
        <v>32</v>
      </c>
      <c r="E6945" s="17" t="s">
        <v>20</v>
      </c>
      <c r="F6945" s="16" t="s">
        <v>21200</v>
      </c>
    </row>
    <row r="6946" spans="1:6" x14ac:dyDescent="0.25">
      <c r="A6946" s="16" t="s">
        <v>21201</v>
      </c>
      <c r="B6946" s="17" t="s">
        <v>21202</v>
      </c>
      <c r="C6946" s="17" t="s">
        <v>11</v>
      </c>
      <c r="D6946" s="17" t="s">
        <v>26</v>
      </c>
      <c r="E6946" s="17" t="s">
        <v>20</v>
      </c>
      <c r="F6946" s="16" t="s">
        <v>21203</v>
      </c>
    </row>
    <row r="6947" spans="1:6" x14ac:dyDescent="0.25">
      <c r="A6947" s="16" t="s">
        <v>21204</v>
      </c>
      <c r="B6947" s="17" t="s">
        <v>21205</v>
      </c>
      <c r="C6947" s="17" t="s">
        <v>11</v>
      </c>
      <c r="D6947" s="17" t="s">
        <v>80</v>
      </c>
      <c r="E6947" s="17" t="s">
        <v>20</v>
      </c>
      <c r="F6947" s="16" t="s">
        <v>21206</v>
      </c>
    </row>
    <row r="6948" spans="1:6" x14ac:dyDescent="0.25">
      <c r="A6948" s="16" t="s">
        <v>21207</v>
      </c>
      <c r="B6948" s="17" t="s">
        <v>21208</v>
      </c>
      <c r="C6948" s="17" t="s">
        <v>11</v>
      </c>
      <c r="D6948" s="17" t="s">
        <v>83</v>
      </c>
      <c r="E6948" s="17" t="s">
        <v>20</v>
      </c>
      <c r="F6948" s="16" t="s">
        <v>21209</v>
      </c>
    </row>
    <row r="6949" spans="1:6" x14ac:dyDescent="0.25">
      <c r="A6949" s="16" t="s">
        <v>21210</v>
      </c>
      <c r="B6949" s="17" t="s">
        <v>21211</v>
      </c>
      <c r="C6949" s="17" t="s">
        <v>11</v>
      </c>
      <c r="D6949" s="17" t="s">
        <v>32</v>
      </c>
      <c r="E6949" s="17" t="s">
        <v>20</v>
      </c>
      <c r="F6949" s="16" t="s">
        <v>21212</v>
      </c>
    </row>
    <row r="6950" spans="1:6" x14ac:dyDescent="0.25">
      <c r="A6950" s="16" t="s">
        <v>21213</v>
      </c>
      <c r="B6950" s="17" t="s">
        <v>21214</v>
      </c>
      <c r="C6950" s="17" t="s">
        <v>11</v>
      </c>
      <c r="D6950" s="17" t="s">
        <v>32</v>
      </c>
      <c r="E6950" s="17" t="s">
        <v>20</v>
      </c>
      <c r="F6950" s="16" t="s">
        <v>21215</v>
      </c>
    </row>
    <row r="6951" spans="1:6" x14ac:dyDescent="0.25">
      <c r="A6951" s="16" t="s">
        <v>21216</v>
      </c>
      <c r="B6951" s="17" t="s">
        <v>21217</v>
      </c>
      <c r="C6951" s="17" t="s">
        <v>11</v>
      </c>
      <c r="D6951" s="17" t="s">
        <v>32</v>
      </c>
      <c r="E6951" s="17" t="s">
        <v>20</v>
      </c>
      <c r="F6951" s="16" t="s">
        <v>21218</v>
      </c>
    </row>
    <row r="6952" spans="1:6" x14ac:dyDescent="0.25">
      <c r="A6952" s="16" t="s">
        <v>21219</v>
      </c>
      <c r="B6952" s="17" t="s">
        <v>21220</v>
      </c>
      <c r="C6952" s="17" t="s">
        <v>11</v>
      </c>
      <c r="D6952" s="17" t="s">
        <v>291</v>
      </c>
      <c r="E6952" s="17" t="s">
        <v>20</v>
      </c>
      <c r="F6952" s="16" t="s">
        <v>21221</v>
      </c>
    </row>
    <row r="6953" spans="1:6" x14ac:dyDescent="0.25">
      <c r="A6953" s="16" t="s">
        <v>21222</v>
      </c>
      <c r="B6953" s="17" t="s">
        <v>21223</v>
      </c>
      <c r="C6953" s="17" t="s">
        <v>11</v>
      </c>
      <c r="D6953" s="17" t="s">
        <v>32</v>
      </c>
      <c r="E6953" s="17" t="s">
        <v>20</v>
      </c>
      <c r="F6953" s="16" t="s">
        <v>21224</v>
      </c>
    </row>
    <row r="6954" spans="1:6" x14ac:dyDescent="0.25">
      <c r="A6954" s="16" t="s">
        <v>21225</v>
      </c>
      <c r="B6954" s="17" t="s">
        <v>21226</v>
      </c>
      <c r="C6954" s="17" t="s">
        <v>11</v>
      </c>
      <c r="D6954" s="17" t="s">
        <v>32</v>
      </c>
      <c r="E6954" s="17" t="s">
        <v>20</v>
      </c>
      <c r="F6954" s="16" t="s">
        <v>21227</v>
      </c>
    </row>
    <row r="6955" spans="1:6" x14ac:dyDescent="0.25">
      <c r="A6955" s="16" t="s">
        <v>21228</v>
      </c>
      <c r="B6955" s="17" t="s">
        <v>21229</v>
      </c>
      <c r="C6955" s="17" t="s">
        <v>11</v>
      </c>
      <c r="D6955" s="17" t="s">
        <v>32</v>
      </c>
      <c r="E6955" s="17" t="s">
        <v>20</v>
      </c>
      <c r="F6955" s="16" t="s">
        <v>21230</v>
      </c>
    </row>
    <row r="6956" spans="1:6" x14ac:dyDescent="0.25">
      <c r="A6956" s="16" t="s">
        <v>21231</v>
      </c>
      <c r="B6956" s="17" t="s">
        <v>21232</v>
      </c>
      <c r="C6956" s="17" t="s">
        <v>11</v>
      </c>
      <c r="D6956" s="17" t="s">
        <v>32</v>
      </c>
      <c r="E6956" s="17" t="s">
        <v>20</v>
      </c>
      <c r="F6956" s="16" t="s">
        <v>21233</v>
      </c>
    </row>
    <row r="6957" spans="1:6" x14ac:dyDescent="0.25">
      <c r="A6957" s="16" t="s">
        <v>21234</v>
      </c>
      <c r="B6957" s="17" t="s">
        <v>21235</v>
      </c>
      <c r="C6957" s="17" t="s">
        <v>11</v>
      </c>
      <c r="D6957" s="17" t="s">
        <v>148</v>
      </c>
      <c r="E6957" s="17" t="s">
        <v>20</v>
      </c>
      <c r="F6957" s="16" t="s">
        <v>21236</v>
      </c>
    </row>
    <row r="6958" spans="1:6" x14ac:dyDescent="0.25">
      <c r="A6958" s="16" t="s">
        <v>21237</v>
      </c>
      <c r="B6958" s="17" t="s">
        <v>21238</v>
      </c>
      <c r="C6958" s="17" t="s">
        <v>11</v>
      </c>
      <c r="D6958" s="17" t="s">
        <v>32</v>
      </c>
      <c r="E6958" s="17" t="s">
        <v>20</v>
      </c>
      <c r="F6958" s="16" t="s">
        <v>21239</v>
      </c>
    </row>
    <row r="6959" spans="1:6" x14ac:dyDescent="0.25">
      <c r="A6959" s="16" t="s">
        <v>21240</v>
      </c>
      <c r="B6959" s="17" t="s">
        <v>21241</v>
      </c>
      <c r="C6959" s="17" t="s">
        <v>11</v>
      </c>
      <c r="D6959" s="17" t="s">
        <v>80</v>
      </c>
      <c r="E6959" s="17" t="s">
        <v>20</v>
      </c>
      <c r="F6959" s="16" t="s">
        <v>21242</v>
      </c>
    </row>
    <row r="6960" spans="1:6" x14ac:dyDescent="0.25">
      <c r="A6960" s="16" t="s">
        <v>21243</v>
      </c>
      <c r="B6960" s="17" t="s">
        <v>21244</v>
      </c>
      <c r="C6960" s="17" t="s">
        <v>11</v>
      </c>
      <c r="D6960" s="17" t="s">
        <v>74</v>
      </c>
      <c r="E6960" s="17" t="s">
        <v>20</v>
      </c>
      <c r="F6960" s="16" t="s">
        <v>21245</v>
      </c>
    </row>
    <row r="6961" spans="1:6" x14ac:dyDescent="0.25">
      <c r="A6961" s="16" t="s">
        <v>21246</v>
      </c>
      <c r="B6961" s="17" t="s">
        <v>21247</v>
      </c>
      <c r="C6961" s="17" t="s">
        <v>359</v>
      </c>
      <c r="D6961" s="17" t="s">
        <v>32</v>
      </c>
      <c r="E6961" s="17" t="s">
        <v>20</v>
      </c>
      <c r="F6961" s="16" t="s">
        <v>21248</v>
      </c>
    </row>
    <row r="6962" spans="1:6" x14ac:dyDescent="0.25">
      <c r="A6962" s="16" t="s">
        <v>21249</v>
      </c>
      <c r="B6962" s="17" t="s">
        <v>21250</v>
      </c>
      <c r="C6962" s="17" t="s">
        <v>11</v>
      </c>
      <c r="D6962" s="17" t="s">
        <v>32</v>
      </c>
      <c r="E6962" s="17" t="s">
        <v>20</v>
      </c>
      <c r="F6962" s="16" t="s">
        <v>21251</v>
      </c>
    </row>
    <row r="6963" spans="1:6" x14ac:dyDescent="0.25">
      <c r="A6963" s="16" t="s">
        <v>21252</v>
      </c>
      <c r="B6963" s="17" t="s">
        <v>21253</v>
      </c>
      <c r="C6963" s="17" t="s">
        <v>11</v>
      </c>
      <c r="D6963" s="17" t="s">
        <v>26</v>
      </c>
      <c r="E6963" s="17" t="s">
        <v>20</v>
      </c>
      <c r="F6963" s="16" t="s">
        <v>21254</v>
      </c>
    </row>
    <row r="6964" spans="1:6" x14ac:dyDescent="0.25">
      <c r="A6964" s="16" t="s">
        <v>21255</v>
      </c>
      <c r="B6964" s="17" t="s">
        <v>21256</v>
      </c>
      <c r="C6964" s="17" t="s">
        <v>11</v>
      </c>
      <c r="D6964" s="17" t="s">
        <v>26</v>
      </c>
      <c r="E6964" s="17" t="s">
        <v>20</v>
      </c>
      <c r="F6964" s="16" t="s">
        <v>21257</v>
      </c>
    </row>
    <row r="6965" spans="1:6" x14ac:dyDescent="0.25">
      <c r="A6965" s="16" t="s">
        <v>21258</v>
      </c>
      <c r="B6965" s="17" t="s">
        <v>21259</v>
      </c>
      <c r="C6965" s="17" t="s">
        <v>11</v>
      </c>
      <c r="D6965" s="17" t="s">
        <v>26</v>
      </c>
      <c r="E6965" s="17" t="s">
        <v>20</v>
      </c>
      <c r="F6965" s="16" t="s">
        <v>21260</v>
      </c>
    </row>
    <row r="6966" spans="1:6" x14ac:dyDescent="0.25">
      <c r="A6966" s="16" t="s">
        <v>21261</v>
      </c>
      <c r="B6966" s="17" t="s">
        <v>21262</v>
      </c>
      <c r="C6966" s="17" t="s">
        <v>11</v>
      </c>
      <c r="D6966" s="17" t="s">
        <v>32</v>
      </c>
      <c r="E6966" s="17" t="s">
        <v>20</v>
      </c>
      <c r="F6966" s="16" t="s">
        <v>21263</v>
      </c>
    </row>
    <row r="6967" spans="1:6" x14ac:dyDescent="0.25">
      <c r="A6967" s="16" t="s">
        <v>21264</v>
      </c>
      <c r="B6967" s="17" t="s">
        <v>21265</v>
      </c>
      <c r="C6967" s="17" t="s">
        <v>11</v>
      </c>
      <c r="D6967" s="17" t="s">
        <v>32</v>
      </c>
      <c r="E6967" s="17" t="s">
        <v>20</v>
      </c>
      <c r="F6967" s="16" t="s">
        <v>21266</v>
      </c>
    </row>
    <row r="6968" spans="1:6" x14ac:dyDescent="0.25">
      <c r="A6968" s="16" t="s">
        <v>21267</v>
      </c>
      <c r="B6968" s="17" t="s">
        <v>21268</v>
      </c>
      <c r="C6968" s="17" t="s">
        <v>11</v>
      </c>
      <c r="D6968" s="17" t="s">
        <v>32</v>
      </c>
      <c r="E6968" s="17" t="s">
        <v>20</v>
      </c>
      <c r="F6968" s="16" t="s">
        <v>21269</v>
      </c>
    </row>
    <row r="6969" spans="1:6" x14ac:dyDescent="0.25">
      <c r="A6969" s="16" t="s">
        <v>21270</v>
      </c>
      <c r="B6969" s="17" t="s">
        <v>21271</v>
      </c>
      <c r="C6969" s="17" t="s">
        <v>11</v>
      </c>
      <c r="D6969" s="17" t="s">
        <v>32</v>
      </c>
      <c r="E6969" s="17" t="s">
        <v>20</v>
      </c>
      <c r="F6969" s="16" t="s">
        <v>21272</v>
      </c>
    </row>
    <row r="6970" spans="1:6" x14ac:dyDescent="0.25">
      <c r="A6970" s="16" t="s">
        <v>21273</v>
      </c>
      <c r="B6970" s="17" t="s">
        <v>21274</v>
      </c>
      <c r="C6970" s="17" t="s">
        <v>11</v>
      </c>
      <c r="D6970" s="17" t="s">
        <v>26</v>
      </c>
      <c r="E6970" s="17" t="s">
        <v>20</v>
      </c>
      <c r="F6970" s="16" t="s">
        <v>21275</v>
      </c>
    </row>
    <row r="6971" spans="1:6" x14ac:dyDescent="0.25">
      <c r="A6971" s="16" t="s">
        <v>21276</v>
      </c>
      <c r="B6971" s="17" t="s">
        <v>21277</v>
      </c>
      <c r="C6971" s="17" t="s">
        <v>11</v>
      </c>
      <c r="D6971" s="17" t="s">
        <v>32</v>
      </c>
      <c r="E6971" s="17" t="s">
        <v>20</v>
      </c>
      <c r="F6971" s="16" t="s">
        <v>21278</v>
      </c>
    </row>
    <row r="6972" spans="1:6" x14ac:dyDescent="0.25">
      <c r="A6972" s="16" t="s">
        <v>21279</v>
      </c>
      <c r="B6972" s="17" t="s">
        <v>21280</v>
      </c>
      <c r="C6972" s="17" t="s">
        <v>11</v>
      </c>
      <c r="D6972" s="17" t="s">
        <v>74</v>
      </c>
      <c r="E6972" s="17" t="s">
        <v>20</v>
      </c>
      <c r="F6972" s="16" t="s">
        <v>21281</v>
      </c>
    </row>
    <row r="6973" spans="1:6" x14ac:dyDescent="0.25">
      <c r="A6973" s="16" t="s">
        <v>21282</v>
      </c>
      <c r="B6973" s="17" t="s">
        <v>21283</v>
      </c>
      <c r="C6973" s="17" t="s">
        <v>11</v>
      </c>
      <c r="D6973" s="17" t="s">
        <v>32</v>
      </c>
      <c r="E6973" s="17" t="s">
        <v>20</v>
      </c>
      <c r="F6973" s="16" t="s">
        <v>21284</v>
      </c>
    </row>
    <row r="6974" spans="1:6" x14ac:dyDescent="0.25">
      <c r="A6974" s="16" t="s">
        <v>21285</v>
      </c>
      <c r="B6974" s="17" t="s">
        <v>21286</v>
      </c>
      <c r="C6974" s="17" t="s">
        <v>11</v>
      </c>
      <c r="D6974" s="17" t="s">
        <v>32</v>
      </c>
      <c r="E6974" s="17" t="s">
        <v>20</v>
      </c>
      <c r="F6974" s="16" t="s">
        <v>21287</v>
      </c>
    </row>
    <row r="6975" spans="1:6" x14ac:dyDescent="0.25">
      <c r="A6975" s="16" t="s">
        <v>21288</v>
      </c>
      <c r="B6975" s="17" t="s">
        <v>21289</v>
      </c>
      <c r="C6975" s="17" t="s">
        <v>11</v>
      </c>
      <c r="D6975" s="17" t="s">
        <v>83</v>
      </c>
      <c r="E6975" s="17" t="s">
        <v>20</v>
      </c>
      <c r="F6975" s="16" t="s">
        <v>21290</v>
      </c>
    </row>
    <row r="6976" spans="1:6" x14ac:dyDescent="0.25">
      <c r="A6976" s="16" t="s">
        <v>21291</v>
      </c>
      <c r="B6976" s="17" t="s">
        <v>21292</v>
      </c>
      <c r="C6976" s="17" t="s">
        <v>11</v>
      </c>
      <c r="D6976" s="17" t="s">
        <v>32</v>
      </c>
      <c r="E6976" s="17" t="s">
        <v>20</v>
      </c>
      <c r="F6976" s="16" t="s">
        <v>21293</v>
      </c>
    </row>
    <row r="6977" spans="1:6" x14ac:dyDescent="0.25">
      <c r="A6977" s="16" t="s">
        <v>21294</v>
      </c>
      <c r="B6977" s="17" t="s">
        <v>21295</v>
      </c>
      <c r="C6977" s="17" t="s">
        <v>11</v>
      </c>
      <c r="D6977" s="17" t="s">
        <v>32</v>
      </c>
      <c r="E6977" s="17" t="s">
        <v>20</v>
      </c>
      <c r="F6977" s="16" t="s">
        <v>21296</v>
      </c>
    </row>
    <row r="6978" spans="1:6" x14ac:dyDescent="0.25">
      <c r="A6978" s="16" t="s">
        <v>21297</v>
      </c>
      <c r="B6978" s="17" t="s">
        <v>21298</v>
      </c>
      <c r="C6978" s="17" t="s">
        <v>11</v>
      </c>
      <c r="D6978" s="17" t="s">
        <v>32</v>
      </c>
      <c r="E6978" s="17" t="s">
        <v>20</v>
      </c>
      <c r="F6978" s="16" t="s">
        <v>21299</v>
      </c>
    </row>
    <row r="6979" spans="1:6" x14ac:dyDescent="0.25">
      <c r="A6979" s="16" t="s">
        <v>21300</v>
      </c>
      <c r="B6979" s="17" t="s">
        <v>21301</v>
      </c>
      <c r="C6979" s="17" t="s">
        <v>11</v>
      </c>
      <c r="D6979" s="17" t="s">
        <v>32</v>
      </c>
      <c r="E6979" s="17" t="s">
        <v>20</v>
      </c>
      <c r="F6979" s="16" t="s">
        <v>21302</v>
      </c>
    </row>
    <row r="6980" spans="1:6" x14ac:dyDescent="0.25">
      <c r="A6980" s="16" t="s">
        <v>21303</v>
      </c>
      <c r="B6980" s="17" t="s">
        <v>21304</v>
      </c>
      <c r="C6980" s="17" t="s">
        <v>11</v>
      </c>
      <c r="D6980" s="17" t="s">
        <v>544</v>
      </c>
      <c r="E6980" s="17" t="s">
        <v>20</v>
      </c>
      <c r="F6980" s="16" t="s">
        <v>21305</v>
      </c>
    </row>
    <row r="6981" spans="1:6" x14ac:dyDescent="0.25">
      <c r="A6981" s="16" t="s">
        <v>21306</v>
      </c>
      <c r="B6981" s="17" t="s">
        <v>21307</v>
      </c>
      <c r="C6981" s="17" t="s">
        <v>11</v>
      </c>
      <c r="D6981" s="17" t="s">
        <v>32</v>
      </c>
      <c r="E6981" s="17" t="s">
        <v>20</v>
      </c>
      <c r="F6981" s="16" t="s">
        <v>21308</v>
      </c>
    </row>
    <row r="6982" spans="1:6" x14ac:dyDescent="0.25">
      <c r="A6982" s="16" t="s">
        <v>21309</v>
      </c>
      <c r="B6982" s="17" t="s">
        <v>21310</v>
      </c>
      <c r="C6982" s="17" t="s">
        <v>11</v>
      </c>
      <c r="D6982" s="17" t="s">
        <v>32</v>
      </c>
      <c r="E6982" s="17" t="s">
        <v>20</v>
      </c>
      <c r="F6982" s="16" t="s">
        <v>21311</v>
      </c>
    </row>
    <row r="6983" spans="1:6" x14ac:dyDescent="0.25">
      <c r="A6983" s="16" t="s">
        <v>21312</v>
      </c>
      <c r="B6983" s="17" t="s">
        <v>21313</v>
      </c>
      <c r="C6983" s="17" t="s">
        <v>11</v>
      </c>
      <c r="D6983" s="17" t="s">
        <v>32</v>
      </c>
      <c r="E6983" s="17" t="s">
        <v>20</v>
      </c>
      <c r="F6983" s="16" t="s">
        <v>21314</v>
      </c>
    </row>
    <row r="6984" spans="1:6" x14ac:dyDescent="0.25">
      <c r="A6984" s="16" t="s">
        <v>21315</v>
      </c>
      <c r="B6984" s="17" t="s">
        <v>21316</v>
      </c>
      <c r="C6984" s="17" t="s">
        <v>11</v>
      </c>
      <c r="D6984" s="17" t="s">
        <v>32</v>
      </c>
      <c r="E6984" s="17" t="s">
        <v>20</v>
      </c>
      <c r="F6984" s="16" t="s">
        <v>21317</v>
      </c>
    </row>
    <row r="6985" spans="1:6" x14ac:dyDescent="0.25">
      <c r="A6985" s="16" t="s">
        <v>21318</v>
      </c>
      <c r="B6985" s="17" t="s">
        <v>21319</v>
      </c>
      <c r="C6985" s="17" t="s">
        <v>11</v>
      </c>
      <c r="D6985" s="17" t="s">
        <v>32</v>
      </c>
      <c r="E6985" s="17" t="s">
        <v>20</v>
      </c>
      <c r="F6985" s="16" t="s">
        <v>21320</v>
      </c>
    </row>
    <row r="6986" spans="1:6" x14ac:dyDescent="0.25">
      <c r="A6986" s="16" t="s">
        <v>21321</v>
      </c>
      <c r="B6986" s="17" t="s">
        <v>21322</v>
      </c>
      <c r="C6986" s="17" t="s">
        <v>11</v>
      </c>
      <c r="D6986" s="17" t="s">
        <v>32</v>
      </c>
      <c r="E6986" s="17" t="s">
        <v>20</v>
      </c>
      <c r="F6986" s="16" t="s">
        <v>21323</v>
      </c>
    </row>
    <row r="6987" spans="1:6" x14ac:dyDescent="0.25">
      <c r="A6987" s="16" t="s">
        <v>21324</v>
      </c>
      <c r="B6987" s="17" t="s">
        <v>21325</v>
      </c>
      <c r="C6987" s="17" t="s">
        <v>11</v>
      </c>
      <c r="D6987" s="17" t="s">
        <v>32</v>
      </c>
      <c r="E6987" s="17" t="s">
        <v>20</v>
      </c>
      <c r="F6987" s="16" t="s">
        <v>21326</v>
      </c>
    </row>
    <row r="6988" spans="1:6" x14ac:dyDescent="0.25">
      <c r="A6988" s="16" t="s">
        <v>21327</v>
      </c>
      <c r="B6988" s="17" t="s">
        <v>21328</v>
      </c>
      <c r="C6988" s="17" t="s">
        <v>359</v>
      </c>
      <c r="D6988" s="17" t="s">
        <v>32</v>
      </c>
      <c r="E6988" s="17" t="s">
        <v>20</v>
      </c>
      <c r="F6988" s="16" t="s">
        <v>21329</v>
      </c>
    </row>
    <row r="6989" spans="1:6" x14ac:dyDescent="0.25">
      <c r="A6989" s="16" t="s">
        <v>21330</v>
      </c>
      <c r="B6989" s="17" t="s">
        <v>21331</v>
      </c>
      <c r="C6989" s="17" t="s">
        <v>11</v>
      </c>
      <c r="D6989" s="17" t="s">
        <v>32</v>
      </c>
      <c r="E6989" s="17" t="s">
        <v>20</v>
      </c>
      <c r="F6989" s="16" t="s">
        <v>21332</v>
      </c>
    </row>
    <row r="6990" spans="1:6" x14ac:dyDescent="0.25">
      <c r="A6990" s="16" t="s">
        <v>21333</v>
      </c>
      <c r="B6990" s="17" t="s">
        <v>21334</v>
      </c>
      <c r="C6990" s="17" t="s">
        <v>11</v>
      </c>
      <c r="D6990" s="17" t="s">
        <v>32</v>
      </c>
      <c r="E6990" s="17" t="s">
        <v>20</v>
      </c>
      <c r="F6990" s="16" t="s">
        <v>21335</v>
      </c>
    </row>
    <row r="6991" spans="1:6" x14ac:dyDescent="0.25">
      <c r="A6991" s="16" t="s">
        <v>21336</v>
      </c>
      <c r="B6991" s="17" t="s">
        <v>21337</v>
      </c>
      <c r="C6991" s="17" t="s">
        <v>11</v>
      </c>
      <c r="D6991" s="17" t="s">
        <v>32</v>
      </c>
      <c r="E6991" s="17" t="s">
        <v>20</v>
      </c>
      <c r="F6991" s="16" t="s">
        <v>21338</v>
      </c>
    </row>
    <row r="6992" spans="1:6" x14ac:dyDescent="0.25">
      <c r="A6992" s="16" t="s">
        <v>21339</v>
      </c>
      <c r="B6992" s="17" t="s">
        <v>21340</v>
      </c>
      <c r="C6992" s="17" t="s">
        <v>11</v>
      </c>
      <c r="D6992" s="17" t="s">
        <v>32</v>
      </c>
      <c r="E6992" s="17" t="s">
        <v>20</v>
      </c>
      <c r="F6992" s="16" t="s">
        <v>21341</v>
      </c>
    </row>
    <row r="6993" spans="1:6" x14ac:dyDescent="0.25">
      <c r="A6993" s="16" t="s">
        <v>21342</v>
      </c>
      <c r="B6993" s="17" t="s">
        <v>21343</v>
      </c>
      <c r="C6993" s="17" t="s">
        <v>11</v>
      </c>
      <c r="D6993" s="17" t="s">
        <v>148</v>
      </c>
      <c r="E6993" s="17" t="s">
        <v>20</v>
      </c>
      <c r="F6993" s="16" t="s">
        <v>21344</v>
      </c>
    </row>
    <row r="6994" spans="1:6" x14ac:dyDescent="0.25">
      <c r="A6994" s="16" t="s">
        <v>21345</v>
      </c>
      <c r="B6994" s="17" t="s">
        <v>21346</v>
      </c>
      <c r="C6994" s="17" t="s">
        <v>11</v>
      </c>
      <c r="D6994" s="17" t="s">
        <v>291</v>
      </c>
      <c r="E6994" s="17" t="s">
        <v>20</v>
      </c>
      <c r="F6994" s="16" t="s">
        <v>21347</v>
      </c>
    </row>
    <row r="6995" spans="1:6" x14ac:dyDescent="0.25">
      <c r="A6995" s="16" t="s">
        <v>21348</v>
      </c>
      <c r="B6995" s="17" t="s">
        <v>21349</v>
      </c>
      <c r="C6995" s="17" t="s">
        <v>11</v>
      </c>
      <c r="D6995" s="17" t="s">
        <v>32</v>
      </c>
      <c r="E6995" s="17" t="s">
        <v>20</v>
      </c>
      <c r="F6995" s="16" t="s">
        <v>21350</v>
      </c>
    </row>
    <row r="6996" spans="1:6" x14ac:dyDescent="0.25">
      <c r="A6996" s="16" t="s">
        <v>21351</v>
      </c>
      <c r="B6996" s="17" t="s">
        <v>21352</v>
      </c>
      <c r="C6996" s="17" t="s">
        <v>11</v>
      </c>
      <c r="D6996" s="17" t="s">
        <v>32</v>
      </c>
      <c r="E6996" s="17" t="s">
        <v>20</v>
      </c>
      <c r="F6996" s="16" t="s">
        <v>21353</v>
      </c>
    </row>
    <row r="6997" spans="1:6" x14ac:dyDescent="0.25">
      <c r="A6997" s="16" t="s">
        <v>21354</v>
      </c>
      <c r="B6997" s="17" t="s">
        <v>21355</v>
      </c>
      <c r="C6997" s="17" t="s">
        <v>11</v>
      </c>
      <c r="D6997" s="17" t="s">
        <v>32</v>
      </c>
      <c r="E6997" s="17" t="s">
        <v>20</v>
      </c>
      <c r="F6997" s="16" t="s">
        <v>21356</v>
      </c>
    </row>
    <row r="6998" spans="1:6" x14ac:dyDescent="0.25">
      <c r="A6998" s="16" t="s">
        <v>21357</v>
      </c>
      <c r="B6998" s="17" t="s">
        <v>21358</v>
      </c>
      <c r="C6998" s="17" t="s">
        <v>11</v>
      </c>
      <c r="D6998" s="17" t="s">
        <v>32</v>
      </c>
      <c r="E6998" s="17" t="s">
        <v>20</v>
      </c>
      <c r="F6998" s="16" t="s">
        <v>21359</v>
      </c>
    </row>
    <row r="6999" spans="1:6" x14ac:dyDescent="0.25">
      <c r="A6999" s="16" t="s">
        <v>21360</v>
      </c>
      <c r="B6999" s="17" t="s">
        <v>21361</v>
      </c>
      <c r="C6999" s="17" t="s">
        <v>11</v>
      </c>
      <c r="D6999" s="17" t="s">
        <v>544</v>
      </c>
      <c r="E6999" s="17" t="s">
        <v>20</v>
      </c>
      <c r="F6999" s="16" t="s">
        <v>21362</v>
      </c>
    </row>
    <row r="7000" spans="1:6" x14ac:dyDescent="0.25">
      <c r="A7000" s="16" t="s">
        <v>21363</v>
      </c>
      <c r="B7000" s="17" t="s">
        <v>21364</v>
      </c>
      <c r="C7000" s="17" t="s">
        <v>11</v>
      </c>
      <c r="D7000" s="17" t="s">
        <v>32</v>
      </c>
      <c r="E7000" s="17" t="s">
        <v>20</v>
      </c>
      <c r="F7000" s="16" t="s">
        <v>21365</v>
      </c>
    </row>
    <row r="7001" spans="1:6" x14ac:dyDescent="0.25">
      <c r="A7001" s="16" t="s">
        <v>21366</v>
      </c>
      <c r="B7001" s="17" t="s">
        <v>21367</v>
      </c>
      <c r="C7001" s="17" t="s">
        <v>11</v>
      </c>
      <c r="D7001" s="17" t="s">
        <v>26</v>
      </c>
      <c r="E7001" s="17" t="s">
        <v>20</v>
      </c>
      <c r="F7001" s="16" t="s">
        <v>21368</v>
      </c>
    </row>
    <row r="7002" spans="1:6" x14ac:dyDescent="0.25">
      <c r="A7002" s="16" t="s">
        <v>21369</v>
      </c>
      <c r="B7002" s="17" t="s">
        <v>21370</v>
      </c>
      <c r="C7002" s="17" t="s">
        <v>11</v>
      </c>
      <c r="D7002" s="17" t="s">
        <v>32</v>
      </c>
      <c r="E7002" s="17" t="s">
        <v>20</v>
      </c>
      <c r="F7002" s="16" t="s">
        <v>21371</v>
      </c>
    </row>
    <row r="7003" spans="1:6" x14ac:dyDescent="0.25">
      <c r="A7003" s="16" t="s">
        <v>21372</v>
      </c>
      <c r="B7003" s="17" t="s">
        <v>21373</v>
      </c>
      <c r="C7003" s="17" t="s">
        <v>11</v>
      </c>
      <c r="D7003" s="17" t="s">
        <v>32</v>
      </c>
      <c r="E7003" s="17" t="s">
        <v>20</v>
      </c>
      <c r="F7003" s="16" t="s">
        <v>21374</v>
      </c>
    </row>
    <row r="7004" spans="1:6" x14ac:dyDescent="0.25">
      <c r="A7004" s="16" t="s">
        <v>21375</v>
      </c>
      <c r="B7004" s="17" t="s">
        <v>21376</v>
      </c>
      <c r="C7004" s="17" t="s">
        <v>11</v>
      </c>
      <c r="D7004" s="17" t="s">
        <v>32</v>
      </c>
      <c r="E7004" s="17" t="s">
        <v>20</v>
      </c>
      <c r="F7004" s="16" t="s">
        <v>21377</v>
      </c>
    </row>
    <row r="7005" spans="1:6" x14ac:dyDescent="0.25">
      <c r="A7005" s="16" t="s">
        <v>21378</v>
      </c>
      <c r="B7005" s="17" t="s">
        <v>21379</v>
      </c>
      <c r="C7005" s="17" t="s">
        <v>11</v>
      </c>
      <c r="D7005" s="17" t="s">
        <v>26</v>
      </c>
      <c r="E7005" s="17" t="s">
        <v>20</v>
      </c>
      <c r="F7005" s="16" t="s">
        <v>21380</v>
      </c>
    </row>
    <row r="7006" spans="1:6" x14ac:dyDescent="0.25">
      <c r="A7006" s="16" t="s">
        <v>21381</v>
      </c>
      <c r="B7006" s="17" t="s">
        <v>21382</v>
      </c>
      <c r="C7006" s="17" t="s">
        <v>11</v>
      </c>
      <c r="D7006" s="17" t="s">
        <v>32</v>
      </c>
      <c r="E7006" s="17" t="s">
        <v>20</v>
      </c>
      <c r="F7006" s="16" t="s">
        <v>21383</v>
      </c>
    </row>
    <row r="7007" spans="1:6" x14ac:dyDescent="0.25">
      <c r="A7007" s="16" t="s">
        <v>21384</v>
      </c>
      <c r="B7007" s="17" t="s">
        <v>21385</v>
      </c>
      <c r="C7007" s="17" t="s">
        <v>11</v>
      </c>
      <c r="D7007" s="17" t="s">
        <v>32</v>
      </c>
      <c r="E7007" s="17" t="s">
        <v>20</v>
      </c>
      <c r="F7007" s="16" t="s">
        <v>21386</v>
      </c>
    </row>
    <row r="7008" spans="1:6" x14ac:dyDescent="0.25">
      <c r="A7008" s="16" t="s">
        <v>21387</v>
      </c>
      <c r="B7008" s="17" t="s">
        <v>21388</v>
      </c>
      <c r="C7008" s="17" t="s">
        <v>11</v>
      </c>
      <c r="D7008" s="17" t="s">
        <v>148</v>
      </c>
      <c r="E7008" s="17" t="s">
        <v>20</v>
      </c>
      <c r="F7008" s="16" t="s">
        <v>21389</v>
      </c>
    </row>
    <row r="7009" spans="1:6" x14ac:dyDescent="0.25">
      <c r="A7009" s="16" t="s">
        <v>21390</v>
      </c>
      <c r="B7009" s="17" t="s">
        <v>21391</v>
      </c>
      <c r="C7009" s="17" t="s">
        <v>11</v>
      </c>
      <c r="D7009" s="17" t="s">
        <v>148</v>
      </c>
      <c r="E7009" s="17" t="s">
        <v>20</v>
      </c>
      <c r="F7009" s="16" t="s">
        <v>21392</v>
      </c>
    </row>
    <row r="7010" spans="1:6" x14ac:dyDescent="0.25">
      <c r="A7010" s="16" t="s">
        <v>21393</v>
      </c>
      <c r="B7010" s="17" t="s">
        <v>21394</v>
      </c>
      <c r="C7010" s="17" t="s">
        <v>11</v>
      </c>
      <c r="D7010" s="17" t="s">
        <v>32</v>
      </c>
      <c r="E7010" s="17" t="s">
        <v>20</v>
      </c>
      <c r="F7010" s="16" t="s">
        <v>21395</v>
      </c>
    </row>
    <row r="7011" spans="1:6" x14ac:dyDescent="0.25">
      <c r="A7011" s="16" t="s">
        <v>21396</v>
      </c>
      <c r="B7011" s="17" t="s">
        <v>21397</v>
      </c>
      <c r="C7011" s="17" t="s">
        <v>11</v>
      </c>
      <c r="D7011" s="17" t="s">
        <v>26</v>
      </c>
      <c r="E7011" s="17" t="s">
        <v>20</v>
      </c>
      <c r="F7011" s="16" t="s">
        <v>21398</v>
      </c>
    </row>
    <row r="7012" spans="1:6" x14ac:dyDescent="0.25">
      <c r="A7012" s="16" t="s">
        <v>21399</v>
      </c>
      <c r="B7012" s="17" t="s">
        <v>21400</v>
      </c>
      <c r="C7012" s="17" t="s">
        <v>11</v>
      </c>
      <c r="D7012" s="17" t="s">
        <v>32</v>
      </c>
      <c r="E7012" s="17" t="s">
        <v>20</v>
      </c>
      <c r="F7012" s="16" t="s">
        <v>21401</v>
      </c>
    </row>
    <row r="7013" spans="1:6" x14ac:dyDescent="0.25">
      <c r="A7013" s="16" t="s">
        <v>21402</v>
      </c>
      <c r="B7013" s="17" t="s">
        <v>21403</v>
      </c>
      <c r="C7013" s="17" t="s">
        <v>11</v>
      </c>
      <c r="D7013" s="17" t="s">
        <v>148</v>
      </c>
      <c r="E7013" s="17" t="s">
        <v>20</v>
      </c>
      <c r="F7013" s="16" t="s">
        <v>21404</v>
      </c>
    </row>
    <row r="7014" spans="1:6" x14ac:dyDescent="0.25">
      <c r="A7014" s="16" t="s">
        <v>21405</v>
      </c>
      <c r="B7014" s="17" t="s">
        <v>21406</v>
      </c>
      <c r="C7014" s="17" t="s">
        <v>11</v>
      </c>
      <c r="D7014" s="17" t="s">
        <v>32</v>
      </c>
      <c r="E7014" s="17" t="s">
        <v>20</v>
      </c>
      <c r="F7014" s="16" t="s">
        <v>21407</v>
      </c>
    </row>
    <row r="7015" spans="1:6" x14ac:dyDescent="0.25">
      <c r="A7015" s="16" t="s">
        <v>21408</v>
      </c>
      <c r="B7015" s="17" t="s">
        <v>21409</v>
      </c>
      <c r="C7015" s="17" t="s">
        <v>11</v>
      </c>
      <c r="D7015" s="17" t="s">
        <v>32</v>
      </c>
      <c r="E7015" s="17" t="s">
        <v>20</v>
      </c>
      <c r="F7015" s="16" t="s">
        <v>21410</v>
      </c>
    </row>
    <row r="7016" spans="1:6" x14ac:dyDescent="0.25">
      <c r="A7016" s="16" t="s">
        <v>21411</v>
      </c>
      <c r="B7016" s="17" t="s">
        <v>21412</v>
      </c>
      <c r="C7016" s="17" t="s">
        <v>11</v>
      </c>
      <c r="D7016" s="17" t="s">
        <v>32</v>
      </c>
      <c r="E7016" s="17" t="s">
        <v>20</v>
      </c>
      <c r="F7016" s="16" t="s">
        <v>21413</v>
      </c>
    </row>
    <row r="7017" spans="1:6" x14ac:dyDescent="0.25">
      <c r="A7017" s="16" t="s">
        <v>21414</v>
      </c>
      <c r="B7017" s="17" t="s">
        <v>21415</v>
      </c>
      <c r="C7017" s="17" t="s">
        <v>11</v>
      </c>
      <c r="D7017" s="17" t="s">
        <v>148</v>
      </c>
      <c r="E7017" s="17" t="s">
        <v>20</v>
      </c>
      <c r="F7017" s="16" t="s">
        <v>21416</v>
      </c>
    </row>
    <row r="7018" spans="1:6" x14ac:dyDescent="0.25">
      <c r="A7018" s="16" t="s">
        <v>21417</v>
      </c>
      <c r="B7018" s="17" t="s">
        <v>21418</v>
      </c>
      <c r="C7018" s="17" t="s">
        <v>11</v>
      </c>
      <c r="D7018" s="17" t="s">
        <v>32</v>
      </c>
      <c r="E7018" s="17" t="s">
        <v>20</v>
      </c>
      <c r="F7018" s="16" t="s">
        <v>21419</v>
      </c>
    </row>
    <row r="7019" spans="1:6" x14ac:dyDescent="0.25">
      <c r="A7019" s="16" t="s">
        <v>21420</v>
      </c>
      <c r="B7019" s="17" t="s">
        <v>21421</v>
      </c>
      <c r="C7019" s="17" t="s">
        <v>11</v>
      </c>
      <c r="D7019" s="17" t="s">
        <v>148</v>
      </c>
      <c r="E7019" s="17" t="s">
        <v>20</v>
      </c>
      <c r="F7019" s="16" t="s">
        <v>21422</v>
      </c>
    </row>
    <row r="7020" spans="1:6" x14ac:dyDescent="0.25">
      <c r="A7020" s="16" t="s">
        <v>21423</v>
      </c>
      <c r="B7020" s="17" t="s">
        <v>21424</v>
      </c>
      <c r="C7020" s="17" t="s">
        <v>11</v>
      </c>
      <c r="D7020" s="17" t="s">
        <v>32</v>
      </c>
      <c r="E7020" s="17" t="s">
        <v>20</v>
      </c>
      <c r="F7020" s="16" t="s">
        <v>21425</v>
      </c>
    </row>
    <row r="7021" spans="1:6" x14ac:dyDescent="0.25">
      <c r="A7021" s="16" t="s">
        <v>21426</v>
      </c>
      <c r="B7021" s="17" t="s">
        <v>21427</v>
      </c>
      <c r="C7021" s="17" t="s">
        <v>11</v>
      </c>
      <c r="D7021" s="17" t="s">
        <v>32</v>
      </c>
      <c r="E7021" s="17" t="s">
        <v>20</v>
      </c>
      <c r="F7021" s="16" t="s">
        <v>21428</v>
      </c>
    </row>
    <row r="7022" spans="1:6" x14ac:dyDescent="0.25">
      <c r="A7022" s="16" t="s">
        <v>21429</v>
      </c>
      <c r="B7022" s="17" t="s">
        <v>21430</v>
      </c>
      <c r="C7022" s="17" t="s">
        <v>11</v>
      </c>
      <c r="D7022" s="17" t="s">
        <v>26</v>
      </c>
      <c r="E7022" s="17" t="s">
        <v>20</v>
      </c>
      <c r="F7022" s="16" t="s">
        <v>21431</v>
      </c>
    </row>
    <row r="7023" spans="1:6" x14ac:dyDescent="0.25">
      <c r="A7023" s="16" t="s">
        <v>21432</v>
      </c>
      <c r="B7023" s="17" t="s">
        <v>21433</v>
      </c>
      <c r="C7023" s="17" t="s">
        <v>1235</v>
      </c>
      <c r="D7023" s="17" t="s">
        <v>3377</v>
      </c>
      <c r="E7023" s="17" t="s">
        <v>1237</v>
      </c>
      <c r="F7023" s="16" t="s">
        <v>21434</v>
      </c>
    </row>
    <row r="7024" spans="1:6" x14ac:dyDescent="0.25">
      <c r="A7024" s="16" t="s">
        <v>21435</v>
      </c>
      <c r="B7024" s="17" t="s">
        <v>21436</v>
      </c>
      <c r="C7024" s="17" t="s">
        <v>11</v>
      </c>
      <c r="D7024" s="17" t="s">
        <v>32</v>
      </c>
      <c r="E7024" s="17" t="s">
        <v>20</v>
      </c>
      <c r="F7024" s="16" t="s">
        <v>21437</v>
      </c>
    </row>
    <row r="7025" spans="1:6" x14ac:dyDescent="0.25">
      <c r="A7025" s="16" t="s">
        <v>21438</v>
      </c>
      <c r="B7025" s="17" t="s">
        <v>21439</v>
      </c>
      <c r="C7025" s="17" t="s">
        <v>11</v>
      </c>
      <c r="D7025" s="17" t="s">
        <v>570</v>
      </c>
      <c r="E7025" s="17" t="s">
        <v>20</v>
      </c>
      <c r="F7025" s="16" t="s">
        <v>21440</v>
      </c>
    </row>
    <row r="7026" spans="1:6" x14ac:dyDescent="0.25">
      <c r="A7026" s="16" t="s">
        <v>21441</v>
      </c>
      <c r="B7026" s="17" t="s">
        <v>21442</v>
      </c>
      <c r="C7026" s="17" t="s">
        <v>11</v>
      </c>
      <c r="D7026" s="17" t="s">
        <v>26</v>
      </c>
      <c r="E7026" s="17" t="s">
        <v>20</v>
      </c>
      <c r="F7026" s="16" t="s">
        <v>21443</v>
      </c>
    </row>
    <row r="7027" spans="1:6" x14ac:dyDescent="0.25">
      <c r="A7027" s="16" t="s">
        <v>21444</v>
      </c>
      <c r="B7027" s="17" t="s">
        <v>21445</v>
      </c>
      <c r="C7027" s="17" t="s">
        <v>11</v>
      </c>
      <c r="D7027" s="17" t="s">
        <v>32</v>
      </c>
      <c r="E7027" s="17" t="s">
        <v>20</v>
      </c>
      <c r="F7027" s="16" t="s">
        <v>21446</v>
      </c>
    </row>
    <row r="7028" spans="1:6" x14ac:dyDescent="0.25">
      <c r="A7028" s="16" t="s">
        <v>21447</v>
      </c>
      <c r="B7028" s="17" t="s">
        <v>21448</v>
      </c>
      <c r="C7028" s="17" t="s">
        <v>11</v>
      </c>
      <c r="D7028" s="17" t="s">
        <v>32</v>
      </c>
      <c r="E7028" s="17" t="s">
        <v>20</v>
      </c>
      <c r="F7028" s="16" t="s">
        <v>21449</v>
      </c>
    </row>
    <row r="7029" spans="1:6" x14ac:dyDescent="0.25">
      <c r="A7029" s="16" t="s">
        <v>21450</v>
      </c>
      <c r="B7029" s="17" t="s">
        <v>21451</v>
      </c>
      <c r="C7029" s="17" t="s">
        <v>11</v>
      </c>
      <c r="D7029" s="17" t="s">
        <v>32</v>
      </c>
      <c r="E7029" s="17" t="s">
        <v>20</v>
      </c>
      <c r="F7029" s="16" t="s">
        <v>21452</v>
      </c>
    </row>
    <row r="7030" spans="1:6" x14ac:dyDescent="0.25">
      <c r="A7030" s="16" t="s">
        <v>21453</v>
      </c>
      <c r="B7030" s="17" t="s">
        <v>21454</v>
      </c>
      <c r="C7030" s="17" t="s">
        <v>11</v>
      </c>
      <c r="D7030" s="17" t="s">
        <v>32</v>
      </c>
      <c r="E7030" s="17" t="s">
        <v>20</v>
      </c>
      <c r="F7030" s="16" t="s">
        <v>21455</v>
      </c>
    </row>
    <row r="7031" spans="1:6" x14ac:dyDescent="0.25">
      <c r="A7031" s="16" t="s">
        <v>21456</v>
      </c>
      <c r="B7031" s="17" t="s">
        <v>21457</v>
      </c>
      <c r="C7031" s="17" t="s">
        <v>11</v>
      </c>
      <c r="D7031" s="17" t="s">
        <v>32</v>
      </c>
      <c r="E7031" s="17" t="s">
        <v>20</v>
      </c>
      <c r="F7031" s="16" t="s">
        <v>21458</v>
      </c>
    </row>
    <row r="7032" spans="1:6" x14ac:dyDescent="0.25">
      <c r="A7032" s="16" t="s">
        <v>21459</v>
      </c>
      <c r="B7032" s="17" t="s">
        <v>21460</v>
      </c>
      <c r="C7032" s="17" t="s">
        <v>11</v>
      </c>
      <c r="D7032" s="17" t="s">
        <v>544</v>
      </c>
      <c r="E7032" s="17" t="s">
        <v>20</v>
      </c>
      <c r="F7032" s="16" t="s">
        <v>21461</v>
      </c>
    </row>
    <row r="7033" spans="1:6" x14ac:dyDescent="0.25">
      <c r="A7033" s="16" t="s">
        <v>21462</v>
      </c>
      <c r="B7033" s="17" t="s">
        <v>21463</v>
      </c>
      <c r="C7033" s="17" t="s">
        <v>11</v>
      </c>
      <c r="D7033" s="17" t="s">
        <v>32</v>
      </c>
      <c r="E7033" s="17" t="s">
        <v>20</v>
      </c>
      <c r="F7033" s="16" t="s">
        <v>21464</v>
      </c>
    </row>
    <row r="7034" spans="1:6" x14ac:dyDescent="0.25">
      <c r="A7034" s="16" t="s">
        <v>21465</v>
      </c>
      <c r="B7034" s="17" t="s">
        <v>21466</v>
      </c>
      <c r="C7034" s="17" t="s">
        <v>11</v>
      </c>
      <c r="D7034" s="17" t="s">
        <v>32</v>
      </c>
      <c r="E7034" s="17" t="s">
        <v>20</v>
      </c>
      <c r="F7034" s="16" t="s">
        <v>21467</v>
      </c>
    </row>
    <row r="7035" spans="1:6" x14ac:dyDescent="0.25">
      <c r="A7035" s="16" t="s">
        <v>21468</v>
      </c>
      <c r="B7035" s="17" t="s">
        <v>21469</v>
      </c>
      <c r="C7035" s="17" t="s">
        <v>11</v>
      </c>
      <c r="D7035" s="17" t="s">
        <v>32</v>
      </c>
      <c r="E7035" s="17" t="s">
        <v>20</v>
      </c>
      <c r="F7035" s="16" t="s">
        <v>21470</v>
      </c>
    </row>
    <row r="7036" spans="1:6" x14ac:dyDescent="0.25">
      <c r="A7036" s="16" t="s">
        <v>21471</v>
      </c>
      <c r="B7036" s="17" t="s">
        <v>21472</v>
      </c>
      <c r="C7036" s="17" t="s">
        <v>11</v>
      </c>
      <c r="D7036" s="17" t="s">
        <v>32</v>
      </c>
      <c r="E7036" s="17" t="s">
        <v>20</v>
      </c>
      <c r="F7036" s="16" t="s">
        <v>21473</v>
      </c>
    </row>
    <row r="7037" spans="1:6" x14ac:dyDescent="0.25">
      <c r="A7037" s="16" t="s">
        <v>21474</v>
      </c>
      <c r="B7037" s="17" t="s">
        <v>21475</v>
      </c>
      <c r="C7037" s="17" t="s">
        <v>11</v>
      </c>
      <c r="D7037" s="17" t="s">
        <v>26</v>
      </c>
      <c r="E7037" s="17" t="s">
        <v>20</v>
      </c>
      <c r="F7037" s="16" t="s">
        <v>21476</v>
      </c>
    </row>
    <row r="7038" spans="1:6" x14ac:dyDescent="0.25">
      <c r="A7038" s="16" t="s">
        <v>21477</v>
      </c>
      <c r="B7038" s="17" t="s">
        <v>21478</v>
      </c>
      <c r="C7038" s="17" t="s">
        <v>11</v>
      </c>
      <c r="D7038" s="17" t="s">
        <v>83</v>
      </c>
      <c r="E7038" s="17" t="s">
        <v>20</v>
      </c>
      <c r="F7038" s="16" t="s">
        <v>21479</v>
      </c>
    </row>
    <row r="7039" spans="1:6" x14ac:dyDescent="0.25">
      <c r="A7039" s="16" t="s">
        <v>21480</v>
      </c>
      <c r="B7039" s="17" t="s">
        <v>21481</v>
      </c>
      <c r="C7039" s="17" t="s">
        <v>11</v>
      </c>
      <c r="D7039" s="17" t="s">
        <v>32</v>
      </c>
      <c r="E7039" s="17" t="s">
        <v>20</v>
      </c>
      <c r="F7039" s="16" t="s">
        <v>21482</v>
      </c>
    </row>
    <row r="7040" spans="1:6" x14ac:dyDescent="0.25">
      <c r="A7040" s="16" t="s">
        <v>21483</v>
      </c>
      <c r="B7040" s="17" t="s">
        <v>21484</v>
      </c>
      <c r="C7040" s="17" t="s">
        <v>11</v>
      </c>
      <c r="D7040" s="17" t="s">
        <v>32</v>
      </c>
      <c r="E7040" s="17" t="s">
        <v>20</v>
      </c>
      <c r="F7040" s="16" t="s">
        <v>21485</v>
      </c>
    </row>
    <row r="7041" spans="1:6" x14ac:dyDescent="0.25">
      <c r="A7041" s="16" t="s">
        <v>21486</v>
      </c>
      <c r="B7041" s="17" t="s">
        <v>21487</v>
      </c>
      <c r="C7041" s="17" t="s">
        <v>11</v>
      </c>
      <c r="D7041" s="17" t="s">
        <v>32</v>
      </c>
      <c r="E7041" s="17" t="s">
        <v>20</v>
      </c>
      <c r="F7041" s="16" t="s">
        <v>21488</v>
      </c>
    </row>
    <row r="7042" spans="1:6" x14ac:dyDescent="0.25">
      <c r="A7042" s="16" t="s">
        <v>21489</v>
      </c>
      <c r="B7042" s="17" t="s">
        <v>21490</v>
      </c>
      <c r="C7042" s="17" t="s">
        <v>11</v>
      </c>
      <c r="D7042" s="17" t="s">
        <v>148</v>
      </c>
      <c r="E7042" s="17" t="s">
        <v>20</v>
      </c>
      <c r="F7042" s="16" t="s">
        <v>21491</v>
      </c>
    </row>
    <row r="7043" spans="1:6" x14ac:dyDescent="0.25">
      <c r="A7043" s="16" t="s">
        <v>21492</v>
      </c>
      <c r="B7043" s="17" t="s">
        <v>21493</v>
      </c>
      <c r="C7043" s="17" t="s">
        <v>11</v>
      </c>
      <c r="D7043" s="17" t="s">
        <v>32</v>
      </c>
      <c r="E7043" s="17" t="s">
        <v>20</v>
      </c>
      <c r="F7043" s="16" t="s">
        <v>21494</v>
      </c>
    </row>
    <row r="7044" spans="1:6" x14ac:dyDescent="0.25">
      <c r="A7044" s="16" t="s">
        <v>21495</v>
      </c>
      <c r="B7044" s="17" t="s">
        <v>21496</v>
      </c>
      <c r="C7044" s="17" t="s">
        <v>359</v>
      </c>
      <c r="D7044" s="17" t="s">
        <v>32</v>
      </c>
      <c r="E7044" s="17" t="s">
        <v>20</v>
      </c>
      <c r="F7044" s="16" t="s">
        <v>21497</v>
      </c>
    </row>
    <row r="7045" spans="1:6" x14ac:dyDescent="0.25">
      <c r="A7045" s="16" t="s">
        <v>21498</v>
      </c>
      <c r="B7045" s="17" t="s">
        <v>21499</v>
      </c>
      <c r="C7045" s="17" t="s">
        <v>11</v>
      </c>
      <c r="D7045" s="17" t="s">
        <v>83</v>
      </c>
      <c r="E7045" s="17" t="s">
        <v>20</v>
      </c>
      <c r="F7045" s="16" t="s">
        <v>21500</v>
      </c>
    </row>
    <row r="7046" spans="1:6" x14ac:dyDescent="0.25">
      <c r="A7046" s="16" t="s">
        <v>21501</v>
      </c>
      <c r="B7046" s="17" t="s">
        <v>21502</v>
      </c>
      <c r="C7046" s="17" t="s">
        <v>11</v>
      </c>
      <c r="D7046" s="17" t="s">
        <v>32</v>
      </c>
      <c r="E7046" s="17" t="s">
        <v>20</v>
      </c>
      <c r="F7046" s="16" t="s">
        <v>21503</v>
      </c>
    </row>
    <row r="7047" spans="1:6" x14ac:dyDescent="0.25">
      <c r="A7047" s="16" t="s">
        <v>21504</v>
      </c>
      <c r="B7047" s="17" t="s">
        <v>21505</v>
      </c>
      <c r="C7047" s="17" t="s">
        <v>11</v>
      </c>
      <c r="D7047" s="17" t="s">
        <v>32</v>
      </c>
      <c r="E7047" s="17" t="s">
        <v>20</v>
      </c>
      <c r="F7047" s="16" t="s">
        <v>21506</v>
      </c>
    </row>
    <row r="7048" spans="1:6" x14ac:dyDescent="0.25">
      <c r="A7048" s="16" t="s">
        <v>21507</v>
      </c>
      <c r="B7048" s="17" t="s">
        <v>21508</v>
      </c>
      <c r="C7048" s="17" t="s">
        <v>11</v>
      </c>
      <c r="D7048" s="17" t="s">
        <v>32</v>
      </c>
      <c r="E7048" s="17" t="s">
        <v>20</v>
      </c>
      <c r="F7048" s="16" t="s">
        <v>21509</v>
      </c>
    </row>
    <row r="7049" spans="1:6" x14ac:dyDescent="0.25">
      <c r="A7049" s="16" t="s">
        <v>21510</v>
      </c>
      <c r="B7049" s="17" t="s">
        <v>21511</v>
      </c>
      <c r="C7049" s="17" t="s">
        <v>11</v>
      </c>
      <c r="D7049" s="17" t="s">
        <v>32</v>
      </c>
      <c r="E7049" s="17" t="s">
        <v>20</v>
      </c>
      <c r="F7049" s="16" t="s">
        <v>21512</v>
      </c>
    </row>
    <row r="7050" spans="1:6" x14ac:dyDescent="0.25">
      <c r="A7050" s="16" t="s">
        <v>21513</v>
      </c>
      <c r="B7050" s="17" t="s">
        <v>21514</v>
      </c>
      <c r="C7050" s="17" t="s">
        <v>11</v>
      </c>
      <c r="D7050" s="17" t="s">
        <v>83</v>
      </c>
      <c r="E7050" s="17" t="s">
        <v>20</v>
      </c>
      <c r="F7050" s="16" t="s">
        <v>21515</v>
      </c>
    </row>
    <row r="7051" spans="1:6" x14ac:dyDescent="0.25">
      <c r="A7051" s="16" t="s">
        <v>21516</v>
      </c>
      <c r="B7051" s="17" t="s">
        <v>21517</v>
      </c>
      <c r="C7051" s="17" t="s">
        <v>11</v>
      </c>
      <c r="D7051" s="17" t="s">
        <v>32</v>
      </c>
      <c r="E7051" s="17" t="s">
        <v>20</v>
      </c>
      <c r="F7051" s="16" t="s">
        <v>21518</v>
      </c>
    </row>
    <row r="7052" spans="1:6" x14ac:dyDescent="0.25">
      <c r="A7052" s="16" t="s">
        <v>21519</v>
      </c>
      <c r="B7052" s="17" t="s">
        <v>21520</v>
      </c>
      <c r="C7052" s="17" t="s">
        <v>214</v>
      </c>
      <c r="D7052" s="17" t="s">
        <v>148</v>
      </c>
      <c r="E7052" s="17" t="s">
        <v>20</v>
      </c>
      <c r="F7052" s="16" t="s">
        <v>21521</v>
      </c>
    </row>
    <row r="7053" spans="1:6" x14ac:dyDescent="0.25">
      <c r="A7053" s="16" t="s">
        <v>21522</v>
      </c>
      <c r="B7053" s="17" t="s">
        <v>21523</v>
      </c>
      <c r="C7053" s="17" t="s">
        <v>11</v>
      </c>
      <c r="D7053" s="17" t="s">
        <v>32</v>
      </c>
      <c r="E7053" s="17" t="s">
        <v>20</v>
      </c>
      <c r="F7053" s="16" t="s">
        <v>21524</v>
      </c>
    </row>
    <row r="7054" spans="1:6" x14ac:dyDescent="0.25">
      <c r="A7054" s="16" t="s">
        <v>21525</v>
      </c>
      <c r="B7054" s="17" t="s">
        <v>21526</v>
      </c>
      <c r="C7054" s="17" t="s">
        <v>11</v>
      </c>
      <c r="D7054" s="17" t="s">
        <v>32</v>
      </c>
      <c r="E7054" s="17" t="s">
        <v>20</v>
      </c>
      <c r="F7054" s="16" t="s">
        <v>21527</v>
      </c>
    </row>
    <row r="7055" spans="1:6" x14ac:dyDescent="0.25">
      <c r="A7055" s="16" t="s">
        <v>21528</v>
      </c>
      <c r="B7055" s="17" t="s">
        <v>21529</v>
      </c>
      <c r="C7055" s="17" t="s">
        <v>11</v>
      </c>
      <c r="D7055" s="17" t="s">
        <v>32</v>
      </c>
      <c r="E7055" s="17" t="s">
        <v>20</v>
      </c>
      <c r="F7055" s="16" t="s">
        <v>21530</v>
      </c>
    </row>
    <row r="7056" spans="1:6" x14ac:dyDescent="0.25">
      <c r="A7056" s="16" t="s">
        <v>21531</v>
      </c>
      <c r="B7056" s="17" t="s">
        <v>21532</v>
      </c>
      <c r="C7056" s="17" t="s">
        <v>11</v>
      </c>
      <c r="D7056" s="17" t="s">
        <v>148</v>
      </c>
      <c r="E7056" s="17" t="s">
        <v>20</v>
      </c>
      <c r="F7056" s="16" t="s">
        <v>21533</v>
      </c>
    </row>
    <row r="7057" spans="1:6" x14ac:dyDescent="0.25">
      <c r="A7057" s="16" t="s">
        <v>21534</v>
      </c>
      <c r="B7057" s="17" t="s">
        <v>21535</v>
      </c>
      <c r="C7057" s="17" t="s">
        <v>11</v>
      </c>
      <c r="D7057" s="17" t="s">
        <v>32</v>
      </c>
      <c r="E7057" s="17" t="s">
        <v>20</v>
      </c>
      <c r="F7057" s="16" t="s">
        <v>21536</v>
      </c>
    </row>
    <row r="7058" spans="1:6" x14ac:dyDescent="0.25">
      <c r="A7058" s="16" t="s">
        <v>21537</v>
      </c>
      <c r="B7058" s="17" t="s">
        <v>21538</v>
      </c>
      <c r="C7058" s="17" t="s">
        <v>11</v>
      </c>
      <c r="D7058" s="17" t="s">
        <v>83</v>
      </c>
      <c r="E7058" s="17" t="s">
        <v>20</v>
      </c>
      <c r="F7058" s="16" t="s">
        <v>21539</v>
      </c>
    </row>
    <row r="7059" spans="1:6" x14ac:dyDescent="0.25">
      <c r="A7059" s="16" t="s">
        <v>21540</v>
      </c>
      <c r="B7059" s="17" t="s">
        <v>21541</v>
      </c>
      <c r="C7059" s="17" t="s">
        <v>11</v>
      </c>
      <c r="D7059" s="17" t="s">
        <v>148</v>
      </c>
      <c r="E7059" s="17" t="s">
        <v>20</v>
      </c>
      <c r="F7059" s="16" t="s">
        <v>21542</v>
      </c>
    </row>
    <row r="7060" spans="1:6" x14ac:dyDescent="0.25">
      <c r="A7060" s="16" t="s">
        <v>21543</v>
      </c>
      <c r="B7060" s="17" t="s">
        <v>21544</v>
      </c>
      <c r="C7060" s="17" t="s">
        <v>11</v>
      </c>
      <c r="D7060" s="17" t="s">
        <v>32</v>
      </c>
      <c r="E7060" s="17" t="s">
        <v>20</v>
      </c>
      <c r="F7060" s="16" t="s">
        <v>21545</v>
      </c>
    </row>
    <row r="7061" spans="1:6" x14ac:dyDescent="0.25">
      <c r="A7061" s="16" t="s">
        <v>21546</v>
      </c>
      <c r="B7061" s="17" t="s">
        <v>21547</v>
      </c>
      <c r="C7061" s="17" t="s">
        <v>11</v>
      </c>
      <c r="D7061" s="17" t="s">
        <v>83</v>
      </c>
      <c r="E7061" s="17" t="s">
        <v>20</v>
      </c>
      <c r="F7061" s="16" t="s">
        <v>21548</v>
      </c>
    </row>
    <row r="7062" spans="1:6" x14ac:dyDescent="0.25">
      <c r="A7062" s="16" t="s">
        <v>21549</v>
      </c>
      <c r="B7062" s="17" t="s">
        <v>21550</v>
      </c>
      <c r="C7062" s="17" t="s">
        <v>214</v>
      </c>
      <c r="D7062" s="17" t="s">
        <v>26</v>
      </c>
      <c r="E7062" s="17" t="s">
        <v>20</v>
      </c>
      <c r="F7062" s="16" t="s">
        <v>21551</v>
      </c>
    </row>
    <row r="7063" spans="1:6" x14ac:dyDescent="0.25">
      <c r="A7063" s="16" t="s">
        <v>21552</v>
      </c>
      <c r="B7063" s="17" t="s">
        <v>21553</v>
      </c>
      <c r="C7063" s="17" t="s">
        <v>11</v>
      </c>
      <c r="D7063" s="17" t="s">
        <v>83</v>
      </c>
      <c r="E7063" s="17" t="s">
        <v>20</v>
      </c>
      <c r="F7063" s="16" t="s">
        <v>21554</v>
      </c>
    </row>
    <row r="7064" spans="1:6" x14ac:dyDescent="0.25">
      <c r="A7064" s="16" t="s">
        <v>21555</v>
      </c>
      <c r="B7064" s="17" t="s">
        <v>21556</v>
      </c>
      <c r="C7064" s="17" t="s">
        <v>11</v>
      </c>
      <c r="D7064" s="17" t="s">
        <v>32</v>
      </c>
      <c r="E7064" s="17" t="s">
        <v>20</v>
      </c>
      <c r="F7064" s="16" t="s">
        <v>21557</v>
      </c>
    </row>
    <row r="7065" spans="1:6" x14ac:dyDescent="0.25">
      <c r="A7065" s="16" t="s">
        <v>21558</v>
      </c>
      <c r="B7065" s="17" t="s">
        <v>21559</v>
      </c>
      <c r="C7065" s="17" t="s">
        <v>11</v>
      </c>
      <c r="D7065" s="17" t="s">
        <v>32</v>
      </c>
      <c r="E7065" s="17" t="s">
        <v>20</v>
      </c>
      <c r="F7065" s="16" t="s">
        <v>21560</v>
      </c>
    </row>
    <row r="7066" spans="1:6" x14ac:dyDescent="0.25">
      <c r="A7066" s="16" t="s">
        <v>21561</v>
      </c>
      <c r="B7066" s="17" t="s">
        <v>21562</v>
      </c>
      <c r="C7066" s="17" t="s">
        <v>11</v>
      </c>
      <c r="D7066" s="17" t="s">
        <v>32</v>
      </c>
      <c r="E7066" s="17" t="s">
        <v>20</v>
      </c>
      <c r="F7066" s="16" t="s">
        <v>21563</v>
      </c>
    </row>
    <row r="7067" spans="1:6" x14ac:dyDescent="0.25">
      <c r="A7067" s="16" t="s">
        <v>21564</v>
      </c>
      <c r="B7067" s="17" t="s">
        <v>21565</v>
      </c>
      <c r="C7067" s="17" t="s">
        <v>11</v>
      </c>
      <c r="D7067" s="17" t="s">
        <v>544</v>
      </c>
      <c r="E7067" s="17" t="s">
        <v>20</v>
      </c>
      <c r="F7067" s="16" t="s">
        <v>21566</v>
      </c>
    </row>
    <row r="7068" spans="1:6" x14ac:dyDescent="0.25">
      <c r="A7068" s="16" t="s">
        <v>21567</v>
      </c>
      <c r="B7068" s="17" t="s">
        <v>21568</v>
      </c>
      <c r="C7068" s="17" t="s">
        <v>11</v>
      </c>
      <c r="D7068" s="17" t="s">
        <v>148</v>
      </c>
      <c r="E7068" s="17" t="s">
        <v>20</v>
      </c>
      <c r="F7068" s="16" t="s">
        <v>21569</v>
      </c>
    </row>
    <row r="7069" spans="1:6" x14ac:dyDescent="0.25">
      <c r="A7069" s="16" t="s">
        <v>21570</v>
      </c>
      <c r="B7069" s="17" t="s">
        <v>21571</v>
      </c>
      <c r="C7069" s="17" t="s">
        <v>11</v>
      </c>
      <c r="D7069" s="17" t="s">
        <v>32</v>
      </c>
      <c r="E7069" s="17" t="s">
        <v>20</v>
      </c>
      <c r="F7069" s="16" t="s">
        <v>21572</v>
      </c>
    </row>
    <row r="7070" spans="1:6" x14ac:dyDescent="0.25">
      <c r="A7070" s="16" t="s">
        <v>21573</v>
      </c>
      <c r="B7070" s="17" t="s">
        <v>21574</v>
      </c>
      <c r="C7070" s="17" t="s">
        <v>11</v>
      </c>
      <c r="D7070" s="17" t="s">
        <v>32</v>
      </c>
      <c r="E7070" s="17" t="s">
        <v>20</v>
      </c>
      <c r="F7070" s="16" t="s">
        <v>21575</v>
      </c>
    </row>
    <row r="7071" spans="1:6" x14ac:dyDescent="0.25">
      <c r="A7071" s="16" t="s">
        <v>21576</v>
      </c>
      <c r="B7071" s="17" t="s">
        <v>21577</v>
      </c>
      <c r="C7071" s="17" t="s">
        <v>11</v>
      </c>
      <c r="D7071" s="17" t="s">
        <v>32</v>
      </c>
      <c r="E7071" s="17" t="s">
        <v>20</v>
      </c>
      <c r="F7071" s="16" t="s">
        <v>21578</v>
      </c>
    </row>
    <row r="7072" spans="1:6" x14ac:dyDescent="0.25">
      <c r="A7072" s="16" t="s">
        <v>21579</v>
      </c>
      <c r="B7072" s="17" t="s">
        <v>21580</v>
      </c>
      <c r="C7072" s="17" t="s">
        <v>11</v>
      </c>
      <c r="D7072" s="17" t="s">
        <v>32</v>
      </c>
      <c r="E7072" s="17" t="s">
        <v>20</v>
      </c>
      <c r="F7072" s="16" t="s">
        <v>21581</v>
      </c>
    </row>
    <row r="7073" spans="1:6" x14ac:dyDescent="0.25">
      <c r="A7073" s="16" t="s">
        <v>21582</v>
      </c>
      <c r="B7073" s="17" t="s">
        <v>21583</v>
      </c>
      <c r="C7073" s="17" t="s">
        <v>11</v>
      </c>
      <c r="D7073" s="17" t="s">
        <v>32</v>
      </c>
      <c r="E7073" s="17" t="s">
        <v>20</v>
      </c>
      <c r="F7073" s="16" t="s">
        <v>21584</v>
      </c>
    </row>
    <row r="7074" spans="1:6" x14ac:dyDescent="0.25">
      <c r="A7074" s="16" t="s">
        <v>21585</v>
      </c>
      <c r="B7074" s="17" t="s">
        <v>21586</v>
      </c>
      <c r="C7074" s="17" t="s">
        <v>11</v>
      </c>
      <c r="D7074" s="17" t="s">
        <v>32</v>
      </c>
      <c r="E7074" s="17" t="s">
        <v>20</v>
      </c>
      <c r="F7074" s="16" t="s">
        <v>21587</v>
      </c>
    </row>
    <row r="7075" spans="1:6" x14ac:dyDescent="0.25">
      <c r="A7075" s="16" t="s">
        <v>21588</v>
      </c>
      <c r="B7075" s="17" t="s">
        <v>21589</v>
      </c>
      <c r="C7075" s="17" t="s">
        <v>11</v>
      </c>
      <c r="D7075" s="17" t="s">
        <v>83</v>
      </c>
      <c r="E7075" s="17" t="s">
        <v>20</v>
      </c>
      <c r="F7075" s="16" t="s">
        <v>21590</v>
      </c>
    </row>
    <row r="7076" spans="1:6" x14ac:dyDescent="0.25">
      <c r="A7076" s="16" t="s">
        <v>21591</v>
      </c>
      <c r="B7076" s="17" t="s">
        <v>21592</v>
      </c>
      <c r="C7076" s="17" t="s">
        <v>11</v>
      </c>
      <c r="D7076" s="17" t="s">
        <v>83</v>
      </c>
      <c r="E7076" s="17" t="s">
        <v>20</v>
      </c>
      <c r="F7076" s="16" t="s">
        <v>21593</v>
      </c>
    </row>
    <row r="7077" spans="1:6" x14ac:dyDescent="0.25">
      <c r="A7077" s="16" t="s">
        <v>21594</v>
      </c>
      <c r="B7077" s="17" t="s">
        <v>21595</v>
      </c>
      <c r="C7077" s="17" t="s">
        <v>11</v>
      </c>
      <c r="D7077" s="17" t="s">
        <v>26</v>
      </c>
      <c r="E7077" s="17" t="s">
        <v>20</v>
      </c>
      <c r="F7077" s="16" t="s">
        <v>21596</v>
      </c>
    </row>
    <row r="7078" spans="1:6" x14ac:dyDescent="0.25">
      <c r="A7078" s="16" t="s">
        <v>21597</v>
      </c>
      <c r="B7078" s="17" t="s">
        <v>21598</v>
      </c>
      <c r="C7078" s="17" t="s">
        <v>11</v>
      </c>
      <c r="D7078" s="17" t="s">
        <v>148</v>
      </c>
      <c r="E7078" s="17" t="s">
        <v>20</v>
      </c>
      <c r="F7078" s="16" t="s">
        <v>21599</v>
      </c>
    </row>
    <row r="7079" spans="1:6" x14ac:dyDescent="0.25">
      <c r="A7079" s="16" t="s">
        <v>21600</v>
      </c>
      <c r="B7079" s="17" t="s">
        <v>21601</v>
      </c>
      <c r="C7079" s="17" t="s">
        <v>11</v>
      </c>
      <c r="D7079" s="17" t="s">
        <v>32</v>
      </c>
      <c r="E7079" s="17" t="s">
        <v>20</v>
      </c>
      <c r="F7079" s="16" t="s">
        <v>21602</v>
      </c>
    </row>
    <row r="7080" spans="1:6" x14ac:dyDescent="0.25">
      <c r="A7080" s="16" t="s">
        <v>21603</v>
      </c>
      <c r="B7080" s="17" t="s">
        <v>21604</v>
      </c>
      <c r="C7080" s="17" t="s">
        <v>11</v>
      </c>
      <c r="D7080" s="17" t="s">
        <v>32</v>
      </c>
      <c r="E7080" s="17" t="s">
        <v>20</v>
      </c>
      <c r="F7080" s="16" t="s">
        <v>21605</v>
      </c>
    </row>
    <row r="7081" spans="1:6" x14ac:dyDescent="0.25">
      <c r="A7081" s="16" t="s">
        <v>21606</v>
      </c>
      <c r="B7081" s="17" t="s">
        <v>21607</v>
      </c>
      <c r="C7081" s="17" t="s">
        <v>11</v>
      </c>
      <c r="D7081" s="17" t="s">
        <v>32</v>
      </c>
      <c r="E7081" s="17" t="s">
        <v>20</v>
      </c>
      <c r="F7081" s="16" t="s">
        <v>21608</v>
      </c>
    </row>
    <row r="7082" spans="1:6" x14ac:dyDescent="0.25">
      <c r="A7082" s="16" t="s">
        <v>21609</v>
      </c>
      <c r="B7082" s="17" t="s">
        <v>21610</v>
      </c>
      <c r="C7082" s="17" t="s">
        <v>11</v>
      </c>
      <c r="D7082" s="17" t="s">
        <v>32</v>
      </c>
      <c r="E7082" s="17" t="s">
        <v>20</v>
      </c>
      <c r="F7082" s="16" t="s">
        <v>21611</v>
      </c>
    </row>
    <row r="7083" spans="1:6" x14ac:dyDescent="0.25">
      <c r="A7083" s="16" t="s">
        <v>21612</v>
      </c>
      <c r="B7083" s="17" t="s">
        <v>21613</v>
      </c>
      <c r="C7083" s="17" t="s">
        <v>11</v>
      </c>
      <c r="D7083" s="17" t="s">
        <v>26</v>
      </c>
      <c r="E7083" s="17" t="s">
        <v>20</v>
      </c>
      <c r="F7083" s="16" t="s">
        <v>21614</v>
      </c>
    </row>
    <row r="7084" spans="1:6" x14ac:dyDescent="0.25">
      <c r="A7084" s="16" t="s">
        <v>21615</v>
      </c>
      <c r="B7084" s="17" t="s">
        <v>21616</v>
      </c>
      <c r="C7084" s="17" t="s">
        <v>11</v>
      </c>
      <c r="D7084" s="17" t="s">
        <v>544</v>
      </c>
      <c r="E7084" s="17" t="s">
        <v>20</v>
      </c>
      <c r="F7084" s="16" t="s">
        <v>21617</v>
      </c>
    </row>
    <row r="7085" spans="1:6" x14ac:dyDescent="0.25">
      <c r="A7085" s="16" t="s">
        <v>21618</v>
      </c>
      <c r="B7085" s="17" t="s">
        <v>21619</v>
      </c>
      <c r="C7085" s="17" t="s">
        <v>11</v>
      </c>
      <c r="D7085" s="17" t="s">
        <v>32</v>
      </c>
      <c r="E7085" s="17" t="s">
        <v>20</v>
      </c>
      <c r="F7085" s="16" t="s">
        <v>21620</v>
      </c>
    </row>
    <row r="7086" spans="1:6" x14ac:dyDescent="0.25">
      <c r="A7086" s="16" t="s">
        <v>21621</v>
      </c>
      <c r="B7086" s="17" t="s">
        <v>21622</v>
      </c>
      <c r="C7086" s="17" t="s">
        <v>11</v>
      </c>
      <c r="D7086" s="17" t="s">
        <v>32</v>
      </c>
      <c r="E7086" s="17" t="s">
        <v>20</v>
      </c>
      <c r="F7086" s="16" t="s">
        <v>21623</v>
      </c>
    </row>
    <row r="7087" spans="1:6" x14ac:dyDescent="0.25">
      <c r="A7087" s="16" t="s">
        <v>21624</v>
      </c>
      <c r="B7087" s="17" t="s">
        <v>21625</v>
      </c>
      <c r="C7087" s="17" t="s">
        <v>11</v>
      </c>
      <c r="D7087" s="17" t="s">
        <v>32</v>
      </c>
      <c r="E7087" s="17" t="s">
        <v>20</v>
      </c>
      <c r="F7087" s="16" t="s">
        <v>21626</v>
      </c>
    </row>
    <row r="7088" spans="1:6" x14ac:dyDescent="0.25">
      <c r="A7088" s="16" t="s">
        <v>21627</v>
      </c>
      <c r="B7088" s="17" t="s">
        <v>21628</v>
      </c>
      <c r="C7088" s="17" t="s">
        <v>11</v>
      </c>
      <c r="D7088" s="17" t="s">
        <v>3346</v>
      </c>
      <c r="E7088" s="17" t="s">
        <v>20</v>
      </c>
      <c r="F7088" s="16" t="s">
        <v>21629</v>
      </c>
    </row>
    <row r="7089" spans="1:6" x14ac:dyDescent="0.25">
      <c r="A7089" s="16" t="s">
        <v>21630</v>
      </c>
      <c r="B7089" s="17" t="s">
        <v>21631</v>
      </c>
      <c r="C7089" s="17" t="s">
        <v>11</v>
      </c>
      <c r="D7089" s="17" t="s">
        <v>32</v>
      </c>
      <c r="E7089" s="17" t="s">
        <v>20</v>
      </c>
      <c r="F7089" s="16" t="s">
        <v>21632</v>
      </c>
    </row>
    <row r="7090" spans="1:6" x14ac:dyDescent="0.25">
      <c r="A7090" s="16" t="s">
        <v>21633</v>
      </c>
      <c r="B7090" s="17" t="s">
        <v>21634</v>
      </c>
      <c r="C7090" s="17" t="s">
        <v>11</v>
      </c>
      <c r="D7090" s="17" t="s">
        <v>148</v>
      </c>
      <c r="E7090" s="17" t="s">
        <v>20</v>
      </c>
      <c r="F7090" s="16" t="s">
        <v>21635</v>
      </c>
    </row>
    <row r="7091" spans="1:6" x14ac:dyDescent="0.25">
      <c r="A7091" s="16" t="s">
        <v>21636</v>
      </c>
      <c r="B7091" s="17" t="s">
        <v>21637</v>
      </c>
      <c r="C7091" s="17" t="s">
        <v>11</v>
      </c>
      <c r="D7091" s="17" t="s">
        <v>544</v>
      </c>
      <c r="E7091" s="17" t="s">
        <v>20</v>
      </c>
      <c r="F7091" s="16" t="s">
        <v>21638</v>
      </c>
    </row>
    <row r="7092" spans="1:6" x14ac:dyDescent="0.25">
      <c r="A7092" s="16" t="s">
        <v>21639</v>
      </c>
      <c r="B7092" s="17" t="s">
        <v>21640</v>
      </c>
      <c r="C7092" s="17" t="s">
        <v>359</v>
      </c>
      <c r="D7092" s="17" t="s">
        <v>32</v>
      </c>
      <c r="E7092" s="17" t="s">
        <v>20</v>
      </c>
      <c r="F7092" s="16" t="s">
        <v>21641</v>
      </c>
    </row>
    <row r="7093" spans="1:6" x14ac:dyDescent="0.25">
      <c r="A7093" s="16" t="s">
        <v>21642</v>
      </c>
      <c r="B7093" s="17" t="s">
        <v>21643</v>
      </c>
      <c r="C7093" s="17" t="s">
        <v>11</v>
      </c>
      <c r="D7093" s="17" t="s">
        <v>83</v>
      </c>
      <c r="E7093" s="17" t="s">
        <v>20</v>
      </c>
      <c r="F7093" s="16" t="s">
        <v>21644</v>
      </c>
    </row>
    <row r="7094" spans="1:6" x14ac:dyDescent="0.25">
      <c r="A7094" s="16" t="s">
        <v>21645</v>
      </c>
      <c r="B7094" s="17" t="s">
        <v>21646</v>
      </c>
      <c r="C7094" s="17" t="s">
        <v>11</v>
      </c>
      <c r="D7094" s="17" t="s">
        <v>32</v>
      </c>
      <c r="E7094" s="17" t="s">
        <v>20</v>
      </c>
      <c r="F7094" s="16" t="s">
        <v>21647</v>
      </c>
    </row>
    <row r="7095" spans="1:6" x14ac:dyDescent="0.25">
      <c r="A7095" s="16" t="s">
        <v>21648</v>
      </c>
      <c r="B7095" s="17" t="s">
        <v>21649</v>
      </c>
      <c r="C7095" s="17" t="s">
        <v>11</v>
      </c>
      <c r="D7095" s="17" t="s">
        <v>32</v>
      </c>
      <c r="E7095" s="17" t="s">
        <v>20</v>
      </c>
      <c r="F7095" s="16" t="s">
        <v>21650</v>
      </c>
    </row>
    <row r="7096" spans="1:6" x14ac:dyDescent="0.25">
      <c r="A7096" s="16" t="s">
        <v>21651</v>
      </c>
      <c r="B7096" s="17" t="s">
        <v>21652</v>
      </c>
      <c r="C7096" s="17" t="s">
        <v>11</v>
      </c>
      <c r="D7096" s="17" t="s">
        <v>148</v>
      </c>
      <c r="E7096" s="17" t="s">
        <v>20</v>
      </c>
      <c r="F7096" s="16" t="s">
        <v>21653</v>
      </c>
    </row>
    <row r="7097" spans="1:6" x14ac:dyDescent="0.25">
      <c r="A7097" s="16" t="s">
        <v>21654</v>
      </c>
      <c r="B7097" s="17" t="s">
        <v>21655</v>
      </c>
      <c r="C7097" s="17" t="s">
        <v>11</v>
      </c>
      <c r="D7097" s="17" t="s">
        <v>32</v>
      </c>
      <c r="E7097" s="17" t="s">
        <v>20</v>
      </c>
      <c r="F7097" s="16" t="s">
        <v>21656</v>
      </c>
    </row>
    <row r="7098" spans="1:6" x14ac:dyDescent="0.25">
      <c r="A7098" s="16" t="s">
        <v>21657</v>
      </c>
      <c r="B7098" s="17" t="s">
        <v>21658</v>
      </c>
      <c r="C7098" s="17" t="s">
        <v>11</v>
      </c>
      <c r="D7098" s="17" t="s">
        <v>32</v>
      </c>
      <c r="E7098" s="17" t="s">
        <v>20</v>
      </c>
      <c r="F7098" s="16" t="s">
        <v>21659</v>
      </c>
    </row>
    <row r="7099" spans="1:6" x14ac:dyDescent="0.25">
      <c r="A7099" s="16" t="s">
        <v>21660</v>
      </c>
      <c r="B7099" s="17" t="s">
        <v>21661</v>
      </c>
      <c r="C7099" s="17" t="s">
        <v>11</v>
      </c>
      <c r="D7099" s="17" t="s">
        <v>32</v>
      </c>
      <c r="E7099" s="17" t="s">
        <v>20</v>
      </c>
      <c r="F7099" s="16" t="s">
        <v>21662</v>
      </c>
    </row>
    <row r="7100" spans="1:6" x14ac:dyDescent="0.25">
      <c r="A7100" s="16" t="s">
        <v>21663</v>
      </c>
      <c r="B7100" s="17" t="s">
        <v>21664</v>
      </c>
      <c r="C7100" s="17" t="s">
        <v>1235</v>
      </c>
      <c r="D7100" s="17" t="s">
        <v>3377</v>
      </c>
      <c r="E7100" s="17" t="s">
        <v>1237</v>
      </c>
      <c r="F7100" s="16" t="s">
        <v>21665</v>
      </c>
    </row>
    <row r="7101" spans="1:6" x14ac:dyDescent="0.25">
      <c r="A7101" s="16" t="s">
        <v>21666</v>
      </c>
      <c r="B7101" s="17" t="s">
        <v>21667</v>
      </c>
      <c r="C7101" s="17" t="s">
        <v>359</v>
      </c>
      <c r="D7101" s="17" t="s">
        <v>32</v>
      </c>
      <c r="E7101" s="17" t="s">
        <v>20</v>
      </c>
      <c r="F7101" s="16" t="s">
        <v>21668</v>
      </c>
    </row>
    <row r="7102" spans="1:6" x14ac:dyDescent="0.25">
      <c r="A7102" s="16" t="s">
        <v>21669</v>
      </c>
      <c r="B7102" s="17" t="s">
        <v>21670</v>
      </c>
      <c r="C7102" s="17" t="s">
        <v>11</v>
      </c>
      <c r="D7102" s="17" t="s">
        <v>570</v>
      </c>
      <c r="E7102" s="17" t="s">
        <v>20</v>
      </c>
      <c r="F7102" s="16" t="s">
        <v>21671</v>
      </c>
    </row>
    <row r="7103" spans="1:6" x14ac:dyDescent="0.25">
      <c r="A7103" s="16" t="s">
        <v>21672</v>
      </c>
      <c r="B7103" s="17" t="s">
        <v>21673</v>
      </c>
      <c r="C7103" s="17" t="s">
        <v>11</v>
      </c>
      <c r="D7103" s="17" t="s">
        <v>291</v>
      </c>
      <c r="E7103" s="17" t="s">
        <v>20</v>
      </c>
      <c r="F7103" s="16" t="s">
        <v>21674</v>
      </c>
    </row>
    <row r="7104" spans="1:6" x14ac:dyDescent="0.25">
      <c r="A7104" s="16" t="s">
        <v>21675</v>
      </c>
      <c r="B7104" s="17" t="s">
        <v>21676</v>
      </c>
      <c r="C7104" s="17" t="s">
        <v>11</v>
      </c>
      <c r="D7104" s="17" t="s">
        <v>32</v>
      </c>
      <c r="E7104" s="17" t="s">
        <v>20</v>
      </c>
      <c r="F7104" s="16" t="s">
        <v>21677</v>
      </c>
    </row>
    <row r="7105" spans="1:6" x14ac:dyDescent="0.25">
      <c r="A7105" s="16" t="s">
        <v>21678</v>
      </c>
      <c r="B7105" s="17" t="s">
        <v>21679</v>
      </c>
      <c r="C7105" s="17" t="s">
        <v>11</v>
      </c>
      <c r="D7105" s="17" t="s">
        <v>26</v>
      </c>
      <c r="E7105" s="17" t="s">
        <v>20</v>
      </c>
      <c r="F7105" s="16" t="s">
        <v>21680</v>
      </c>
    </row>
    <row r="7106" spans="1:6" x14ac:dyDescent="0.25">
      <c r="A7106" s="16" t="s">
        <v>21681</v>
      </c>
      <c r="B7106" s="17" t="s">
        <v>21682</v>
      </c>
      <c r="C7106" s="17" t="s">
        <v>11</v>
      </c>
      <c r="D7106" s="17" t="s">
        <v>32</v>
      </c>
      <c r="E7106" s="17" t="s">
        <v>20</v>
      </c>
      <c r="F7106" s="16" t="s">
        <v>21683</v>
      </c>
    </row>
    <row r="7107" spans="1:6" x14ac:dyDescent="0.25">
      <c r="A7107" s="16" t="s">
        <v>21684</v>
      </c>
      <c r="B7107" s="17" t="s">
        <v>21685</v>
      </c>
      <c r="C7107" s="17" t="s">
        <v>11</v>
      </c>
      <c r="D7107" s="17" t="s">
        <v>83</v>
      </c>
      <c r="E7107" s="17" t="s">
        <v>20</v>
      </c>
      <c r="F7107" s="16" t="s">
        <v>21686</v>
      </c>
    </row>
    <row r="7108" spans="1:6" x14ac:dyDescent="0.25">
      <c r="A7108" s="16" t="s">
        <v>21687</v>
      </c>
      <c r="B7108" s="17" t="s">
        <v>21688</v>
      </c>
      <c r="C7108" s="17" t="s">
        <v>11</v>
      </c>
      <c r="D7108" s="17" t="s">
        <v>32</v>
      </c>
      <c r="E7108" s="17" t="s">
        <v>20</v>
      </c>
      <c r="F7108" s="16" t="s">
        <v>21689</v>
      </c>
    </row>
    <row r="7109" spans="1:6" x14ac:dyDescent="0.25">
      <c r="A7109" s="16" t="s">
        <v>21690</v>
      </c>
      <c r="B7109" s="17" t="s">
        <v>21691</v>
      </c>
      <c r="C7109" s="17" t="s">
        <v>359</v>
      </c>
      <c r="D7109" s="17" t="s">
        <v>32</v>
      </c>
      <c r="E7109" s="17" t="s">
        <v>20</v>
      </c>
      <c r="F7109" s="16" t="s">
        <v>21692</v>
      </c>
    </row>
    <row r="7110" spans="1:6" x14ac:dyDescent="0.25">
      <c r="A7110" s="16" t="s">
        <v>21693</v>
      </c>
      <c r="B7110" s="17" t="s">
        <v>21694</v>
      </c>
      <c r="C7110" s="17" t="s">
        <v>11</v>
      </c>
      <c r="D7110" s="17" t="s">
        <v>32</v>
      </c>
      <c r="E7110" s="17" t="s">
        <v>20</v>
      </c>
      <c r="F7110" s="16" t="s">
        <v>21695</v>
      </c>
    </row>
    <row r="7111" spans="1:6" x14ac:dyDescent="0.25">
      <c r="A7111" s="16" t="s">
        <v>21696</v>
      </c>
      <c r="B7111" s="17" t="s">
        <v>21697</v>
      </c>
      <c r="C7111" s="17" t="s">
        <v>11</v>
      </c>
      <c r="D7111" s="17" t="s">
        <v>32</v>
      </c>
      <c r="E7111" s="17" t="s">
        <v>20</v>
      </c>
      <c r="F7111" s="16" t="s">
        <v>21698</v>
      </c>
    </row>
    <row r="7112" spans="1:6" x14ac:dyDescent="0.25">
      <c r="A7112" s="16" t="s">
        <v>21699</v>
      </c>
      <c r="B7112" s="17" t="s">
        <v>21700</v>
      </c>
      <c r="C7112" s="17" t="s">
        <v>11</v>
      </c>
      <c r="D7112" s="17" t="s">
        <v>32</v>
      </c>
      <c r="E7112" s="17" t="s">
        <v>20</v>
      </c>
      <c r="F7112" s="16" t="s">
        <v>21701</v>
      </c>
    </row>
    <row r="7113" spans="1:6" x14ac:dyDescent="0.25">
      <c r="A7113" s="16" t="s">
        <v>21702</v>
      </c>
      <c r="B7113" s="17" t="s">
        <v>21703</v>
      </c>
      <c r="C7113" s="17" t="s">
        <v>11</v>
      </c>
      <c r="D7113" s="17" t="s">
        <v>32</v>
      </c>
      <c r="E7113" s="17" t="s">
        <v>20</v>
      </c>
      <c r="F7113" s="16" t="s">
        <v>21704</v>
      </c>
    </row>
    <row r="7114" spans="1:6" x14ac:dyDescent="0.25">
      <c r="A7114" s="16" t="s">
        <v>21705</v>
      </c>
      <c r="B7114" s="17" t="s">
        <v>21706</v>
      </c>
      <c r="C7114" s="17" t="s">
        <v>11</v>
      </c>
      <c r="D7114" s="17" t="s">
        <v>32</v>
      </c>
      <c r="E7114" s="17" t="s">
        <v>20</v>
      </c>
      <c r="F7114" s="16" t="s">
        <v>21707</v>
      </c>
    </row>
    <row r="7115" spans="1:6" x14ac:dyDescent="0.25">
      <c r="A7115" s="16" t="s">
        <v>21708</v>
      </c>
      <c r="B7115" s="17" t="s">
        <v>21709</v>
      </c>
      <c r="C7115" s="17" t="s">
        <v>11</v>
      </c>
      <c r="D7115" s="17" t="s">
        <v>32</v>
      </c>
      <c r="E7115" s="17" t="s">
        <v>20</v>
      </c>
      <c r="F7115" s="16" t="s">
        <v>21710</v>
      </c>
    </row>
    <row r="7116" spans="1:6" x14ac:dyDescent="0.25">
      <c r="A7116" s="16" t="s">
        <v>21711</v>
      </c>
      <c r="B7116" s="17" t="s">
        <v>21712</v>
      </c>
      <c r="C7116" s="17" t="s">
        <v>11</v>
      </c>
      <c r="D7116" s="17" t="s">
        <v>32</v>
      </c>
      <c r="E7116" s="17" t="s">
        <v>20</v>
      </c>
      <c r="F7116" s="16" t="s">
        <v>21713</v>
      </c>
    </row>
    <row r="7117" spans="1:6" x14ac:dyDescent="0.25">
      <c r="A7117" s="16" t="s">
        <v>21714</v>
      </c>
      <c r="B7117" s="17" t="s">
        <v>21715</v>
      </c>
      <c r="C7117" s="17" t="s">
        <v>11</v>
      </c>
      <c r="D7117" s="17" t="s">
        <v>26</v>
      </c>
      <c r="E7117" s="17" t="s">
        <v>20</v>
      </c>
      <c r="F7117" s="16" t="s">
        <v>21716</v>
      </c>
    </row>
    <row r="7118" spans="1:6" x14ac:dyDescent="0.25">
      <c r="A7118" s="16" t="s">
        <v>21717</v>
      </c>
      <c r="B7118" s="17" t="s">
        <v>21718</v>
      </c>
      <c r="C7118" s="17" t="s">
        <v>11</v>
      </c>
      <c r="D7118" s="17" t="s">
        <v>32</v>
      </c>
      <c r="E7118" s="17" t="s">
        <v>20</v>
      </c>
      <c r="F7118" s="16" t="s">
        <v>21719</v>
      </c>
    </row>
    <row r="7119" spans="1:6" x14ac:dyDescent="0.25">
      <c r="A7119" s="16" t="s">
        <v>21720</v>
      </c>
      <c r="B7119" s="17" t="s">
        <v>21721</v>
      </c>
      <c r="C7119" s="17" t="s">
        <v>11</v>
      </c>
      <c r="D7119" s="17" t="s">
        <v>83</v>
      </c>
      <c r="E7119" s="17" t="s">
        <v>20</v>
      </c>
      <c r="F7119" s="16" t="s">
        <v>21722</v>
      </c>
    </row>
    <row r="7120" spans="1:6" x14ac:dyDescent="0.25">
      <c r="A7120" s="16" t="s">
        <v>21723</v>
      </c>
      <c r="B7120" s="17" t="s">
        <v>21724</v>
      </c>
      <c r="C7120" s="17" t="s">
        <v>11</v>
      </c>
      <c r="D7120" s="17" t="s">
        <v>32</v>
      </c>
      <c r="E7120" s="17" t="s">
        <v>20</v>
      </c>
      <c r="F7120" s="16" t="s">
        <v>21725</v>
      </c>
    </row>
    <row r="7121" spans="1:6" x14ac:dyDescent="0.25">
      <c r="A7121" s="16" t="s">
        <v>21726</v>
      </c>
      <c r="B7121" s="17" t="s">
        <v>21727</v>
      </c>
      <c r="C7121" s="17" t="s">
        <v>11</v>
      </c>
      <c r="D7121" s="17" t="s">
        <v>32</v>
      </c>
      <c r="E7121" s="17" t="s">
        <v>20</v>
      </c>
      <c r="F7121" s="16" t="s">
        <v>21728</v>
      </c>
    </row>
    <row r="7122" spans="1:6" x14ac:dyDescent="0.25">
      <c r="A7122" s="16" t="s">
        <v>21729</v>
      </c>
      <c r="B7122" s="17" t="s">
        <v>21730</v>
      </c>
      <c r="C7122" s="17" t="s">
        <v>11</v>
      </c>
      <c r="D7122" s="17" t="s">
        <v>32</v>
      </c>
      <c r="E7122" s="17" t="s">
        <v>20</v>
      </c>
      <c r="F7122" s="16" t="s">
        <v>21731</v>
      </c>
    </row>
    <row r="7123" spans="1:6" x14ac:dyDescent="0.25">
      <c r="A7123" s="16" t="s">
        <v>21732</v>
      </c>
      <c r="B7123" s="17" t="s">
        <v>21733</v>
      </c>
      <c r="C7123" s="17" t="s">
        <v>359</v>
      </c>
      <c r="D7123" s="17" t="s">
        <v>32</v>
      </c>
      <c r="E7123" s="17" t="s">
        <v>20</v>
      </c>
      <c r="F7123" s="16" t="s">
        <v>21734</v>
      </c>
    </row>
    <row r="7124" spans="1:6" x14ac:dyDescent="0.25">
      <c r="A7124" s="16" t="s">
        <v>21735</v>
      </c>
      <c r="B7124" s="17" t="s">
        <v>21736</v>
      </c>
      <c r="C7124" s="17" t="s">
        <v>11</v>
      </c>
      <c r="D7124" s="17" t="s">
        <v>26</v>
      </c>
      <c r="E7124" s="17" t="s">
        <v>20</v>
      </c>
      <c r="F7124" s="16" t="s">
        <v>21737</v>
      </c>
    </row>
    <row r="7125" spans="1:6" x14ac:dyDescent="0.25">
      <c r="A7125" s="16" t="s">
        <v>21738</v>
      </c>
      <c r="B7125" s="17" t="s">
        <v>21739</v>
      </c>
      <c r="C7125" s="17" t="s">
        <v>11</v>
      </c>
      <c r="D7125" s="17" t="s">
        <v>32</v>
      </c>
      <c r="E7125" s="17" t="s">
        <v>20</v>
      </c>
      <c r="F7125" s="16" t="s">
        <v>21740</v>
      </c>
    </row>
    <row r="7126" spans="1:6" x14ac:dyDescent="0.25">
      <c r="A7126" s="16" t="s">
        <v>21741</v>
      </c>
      <c r="B7126" s="17" t="s">
        <v>21742</v>
      </c>
      <c r="C7126" s="17" t="s">
        <v>11</v>
      </c>
      <c r="D7126" s="17" t="s">
        <v>32</v>
      </c>
      <c r="E7126" s="17" t="s">
        <v>20</v>
      </c>
      <c r="F7126" s="16" t="s">
        <v>21743</v>
      </c>
    </row>
    <row r="7127" spans="1:6" x14ac:dyDescent="0.25">
      <c r="A7127" s="16" t="s">
        <v>21744</v>
      </c>
      <c r="B7127" s="17" t="s">
        <v>21745</v>
      </c>
      <c r="C7127" s="17" t="s">
        <v>11</v>
      </c>
      <c r="D7127" s="17" t="s">
        <v>80</v>
      </c>
      <c r="E7127" s="17" t="s">
        <v>20</v>
      </c>
      <c r="F7127" s="16" t="s">
        <v>21746</v>
      </c>
    </row>
    <row r="7128" spans="1:6" x14ac:dyDescent="0.25">
      <c r="A7128" s="16" t="s">
        <v>21747</v>
      </c>
      <c r="B7128" s="17" t="s">
        <v>21748</v>
      </c>
      <c r="C7128" s="17" t="s">
        <v>11</v>
      </c>
      <c r="D7128" s="17" t="s">
        <v>83</v>
      </c>
      <c r="E7128" s="17" t="s">
        <v>20</v>
      </c>
      <c r="F7128" s="16" t="s">
        <v>21749</v>
      </c>
    </row>
    <row r="7129" spans="1:6" x14ac:dyDescent="0.25">
      <c r="A7129" s="16" t="s">
        <v>21750</v>
      </c>
      <c r="B7129" s="17" t="s">
        <v>21751</v>
      </c>
      <c r="C7129" s="17" t="s">
        <v>11</v>
      </c>
      <c r="D7129" s="17" t="s">
        <v>32</v>
      </c>
      <c r="E7129" s="17" t="s">
        <v>20</v>
      </c>
      <c r="F7129" s="16" t="s">
        <v>21752</v>
      </c>
    </row>
    <row r="7130" spans="1:6" x14ac:dyDescent="0.25">
      <c r="A7130" s="16" t="s">
        <v>21753</v>
      </c>
      <c r="B7130" s="17" t="s">
        <v>21754</v>
      </c>
      <c r="C7130" s="17" t="s">
        <v>11</v>
      </c>
      <c r="D7130" s="17" t="s">
        <v>32</v>
      </c>
      <c r="E7130" s="17" t="s">
        <v>20</v>
      </c>
      <c r="F7130" s="16" t="s">
        <v>21755</v>
      </c>
    </row>
    <row r="7131" spans="1:6" x14ac:dyDescent="0.25">
      <c r="A7131" s="16" t="s">
        <v>21756</v>
      </c>
      <c r="B7131" s="17" t="s">
        <v>21757</v>
      </c>
      <c r="C7131" s="17" t="s">
        <v>11</v>
      </c>
      <c r="D7131" s="17" t="s">
        <v>32</v>
      </c>
      <c r="E7131" s="17" t="s">
        <v>20</v>
      </c>
      <c r="F7131" s="16" t="s">
        <v>21758</v>
      </c>
    </row>
    <row r="7132" spans="1:6" x14ac:dyDescent="0.25">
      <c r="A7132" s="16" t="s">
        <v>21759</v>
      </c>
      <c r="B7132" s="17" t="s">
        <v>21760</v>
      </c>
      <c r="C7132" s="17" t="s">
        <v>11</v>
      </c>
      <c r="D7132" s="17" t="s">
        <v>1337</v>
      </c>
      <c r="E7132" s="17" t="s">
        <v>1299</v>
      </c>
      <c r="F7132" s="16" t="s">
        <v>21761</v>
      </c>
    </row>
    <row r="7133" spans="1:6" x14ac:dyDescent="0.25">
      <c r="A7133" s="16" t="s">
        <v>21762</v>
      </c>
      <c r="B7133" s="17" t="s">
        <v>21763</v>
      </c>
      <c r="C7133" s="17" t="s">
        <v>11</v>
      </c>
      <c r="D7133" s="17" t="s">
        <v>32</v>
      </c>
      <c r="E7133" s="17" t="s">
        <v>20</v>
      </c>
      <c r="F7133" s="16" t="s">
        <v>21764</v>
      </c>
    </row>
    <row r="7134" spans="1:6" x14ac:dyDescent="0.25">
      <c r="A7134" s="16" t="s">
        <v>21765</v>
      </c>
      <c r="B7134" s="17" t="s">
        <v>21766</v>
      </c>
      <c r="C7134" s="17" t="s">
        <v>11</v>
      </c>
      <c r="D7134" s="17" t="s">
        <v>148</v>
      </c>
      <c r="E7134" s="17" t="s">
        <v>20</v>
      </c>
      <c r="F7134" s="16" t="s">
        <v>21767</v>
      </c>
    </row>
    <row r="7135" spans="1:6" x14ac:dyDescent="0.25">
      <c r="A7135" s="16" t="s">
        <v>21768</v>
      </c>
      <c r="B7135" s="17" t="s">
        <v>21769</v>
      </c>
      <c r="C7135" s="17" t="s">
        <v>11</v>
      </c>
      <c r="D7135" s="17" t="s">
        <v>83</v>
      </c>
      <c r="E7135" s="17" t="s">
        <v>20</v>
      </c>
      <c r="F7135" s="16" t="s">
        <v>21770</v>
      </c>
    </row>
    <row r="7136" spans="1:6" x14ac:dyDescent="0.25">
      <c r="A7136" s="16" t="s">
        <v>21771</v>
      </c>
      <c r="B7136" s="17" t="s">
        <v>21772</v>
      </c>
      <c r="C7136" s="17" t="s">
        <v>11</v>
      </c>
      <c r="D7136" s="17" t="s">
        <v>83</v>
      </c>
      <c r="E7136" s="17" t="s">
        <v>20</v>
      </c>
      <c r="F7136" s="16" t="s">
        <v>21773</v>
      </c>
    </row>
    <row r="7137" spans="1:6" x14ac:dyDescent="0.25">
      <c r="A7137" s="16" t="s">
        <v>21774</v>
      </c>
      <c r="B7137" s="17" t="s">
        <v>21775</v>
      </c>
      <c r="C7137" s="17" t="s">
        <v>11</v>
      </c>
      <c r="D7137" s="17" t="s">
        <v>26</v>
      </c>
      <c r="E7137" s="17" t="s">
        <v>20</v>
      </c>
      <c r="F7137" s="16" t="s">
        <v>21776</v>
      </c>
    </row>
    <row r="7138" spans="1:6" x14ac:dyDescent="0.25">
      <c r="A7138" s="16" t="s">
        <v>21777</v>
      </c>
      <c r="B7138" s="17" t="s">
        <v>21778</v>
      </c>
      <c r="C7138" s="17" t="s">
        <v>1235</v>
      </c>
      <c r="D7138" s="17" t="s">
        <v>4374</v>
      </c>
      <c r="E7138" s="17" t="s">
        <v>1237</v>
      </c>
      <c r="F7138" s="16" t="s">
        <v>21779</v>
      </c>
    </row>
    <row r="7139" spans="1:6" x14ac:dyDescent="0.25">
      <c r="A7139" s="16" t="s">
        <v>21780</v>
      </c>
      <c r="B7139" s="17" t="s">
        <v>21781</v>
      </c>
      <c r="C7139" s="17" t="s">
        <v>11</v>
      </c>
      <c r="D7139" s="17" t="s">
        <v>83</v>
      </c>
      <c r="E7139" s="17" t="s">
        <v>20</v>
      </c>
      <c r="F7139" s="16" t="s">
        <v>21782</v>
      </c>
    </row>
    <row r="7140" spans="1:6" x14ac:dyDescent="0.25">
      <c r="A7140" s="16" t="s">
        <v>21783</v>
      </c>
      <c r="B7140" s="17" t="s">
        <v>21784</v>
      </c>
      <c r="C7140" s="17" t="s">
        <v>11</v>
      </c>
      <c r="D7140" s="17" t="s">
        <v>83</v>
      </c>
      <c r="E7140" s="17" t="s">
        <v>20</v>
      </c>
      <c r="F7140" s="16" t="s">
        <v>21785</v>
      </c>
    </row>
    <row r="7141" spans="1:6" x14ac:dyDescent="0.25">
      <c r="A7141" s="16" t="s">
        <v>21786</v>
      </c>
      <c r="B7141" s="17" t="s">
        <v>21787</v>
      </c>
      <c r="C7141" s="17" t="s">
        <v>11</v>
      </c>
      <c r="D7141" s="17" t="s">
        <v>544</v>
      </c>
      <c r="E7141" s="17" t="s">
        <v>20</v>
      </c>
      <c r="F7141" s="16" t="s">
        <v>21788</v>
      </c>
    </row>
    <row r="7142" spans="1:6" x14ac:dyDescent="0.25">
      <c r="A7142" s="16" t="s">
        <v>21789</v>
      </c>
      <c r="B7142" s="17" t="s">
        <v>21790</v>
      </c>
      <c r="C7142" s="17" t="s">
        <v>11</v>
      </c>
      <c r="D7142" s="17" t="s">
        <v>26</v>
      </c>
      <c r="E7142" s="17" t="s">
        <v>20</v>
      </c>
      <c r="F7142" s="16" t="s">
        <v>21791</v>
      </c>
    </row>
    <row r="7143" spans="1:6" x14ac:dyDescent="0.25">
      <c r="A7143" s="16" t="s">
        <v>21792</v>
      </c>
      <c r="B7143" s="17" t="s">
        <v>21793</v>
      </c>
      <c r="C7143" s="17" t="s">
        <v>11</v>
      </c>
      <c r="D7143" s="17" t="s">
        <v>32</v>
      </c>
      <c r="E7143" s="17" t="s">
        <v>20</v>
      </c>
      <c r="F7143" s="16" t="s">
        <v>21794</v>
      </c>
    </row>
    <row r="7144" spans="1:6" x14ac:dyDescent="0.25">
      <c r="A7144" s="16" t="s">
        <v>21795</v>
      </c>
      <c r="B7144" s="17" t="s">
        <v>21796</v>
      </c>
      <c r="C7144" s="17" t="s">
        <v>11</v>
      </c>
      <c r="D7144" s="17" t="s">
        <v>32</v>
      </c>
      <c r="E7144" s="17" t="s">
        <v>20</v>
      </c>
      <c r="F7144" s="16" t="s">
        <v>21797</v>
      </c>
    </row>
    <row r="7145" spans="1:6" x14ac:dyDescent="0.25">
      <c r="A7145" s="16" t="s">
        <v>21798</v>
      </c>
      <c r="B7145" s="17" t="s">
        <v>21799</v>
      </c>
      <c r="C7145" s="17" t="s">
        <v>11</v>
      </c>
      <c r="D7145" s="17" t="s">
        <v>32</v>
      </c>
      <c r="E7145" s="17" t="s">
        <v>20</v>
      </c>
      <c r="F7145" s="16" t="s">
        <v>21800</v>
      </c>
    </row>
    <row r="7146" spans="1:6" x14ac:dyDescent="0.25">
      <c r="A7146" s="16" t="s">
        <v>21801</v>
      </c>
      <c r="B7146" s="17" t="s">
        <v>21802</v>
      </c>
      <c r="C7146" s="17" t="s">
        <v>11</v>
      </c>
      <c r="D7146" s="17" t="s">
        <v>26</v>
      </c>
      <c r="E7146" s="17" t="s">
        <v>20</v>
      </c>
      <c r="F7146" s="16" t="s">
        <v>21803</v>
      </c>
    </row>
    <row r="7147" spans="1:6" x14ac:dyDescent="0.25">
      <c r="A7147" s="16" t="s">
        <v>21804</v>
      </c>
      <c r="B7147" s="17" t="s">
        <v>21805</v>
      </c>
      <c r="C7147" s="17" t="s">
        <v>11</v>
      </c>
      <c r="D7147" s="17" t="s">
        <v>148</v>
      </c>
      <c r="E7147" s="17" t="s">
        <v>20</v>
      </c>
      <c r="F7147" s="16" t="s">
        <v>21806</v>
      </c>
    </row>
    <row r="7148" spans="1:6" x14ac:dyDescent="0.25">
      <c r="A7148" s="16" t="s">
        <v>21807</v>
      </c>
      <c r="B7148" s="17" t="s">
        <v>21808</v>
      </c>
      <c r="C7148" s="17" t="s">
        <v>11</v>
      </c>
      <c r="D7148" s="17" t="s">
        <v>32</v>
      </c>
      <c r="E7148" s="17" t="s">
        <v>20</v>
      </c>
      <c r="F7148" s="16" t="s">
        <v>21809</v>
      </c>
    </row>
    <row r="7149" spans="1:6" x14ac:dyDescent="0.25">
      <c r="A7149" s="16" t="s">
        <v>21810</v>
      </c>
      <c r="B7149" s="17" t="s">
        <v>21811</v>
      </c>
      <c r="C7149" s="17" t="s">
        <v>11</v>
      </c>
      <c r="D7149" s="17" t="s">
        <v>32</v>
      </c>
      <c r="E7149" s="17" t="s">
        <v>20</v>
      </c>
      <c r="F7149" s="16" t="s">
        <v>21812</v>
      </c>
    </row>
    <row r="7150" spans="1:6" x14ac:dyDescent="0.25">
      <c r="A7150" s="16" t="s">
        <v>21813</v>
      </c>
      <c r="B7150" s="17" t="s">
        <v>21814</v>
      </c>
      <c r="C7150" s="17" t="s">
        <v>11</v>
      </c>
      <c r="D7150" s="17" t="s">
        <v>32</v>
      </c>
      <c r="E7150" s="17" t="s">
        <v>20</v>
      </c>
      <c r="F7150" s="16" t="s">
        <v>21815</v>
      </c>
    </row>
    <row r="7151" spans="1:6" x14ac:dyDescent="0.25">
      <c r="A7151" s="16" t="s">
        <v>21816</v>
      </c>
      <c r="B7151" s="17" t="s">
        <v>21817</v>
      </c>
      <c r="C7151" s="17" t="s">
        <v>11</v>
      </c>
      <c r="D7151" s="17" t="s">
        <v>32</v>
      </c>
      <c r="E7151" s="17" t="s">
        <v>20</v>
      </c>
      <c r="F7151" s="16" t="s">
        <v>21818</v>
      </c>
    </row>
    <row r="7152" spans="1:6" x14ac:dyDescent="0.25">
      <c r="A7152" s="16" t="s">
        <v>21819</v>
      </c>
      <c r="B7152" s="17" t="s">
        <v>21820</v>
      </c>
      <c r="C7152" s="17" t="s">
        <v>11</v>
      </c>
      <c r="D7152" s="17" t="s">
        <v>26</v>
      </c>
      <c r="E7152" s="17" t="s">
        <v>20</v>
      </c>
      <c r="F7152" s="16" t="s">
        <v>21821</v>
      </c>
    </row>
    <row r="7153" spans="1:6" x14ac:dyDescent="0.25">
      <c r="A7153" s="16" t="s">
        <v>21822</v>
      </c>
      <c r="B7153" s="17" t="s">
        <v>21823</v>
      </c>
      <c r="C7153" s="17" t="s">
        <v>11</v>
      </c>
      <c r="D7153" s="17" t="s">
        <v>32</v>
      </c>
      <c r="E7153" s="17" t="s">
        <v>20</v>
      </c>
      <c r="F7153" s="16" t="s">
        <v>21824</v>
      </c>
    </row>
    <row r="7154" spans="1:6" x14ac:dyDescent="0.25">
      <c r="A7154" s="16" t="s">
        <v>21825</v>
      </c>
      <c r="B7154" s="17" t="s">
        <v>21826</v>
      </c>
      <c r="C7154" s="17" t="s">
        <v>11</v>
      </c>
      <c r="D7154" s="17" t="s">
        <v>32</v>
      </c>
      <c r="E7154" s="17" t="s">
        <v>20</v>
      </c>
      <c r="F7154" s="16" t="s">
        <v>21827</v>
      </c>
    </row>
    <row r="7155" spans="1:6" x14ac:dyDescent="0.25">
      <c r="A7155" s="16" t="s">
        <v>21828</v>
      </c>
      <c r="B7155" s="17" t="s">
        <v>21829</v>
      </c>
      <c r="C7155" s="17" t="s">
        <v>11</v>
      </c>
      <c r="D7155" s="17" t="s">
        <v>32</v>
      </c>
      <c r="E7155" s="17" t="s">
        <v>20</v>
      </c>
      <c r="F7155" s="16" t="s">
        <v>21830</v>
      </c>
    </row>
    <row r="7156" spans="1:6" x14ac:dyDescent="0.25">
      <c r="A7156" s="16" t="s">
        <v>21831</v>
      </c>
      <c r="B7156" s="17" t="s">
        <v>21832</v>
      </c>
      <c r="C7156" s="17" t="s">
        <v>11</v>
      </c>
      <c r="D7156" s="17" t="s">
        <v>32</v>
      </c>
      <c r="E7156" s="17" t="s">
        <v>20</v>
      </c>
      <c r="F7156" s="16" t="s">
        <v>21833</v>
      </c>
    </row>
    <row r="7157" spans="1:6" x14ac:dyDescent="0.25">
      <c r="A7157" s="16" t="s">
        <v>21834</v>
      </c>
      <c r="B7157" s="17" t="s">
        <v>21835</v>
      </c>
      <c r="C7157" s="17" t="s">
        <v>11</v>
      </c>
      <c r="D7157" s="17" t="s">
        <v>32</v>
      </c>
      <c r="E7157" s="17" t="s">
        <v>20</v>
      </c>
      <c r="F7157" s="16" t="s">
        <v>21836</v>
      </c>
    </row>
    <row r="7158" spans="1:6" x14ac:dyDescent="0.25">
      <c r="A7158" s="16" t="s">
        <v>21837</v>
      </c>
      <c r="B7158" s="17" t="s">
        <v>21838</v>
      </c>
      <c r="C7158" s="17" t="s">
        <v>11</v>
      </c>
      <c r="D7158" s="17" t="s">
        <v>32</v>
      </c>
      <c r="E7158" s="17" t="s">
        <v>20</v>
      </c>
      <c r="F7158" s="16" t="s">
        <v>21839</v>
      </c>
    </row>
    <row r="7159" spans="1:6" x14ac:dyDescent="0.25">
      <c r="A7159" s="16" t="s">
        <v>21840</v>
      </c>
      <c r="B7159" s="17" t="s">
        <v>21841</v>
      </c>
      <c r="C7159" s="17" t="s">
        <v>1235</v>
      </c>
      <c r="D7159" s="17" t="s">
        <v>9184</v>
      </c>
      <c r="E7159" s="17" t="s">
        <v>1237</v>
      </c>
      <c r="F7159" s="16" t="s">
        <v>21842</v>
      </c>
    </row>
    <row r="7160" spans="1:6" x14ac:dyDescent="0.25">
      <c r="A7160" s="16" t="s">
        <v>21843</v>
      </c>
      <c r="B7160" s="17" t="s">
        <v>21844</v>
      </c>
      <c r="C7160" s="17" t="s">
        <v>11</v>
      </c>
      <c r="D7160" s="17" t="s">
        <v>26</v>
      </c>
      <c r="E7160" s="17" t="s">
        <v>20</v>
      </c>
      <c r="F7160" s="16" t="s">
        <v>21845</v>
      </c>
    </row>
    <row r="7161" spans="1:6" x14ac:dyDescent="0.25">
      <c r="A7161" s="16" t="s">
        <v>21846</v>
      </c>
      <c r="B7161" s="17" t="s">
        <v>21847</v>
      </c>
      <c r="C7161" s="17" t="s">
        <v>11</v>
      </c>
      <c r="D7161" s="17" t="s">
        <v>83</v>
      </c>
      <c r="E7161" s="17" t="s">
        <v>20</v>
      </c>
      <c r="F7161" s="16" t="s">
        <v>21848</v>
      </c>
    </row>
    <row r="7162" spans="1:6" x14ac:dyDescent="0.25">
      <c r="A7162" s="16" t="s">
        <v>21849</v>
      </c>
      <c r="B7162" s="17" t="s">
        <v>21850</v>
      </c>
      <c r="C7162" s="17" t="s">
        <v>11</v>
      </c>
      <c r="D7162" s="17" t="s">
        <v>148</v>
      </c>
      <c r="E7162" s="17" t="s">
        <v>20</v>
      </c>
      <c r="F7162" s="16" t="s">
        <v>21851</v>
      </c>
    </row>
    <row r="7163" spans="1:6" x14ac:dyDescent="0.25">
      <c r="A7163" s="16" t="s">
        <v>21852</v>
      </c>
      <c r="B7163" s="17" t="s">
        <v>21853</v>
      </c>
      <c r="C7163" s="17" t="s">
        <v>11</v>
      </c>
      <c r="D7163" s="17" t="s">
        <v>32</v>
      </c>
      <c r="E7163" s="17" t="s">
        <v>20</v>
      </c>
      <c r="F7163" s="16" t="s">
        <v>21854</v>
      </c>
    </row>
    <row r="7164" spans="1:6" x14ac:dyDescent="0.25">
      <c r="A7164" s="16" t="s">
        <v>21855</v>
      </c>
      <c r="B7164" s="17" t="s">
        <v>21856</v>
      </c>
      <c r="C7164" s="17" t="s">
        <v>11</v>
      </c>
      <c r="D7164" s="17" t="s">
        <v>32</v>
      </c>
      <c r="E7164" s="17" t="s">
        <v>20</v>
      </c>
      <c r="F7164" s="16" t="s">
        <v>21857</v>
      </c>
    </row>
    <row r="7165" spans="1:6" x14ac:dyDescent="0.25">
      <c r="A7165" s="16" t="s">
        <v>21858</v>
      </c>
      <c r="B7165" s="17" t="s">
        <v>21859</v>
      </c>
      <c r="C7165" s="17" t="s">
        <v>11</v>
      </c>
      <c r="D7165" s="17" t="s">
        <v>148</v>
      </c>
      <c r="E7165" s="17" t="s">
        <v>20</v>
      </c>
      <c r="F7165" s="16" t="s">
        <v>21860</v>
      </c>
    </row>
    <row r="7166" spans="1:6" x14ac:dyDescent="0.25">
      <c r="A7166" s="16" t="s">
        <v>21861</v>
      </c>
      <c r="B7166" s="17" t="s">
        <v>21862</v>
      </c>
      <c r="C7166" s="17" t="s">
        <v>11</v>
      </c>
      <c r="D7166" s="17" t="s">
        <v>83</v>
      </c>
      <c r="E7166" s="17" t="s">
        <v>20</v>
      </c>
      <c r="F7166" s="16" t="s">
        <v>21863</v>
      </c>
    </row>
    <row r="7167" spans="1:6" x14ac:dyDescent="0.25">
      <c r="A7167" s="16" t="s">
        <v>21864</v>
      </c>
      <c r="B7167" s="17" t="s">
        <v>21865</v>
      </c>
      <c r="C7167" s="17" t="s">
        <v>11</v>
      </c>
      <c r="D7167" s="17" t="s">
        <v>26</v>
      </c>
      <c r="E7167" s="17" t="s">
        <v>20</v>
      </c>
      <c r="F7167" s="16" t="s">
        <v>21866</v>
      </c>
    </row>
    <row r="7168" spans="1:6" x14ac:dyDescent="0.25">
      <c r="A7168" s="16" t="s">
        <v>21867</v>
      </c>
      <c r="B7168" s="17" t="s">
        <v>21868</v>
      </c>
      <c r="C7168" s="17" t="s">
        <v>11</v>
      </c>
      <c r="D7168" s="17" t="s">
        <v>32</v>
      </c>
      <c r="E7168" s="17" t="s">
        <v>20</v>
      </c>
      <c r="F7168" s="16" t="s">
        <v>21869</v>
      </c>
    </row>
    <row r="7169" spans="1:6" x14ac:dyDescent="0.25">
      <c r="A7169" s="16" t="s">
        <v>21870</v>
      </c>
      <c r="B7169" s="17" t="s">
        <v>21871</v>
      </c>
      <c r="C7169" s="17" t="s">
        <v>11</v>
      </c>
      <c r="D7169" s="17" t="s">
        <v>32</v>
      </c>
      <c r="E7169" s="17" t="s">
        <v>20</v>
      </c>
      <c r="F7169" s="16" t="s">
        <v>21872</v>
      </c>
    </row>
    <row r="7170" spans="1:6" x14ac:dyDescent="0.25">
      <c r="A7170" s="16" t="s">
        <v>21873</v>
      </c>
      <c r="B7170" s="17" t="s">
        <v>21874</v>
      </c>
      <c r="C7170" s="17" t="s">
        <v>11</v>
      </c>
      <c r="D7170" s="17" t="s">
        <v>32</v>
      </c>
      <c r="E7170" s="17" t="s">
        <v>20</v>
      </c>
      <c r="F7170" s="16" t="s">
        <v>21875</v>
      </c>
    </row>
    <row r="7171" spans="1:6" x14ac:dyDescent="0.25">
      <c r="A7171" s="16" t="s">
        <v>21876</v>
      </c>
      <c r="B7171" s="17" t="s">
        <v>21877</v>
      </c>
      <c r="C7171" s="17" t="s">
        <v>11</v>
      </c>
      <c r="D7171" s="17" t="s">
        <v>83</v>
      </c>
      <c r="E7171" s="17" t="s">
        <v>20</v>
      </c>
      <c r="F7171" s="16" t="s">
        <v>21878</v>
      </c>
    </row>
    <row r="7172" spans="1:6" x14ac:dyDescent="0.25">
      <c r="A7172" s="16" t="s">
        <v>21879</v>
      </c>
      <c r="B7172" s="17" t="s">
        <v>21880</v>
      </c>
      <c r="C7172" s="17" t="s">
        <v>11</v>
      </c>
      <c r="D7172" s="17" t="s">
        <v>83</v>
      </c>
      <c r="E7172" s="17" t="s">
        <v>20</v>
      </c>
      <c r="F7172" s="16" t="s">
        <v>21881</v>
      </c>
    </row>
    <row r="7173" spans="1:6" x14ac:dyDescent="0.25">
      <c r="A7173" s="16" t="s">
        <v>21882</v>
      </c>
      <c r="B7173" s="17" t="s">
        <v>21883</v>
      </c>
      <c r="C7173" s="17" t="s">
        <v>11</v>
      </c>
      <c r="D7173" s="17" t="s">
        <v>148</v>
      </c>
      <c r="E7173" s="17" t="s">
        <v>20</v>
      </c>
      <c r="F7173" s="16" t="s">
        <v>21884</v>
      </c>
    </row>
    <row r="7174" spans="1:6" x14ac:dyDescent="0.25">
      <c r="A7174" s="16" t="s">
        <v>21885</v>
      </c>
      <c r="B7174" s="17" t="s">
        <v>21886</v>
      </c>
      <c r="C7174" s="17" t="s">
        <v>11</v>
      </c>
      <c r="D7174" s="17" t="s">
        <v>182</v>
      </c>
      <c r="E7174" s="17" t="s">
        <v>20</v>
      </c>
      <c r="F7174" s="16" t="s">
        <v>21887</v>
      </c>
    </row>
    <row r="7175" spans="1:6" x14ac:dyDescent="0.25">
      <c r="A7175" s="16" t="s">
        <v>21888</v>
      </c>
      <c r="B7175" s="17" t="s">
        <v>21889</v>
      </c>
      <c r="C7175" s="17" t="s">
        <v>11</v>
      </c>
      <c r="D7175" s="17" t="s">
        <v>32</v>
      </c>
      <c r="E7175" s="17" t="s">
        <v>20</v>
      </c>
      <c r="F7175" s="16" t="s">
        <v>21890</v>
      </c>
    </row>
    <row r="7176" spans="1:6" x14ac:dyDescent="0.25">
      <c r="A7176" s="16" t="s">
        <v>21891</v>
      </c>
      <c r="B7176" s="17" t="s">
        <v>21892</v>
      </c>
      <c r="C7176" s="17" t="s">
        <v>11</v>
      </c>
      <c r="D7176" s="17" t="s">
        <v>32</v>
      </c>
      <c r="E7176" s="17" t="s">
        <v>20</v>
      </c>
      <c r="F7176" s="16" t="s">
        <v>21893</v>
      </c>
    </row>
    <row r="7177" spans="1:6" x14ac:dyDescent="0.25">
      <c r="A7177" s="16" t="s">
        <v>21894</v>
      </c>
      <c r="B7177" s="17" t="s">
        <v>21895</v>
      </c>
      <c r="C7177" s="17" t="s">
        <v>11</v>
      </c>
      <c r="D7177" s="17" t="s">
        <v>32</v>
      </c>
      <c r="E7177" s="17" t="s">
        <v>20</v>
      </c>
      <c r="F7177" s="16" t="s">
        <v>21896</v>
      </c>
    </row>
    <row r="7178" spans="1:6" x14ac:dyDescent="0.25">
      <c r="A7178" s="16" t="s">
        <v>21897</v>
      </c>
      <c r="B7178" s="17" t="s">
        <v>21898</v>
      </c>
      <c r="C7178" s="17" t="s">
        <v>11</v>
      </c>
      <c r="D7178" s="17" t="s">
        <v>83</v>
      </c>
      <c r="E7178" s="17" t="s">
        <v>20</v>
      </c>
      <c r="F7178" s="16" t="s">
        <v>21899</v>
      </c>
    </row>
    <row r="7179" spans="1:6" x14ac:dyDescent="0.25">
      <c r="A7179" s="16" t="s">
        <v>21900</v>
      </c>
      <c r="B7179" s="17" t="s">
        <v>21901</v>
      </c>
      <c r="C7179" s="17" t="s">
        <v>11</v>
      </c>
      <c r="D7179" s="17" t="s">
        <v>32</v>
      </c>
      <c r="E7179" s="17" t="s">
        <v>20</v>
      </c>
      <c r="F7179" s="16" t="s">
        <v>21902</v>
      </c>
    </row>
    <row r="7180" spans="1:6" x14ac:dyDescent="0.25">
      <c r="A7180" s="16" t="s">
        <v>21903</v>
      </c>
      <c r="B7180" s="17" t="s">
        <v>21904</v>
      </c>
      <c r="C7180" s="17" t="s">
        <v>11</v>
      </c>
      <c r="D7180" s="17" t="s">
        <v>32</v>
      </c>
      <c r="E7180" s="17" t="s">
        <v>20</v>
      </c>
      <c r="F7180" s="16" t="s">
        <v>21905</v>
      </c>
    </row>
    <row r="7181" spans="1:6" x14ac:dyDescent="0.25">
      <c r="A7181" s="16" t="s">
        <v>21906</v>
      </c>
      <c r="B7181" s="17" t="s">
        <v>21907</v>
      </c>
      <c r="C7181" s="17" t="s">
        <v>11</v>
      </c>
      <c r="D7181" s="17" t="s">
        <v>83</v>
      </c>
      <c r="E7181" s="17" t="s">
        <v>20</v>
      </c>
      <c r="F7181" s="16" t="s">
        <v>21908</v>
      </c>
    </row>
    <row r="7182" spans="1:6" x14ac:dyDescent="0.25">
      <c r="A7182" s="16" t="s">
        <v>21909</v>
      </c>
      <c r="B7182" s="17" t="s">
        <v>21910</v>
      </c>
      <c r="C7182" s="17" t="s">
        <v>11</v>
      </c>
      <c r="D7182" s="17" t="s">
        <v>32</v>
      </c>
      <c r="E7182" s="17" t="s">
        <v>20</v>
      </c>
      <c r="F7182" s="16" t="s">
        <v>21911</v>
      </c>
    </row>
    <row r="7183" spans="1:6" x14ac:dyDescent="0.25">
      <c r="A7183" s="16" t="s">
        <v>21912</v>
      </c>
      <c r="B7183" s="17" t="s">
        <v>21913</v>
      </c>
      <c r="C7183" s="17" t="s">
        <v>11</v>
      </c>
      <c r="D7183" s="17" t="s">
        <v>32</v>
      </c>
      <c r="E7183" s="17" t="s">
        <v>20</v>
      </c>
      <c r="F7183" s="16" t="s">
        <v>21914</v>
      </c>
    </row>
    <row r="7184" spans="1:6" x14ac:dyDescent="0.25">
      <c r="A7184" s="16" t="s">
        <v>21915</v>
      </c>
      <c r="B7184" s="17" t="s">
        <v>21916</v>
      </c>
      <c r="C7184" s="17" t="s">
        <v>11</v>
      </c>
      <c r="D7184" s="17" t="s">
        <v>32</v>
      </c>
      <c r="E7184" s="17" t="s">
        <v>20</v>
      </c>
      <c r="F7184" s="16" t="s">
        <v>21917</v>
      </c>
    </row>
    <row r="7185" spans="1:6" x14ac:dyDescent="0.25">
      <c r="A7185" s="16" t="s">
        <v>21918</v>
      </c>
      <c r="B7185" s="17" t="s">
        <v>21919</v>
      </c>
      <c r="C7185" s="17" t="s">
        <v>11</v>
      </c>
      <c r="D7185" s="17" t="s">
        <v>32</v>
      </c>
      <c r="E7185" s="17" t="s">
        <v>20</v>
      </c>
      <c r="F7185" s="16" t="s">
        <v>21920</v>
      </c>
    </row>
    <row r="7186" spans="1:6" x14ac:dyDescent="0.25">
      <c r="A7186" s="16" t="s">
        <v>21921</v>
      </c>
      <c r="B7186" s="17" t="s">
        <v>21922</v>
      </c>
      <c r="C7186" s="17" t="s">
        <v>11</v>
      </c>
      <c r="D7186" s="17" t="s">
        <v>83</v>
      </c>
      <c r="E7186" s="17" t="s">
        <v>20</v>
      </c>
      <c r="F7186" s="16" t="s">
        <v>21923</v>
      </c>
    </row>
    <row r="7187" spans="1:6" x14ac:dyDescent="0.25">
      <c r="A7187" s="16" t="s">
        <v>21924</v>
      </c>
      <c r="B7187" s="17" t="s">
        <v>21925</v>
      </c>
      <c r="C7187" s="17" t="s">
        <v>11</v>
      </c>
      <c r="D7187" s="17" t="s">
        <v>83</v>
      </c>
      <c r="E7187" s="17" t="s">
        <v>20</v>
      </c>
      <c r="F7187" s="16" t="s">
        <v>21926</v>
      </c>
    </row>
    <row r="7188" spans="1:6" x14ac:dyDescent="0.25">
      <c r="A7188" s="16" t="s">
        <v>21927</v>
      </c>
      <c r="B7188" s="17" t="s">
        <v>21928</v>
      </c>
      <c r="C7188" s="17" t="s">
        <v>11</v>
      </c>
      <c r="D7188" s="17" t="s">
        <v>148</v>
      </c>
      <c r="E7188" s="17" t="s">
        <v>20</v>
      </c>
      <c r="F7188" s="16" t="s">
        <v>21929</v>
      </c>
    </row>
    <row r="7189" spans="1:6" x14ac:dyDescent="0.25">
      <c r="A7189" s="16" t="s">
        <v>21930</v>
      </c>
      <c r="B7189" s="17" t="s">
        <v>21931</v>
      </c>
      <c r="C7189" s="17" t="s">
        <v>11</v>
      </c>
      <c r="D7189" s="17" t="s">
        <v>32</v>
      </c>
      <c r="E7189" s="17" t="s">
        <v>20</v>
      </c>
      <c r="F7189" s="16" t="s">
        <v>21932</v>
      </c>
    </row>
    <row r="7190" spans="1:6" x14ac:dyDescent="0.25">
      <c r="A7190" s="16" t="s">
        <v>21933</v>
      </c>
      <c r="B7190" s="17" t="s">
        <v>21934</v>
      </c>
      <c r="C7190" s="17" t="s">
        <v>11</v>
      </c>
      <c r="D7190" s="17" t="s">
        <v>32</v>
      </c>
      <c r="E7190" s="17" t="s">
        <v>20</v>
      </c>
      <c r="F7190" s="16" t="s">
        <v>21935</v>
      </c>
    </row>
    <row r="7191" spans="1:6" x14ac:dyDescent="0.25">
      <c r="A7191" s="16" t="s">
        <v>21936</v>
      </c>
      <c r="B7191" s="17" t="s">
        <v>21937</v>
      </c>
      <c r="C7191" s="17" t="s">
        <v>11</v>
      </c>
      <c r="D7191" s="17" t="s">
        <v>32</v>
      </c>
      <c r="E7191" s="17" t="s">
        <v>20</v>
      </c>
      <c r="F7191" s="16" t="s">
        <v>21938</v>
      </c>
    </row>
    <row r="7192" spans="1:6" x14ac:dyDescent="0.25">
      <c r="A7192" s="16" t="s">
        <v>21939</v>
      </c>
      <c r="B7192" s="17" t="s">
        <v>21940</v>
      </c>
      <c r="C7192" s="17" t="s">
        <v>11</v>
      </c>
      <c r="D7192" s="17" t="s">
        <v>32</v>
      </c>
      <c r="E7192" s="17" t="s">
        <v>20</v>
      </c>
      <c r="F7192" s="16" t="s">
        <v>21941</v>
      </c>
    </row>
    <row r="7193" spans="1:6" x14ac:dyDescent="0.25">
      <c r="A7193" s="16" t="s">
        <v>21942</v>
      </c>
      <c r="B7193" s="17" t="s">
        <v>21943</v>
      </c>
      <c r="C7193" s="17" t="s">
        <v>11</v>
      </c>
      <c r="D7193" s="17" t="s">
        <v>32</v>
      </c>
      <c r="E7193" s="17" t="s">
        <v>20</v>
      </c>
      <c r="F7193" s="16" t="s">
        <v>21944</v>
      </c>
    </row>
    <row r="7194" spans="1:6" x14ac:dyDescent="0.25">
      <c r="A7194" s="16" t="s">
        <v>21945</v>
      </c>
      <c r="B7194" s="17" t="s">
        <v>21946</v>
      </c>
      <c r="C7194" s="17" t="s">
        <v>11</v>
      </c>
      <c r="D7194" s="17" t="s">
        <v>32</v>
      </c>
      <c r="E7194" s="17" t="s">
        <v>20</v>
      </c>
      <c r="F7194" s="16" t="s">
        <v>21947</v>
      </c>
    </row>
    <row r="7195" spans="1:6" x14ac:dyDescent="0.25">
      <c r="A7195" s="16" t="s">
        <v>21948</v>
      </c>
      <c r="B7195" s="17" t="s">
        <v>21949</v>
      </c>
      <c r="C7195" s="17" t="s">
        <v>11</v>
      </c>
      <c r="D7195" s="17" t="s">
        <v>83</v>
      </c>
      <c r="E7195" s="17" t="s">
        <v>20</v>
      </c>
      <c r="F7195" s="16" t="s">
        <v>21950</v>
      </c>
    </row>
    <row r="7196" spans="1:6" x14ac:dyDescent="0.25">
      <c r="A7196" s="16" t="s">
        <v>21951</v>
      </c>
      <c r="B7196" s="17" t="s">
        <v>21952</v>
      </c>
      <c r="C7196" s="17" t="s">
        <v>11</v>
      </c>
      <c r="D7196" s="17" t="s">
        <v>83</v>
      </c>
      <c r="E7196" s="17" t="s">
        <v>20</v>
      </c>
      <c r="F7196" s="16" t="s">
        <v>21953</v>
      </c>
    </row>
    <row r="7197" spans="1:6" x14ac:dyDescent="0.25">
      <c r="A7197" s="16" t="s">
        <v>21954</v>
      </c>
      <c r="B7197" s="17" t="s">
        <v>21955</v>
      </c>
      <c r="C7197" s="17" t="s">
        <v>11</v>
      </c>
      <c r="D7197" s="17" t="s">
        <v>32</v>
      </c>
      <c r="E7197" s="17" t="s">
        <v>20</v>
      </c>
      <c r="F7197" s="16" t="s">
        <v>21956</v>
      </c>
    </row>
    <row r="7198" spans="1:6" x14ac:dyDescent="0.25">
      <c r="A7198" s="16" t="s">
        <v>21957</v>
      </c>
      <c r="B7198" s="17" t="s">
        <v>21958</v>
      </c>
      <c r="C7198" s="17" t="s">
        <v>11</v>
      </c>
      <c r="D7198" s="17" t="s">
        <v>32</v>
      </c>
      <c r="E7198" s="17" t="s">
        <v>20</v>
      </c>
      <c r="F7198" s="16" t="s">
        <v>21959</v>
      </c>
    </row>
    <row r="7199" spans="1:6" x14ac:dyDescent="0.25">
      <c r="A7199" s="16" t="s">
        <v>21960</v>
      </c>
      <c r="B7199" s="17" t="s">
        <v>21961</v>
      </c>
      <c r="C7199" s="17" t="s">
        <v>11</v>
      </c>
      <c r="D7199" s="17" t="s">
        <v>32</v>
      </c>
      <c r="E7199" s="17" t="s">
        <v>20</v>
      </c>
      <c r="F7199" s="16" t="s">
        <v>21962</v>
      </c>
    </row>
    <row r="7200" spans="1:6" x14ac:dyDescent="0.25">
      <c r="A7200" s="16" t="s">
        <v>21963</v>
      </c>
      <c r="B7200" s="17" t="s">
        <v>21964</v>
      </c>
      <c r="C7200" s="17" t="s">
        <v>11</v>
      </c>
      <c r="D7200" s="17" t="s">
        <v>32</v>
      </c>
      <c r="E7200" s="17" t="s">
        <v>20</v>
      </c>
      <c r="F7200" s="16" t="s">
        <v>21965</v>
      </c>
    </row>
    <row r="7201" spans="1:6" x14ac:dyDescent="0.25">
      <c r="A7201" s="16" t="s">
        <v>21966</v>
      </c>
      <c r="B7201" s="17" t="s">
        <v>21967</v>
      </c>
      <c r="C7201" s="17" t="s">
        <v>11</v>
      </c>
      <c r="D7201" s="17" t="s">
        <v>32</v>
      </c>
      <c r="E7201" s="17" t="s">
        <v>20</v>
      </c>
      <c r="F7201" s="16" t="s">
        <v>21968</v>
      </c>
    </row>
    <row r="7202" spans="1:6" x14ac:dyDescent="0.25">
      <c r="A7202" s="16" t="s">
        <v>21969</v>
      </c>
      <c r="B7202" s="17" t="s">
        <v>21970</v>
      </c>
      <c r="C7202" s="17" t="s">
        <v>11</v>
      </c>
      <c r="D7202" s="17" t="s">
        <v>32</v>
      </c>
      <c r="E7202" s="17" t="s">
        <v>20</v>
      </c>
      <c r="F7202" s="16" t="s">
        <v>21971</v>
      </c>
    </row>
    <row r="7203" spans="1:6" x14ac:dyDescent="0.25">
      <c r="A7203" s="16" t="s">
        <v>21972</v>
      </c>
      <c r="B7203" s="17" t="s">
        <v>21973</v>
      </c>
      <c r="C7203" s="17" t="s">
        <v>11</v>
      </c>
      <c r="D7203" s="17" t="s">
        <v>32</v>
      </c>
      <c r="E7203" s="17" t="s">
        <v>20</v>
      </c>
      <c r="F7203" s="16" t="s">
        <v>21974</v>
      </c>
    </row>
    <row r="7204" spans="1:6" x14ac:dyDescent="0.25">
      <c r="A7204" s="16" t="s">
        <v>21975</v>
      </c>
      <c r="B7204" s="17" t="s">
        <v>21976</v>
      </c>
      <c r="C7204" s="17" t="s">
        <v>11</v>
      </c>
      <c r="D7204" s="17" t="s">
        <v>32</v>
      </c>
      <c r="E7204" s="17" t="s">
        <v>20</v>
      </c>
      <c r="F7204" s="16" t="s">
        <v>21977</v>
      </c>
    </row>
    <row r="7205" spans="1:6" x14ac:dyDescent="0.25">
      <c r="A7205" s="16" t="s">
        <v>21978</v>
      </c>
      <c r="B7205" s="17" t="s">
        <v>21979</v>
      </c>
      <c r="C7205" s="17" t="s">
        <v>11</v>
      </c>
      <c r="D7205" s="17" t="s">
        <v>32</v>
      </c>
      <c r="E7205" s="17" t="s">
        <v>20</v>
      </c>
      <c r="F7205" s="16" t="s">
        <v>21980</v>
      </c>
    </row>
    <row r="7206" spans="1:6" x14ac:dyDescent="0.25">
      <c r="A7206" s="16" t="s">
        <v>21981</v>
      </c>
      <c r="B7206" s="17" t="s">
        <v>21982</v>
      </c>
      <c r="C7206" s="17" t="s">
        <v>11</v>
      </c>
      <c r="D7206" s="17" t="s">
        <v>80</v>
      </c>
      <c r="E7206" s="17" t="s">
        <v>20</v>
      </c>
      <c r="F7206" s="16" t="s">
        <v>21983</v>
      </c>
    </row>
    <row r="7207" spans="1:6" x14ac:dyDescent="0.25">
      <c r="A7207" s="16" t="s">
        <v>21984</v>
      </c>
      <c r="B7207" s="17" t="s">
        <v>21985</v>
      </c>
      <c r="C7207" s="17" t="s">
        <v>11</v>
      </c>
      <c r="D7207" s="17" t="s">
        <v>89</v>
      </c>
      <c r="E7207" s="17" t="s">
        <v>20</v>
      </c>
      <c r="F7207" s="16" t="s">
        <v>21986</v>
      </c>
    </row>
    <row r="7208" spans="1:6" x14ac:dyDescent="0.25">
      <c r="A7208" s="16" t="s">
        <v>21987</v>
      </c>
      <c r="B7208" s="17" t="s">
        <v>21988</v>
      </c>
      <c r="C7208" s="17" t="s">
        <v>11</v>
      </c>
      <c r="D7208" s="17" t="s">
        <v>32</v>
      </c>
      <c r="E7208" s="17" t="s">
        <v>20</v>
      </c>
      <c r="F7208" s="16" t="s">
        <v>21989</v>
      </c>
    </row>
    <row r="7209" spans="1:6" x14ac:dyDescent="0.25">
      <c r="A7209" s="16" t="s">
        <v>21990</v>
      </c>
      <c r="B7209" s="17" t="s">
        <v>21991</v>
      </c>
      <c r="C7209" s="17" t="s">
        <v>11</v>
      </c>
      <c r="D7209" s="17" t="s">
        <v>32</v>
      </c>
      <c r="E7209" s="17" t="s">
        <v>20</v>
      </c>
      <c r="F7209" s="16" t="s">
        <v>21992</v>
      </c>
    </row>
    <row r="7210" spans="1:6" x14ac:dyDescent="0.25">
      <c r="A7210" s="16" t="s">
        <v>21993</v>
      </c>
      <c r="B7210" s="17" t="s">
        <v>21994</v>
      </c>
      <c r="C7210" s="17" t="s">
        <v>11</v>
      </c>
      <c r="D7210" s="17" t="s">
        <v>80</v>
      </c>
      <c r="E7210" s="17" t="s">
        <v>20</v>
      </c>
      <c r="F7210" s="16" t="s">
        <v>21995</v>
      </c>
    </row>
    <row r="7211" spans="1:6" x14ac:dyDescent="0.25">
      <c r="A7211" s="16" t="s">
        <v>21996</v>
      </c>
      <c r="B7211" s="17" t="s">
        <v>21997</v>
      </c>
      <c r="C7211" s="17" t="s">
        <v>11</v>
      </c>
      <c r="D7211" s="17" t="s">
        <v>32</v>
      </c>
      <c r="E7211" s="17" t="s">
        <v>20</v>
      </c>
      <c r="F7211" s="16" t="s">
        <v>21998</v>
      </c>
    </row>
    <row r="7212" spans="1:6" x14ac:dyDescent="0.25">
      <c r="A7212" s="16" t="s">
        <v>21999</v>
      </c>
      <c r="B7212" s="17" t="s">
        <v>22000</v>
      </c>
      <c r="C7212" s="17" t="s">
        <v>11</v>
      </c>
      <c r="D7212" s="17" t="s">
        <v>32</v>
      </c>
      <c r="E7212" s="17" t="s">
        <v>20</v>
      </c>
      <c r="F7212" s="16" t="s">
        <v>22001</v>
      </c>
    </row>
    <row r="7213" spans="1:6" x14ac:dyDescent="0.25">
      <c r="A7213" s="16" t="s">
        <v>22002</v>
      </c>
      <c r="B7213" s="17" t="s">
        <v>22003</v>
      </c>
      <c r="C7213" s="17" t="s">
        <v>11</v>
      </c>
      <c r="D7213" s="17" t="s">
        <v>32</v>
      </c>
      <c r="E7213" s="17" t="s">
        <v>20</v>
      </c>
      <c r="F7213" s="16" t="s">
        <v>22004</v>
      </c>
    </row>
    <row r="7214" spans="1:6" x14ac:dyDescent="0.25">
      <c r="A7214" s="16" t="s">
        <v>22005</v>
      </c>
      <c r="B7214" s="17" t="s">
        <v>22006</v>
      </c>
      <c r="C7214" s="17" t="s">
        <v>11</v>
      </c>
      <c r="D7214" s="17" t="s">
        <v>83</v>
      </c>
      <c r="E7214" s="17" t="s">
        <v>20</v>
      </c>
      <c r="F7214" s="16" t="s">
        <v>22007</v>
      </c>
    </row>
    <row r="7215" spans="1:6" x14ac:dyDescent="0.25">
      <c r="A7215" s="16" t="s">
        <v>22008</v>
      </c>
      <c r="B7215" s="17" t="s">
        <v>22009</v>
      </c>
      <c r="C7215" s="17" t="s">
        <v>11</v>
      </c>
      <c r="D7215" s="17" t="s">
        <v>83</v>
      </c>
      <c r="E7215" s="17" t="s">
        <v>20</v>
      </c>
      <c r="F7215" s="16" t="s">
        <v>22010</v>
      </c>
    </row>
    <row r="7216" spans="1:6" x14ac:dyDescent="0.25">
      <c r="A7216" s="16" t="s">
        <v>22011</v>
      </c>
      <c r="B7216" s="17" t="s">
        <v>22012</v>
      </c>
      <c r="C7216" s="17" t="s">
        <v>11</v>
      </c>
      <c r="D7216" s="17" t="s">
        <v>26</v>
      </c>
      <c r="E7216" s="17" t="s">
        <v>20</v>
      </c>
      <c r="F7216" s="16" t="s">
        <v>22013</v>
      </c>
    </row>
    <row r="7217" spans="1:6" x14ac:dyDescent="0.25">
      <c r="A7217" s="16" t="s">
        <v>22014</v>
      </c>
      <c r="B7217" s="17" t="s">
        <v>22015</v>
      </c>
      <c r="C7217" s="17" t="s">
        <v>11</v>
      </c>
      <c r="D7217" s="17" t="s">
        <v>26</v>
      </c>
      <c r="E7217" s="17" t="s">
        <v>20</v>
      </c>
      <c r="F7217" s="16" t="s">
        <v>22016</v>
      </c>
    </row>
    <row r="7218" spans="1:6" x14ac:dyDescent="0.25">
      <c r="A7218" s="16" t="s">
        <v>22017</v>
      </c>
      <c r="B7218" s="17" t="s">
        <v>22018</v>
      </c>
      <c r="C7218" s="17" t="s">
        <v>11</v>
      </c>
      <c r="D7218" s="17" t="s">
        <v>32</v>
      </c>
      <c r="E7218" s="17" t="s">
        <v>20</v>
      </c>
      <c r="F7218" s="16" t="s">
        <v>22019</v>
      </c>
    </row>
    <row r="7219" spans="1:6" x14ac:dyDescent="0.25">
      <c r="A7219" s="16" t="s">
        <v>22020</v>
      </c>
      <c r="B7219" s="17" t="s">
        <v>22021</v>
      </c>
      <c r="C7219" s="17" t="s">
        <v>11</v>
      </c>
      <c r="D7219" s="17" t="s">
        <v>83</v>
      </c>
      <c r="E7219" s="17" t="s">
        <v>20</v>
      </c>
      <c r="F7219" s="16" t="s">
        <v>22022</v>
      </c>
    </row>
    <row r="7220" spans="1:6" x14ac:dyDescent="0.25">
      <c r="A7220" s="16" t="s">
        <v>22023</v>
      </c>
      <c r="B7220" s="17" t="s">
        <v>22024</v>
      </c>
      <c r="C7220" s="17" t="s">
        <v>11</v>
      </c>
      <c r="D7220" s="17" t="s">
        <v>32</v>
      </c>
      <c r="E7220" s="17" t="s">
        <v>20</v>
      </c>
      <c r="F7220" s="16" t="s">
        <v>22025</v>
      </c>
    </row>
    <row r="7221" spans="1:6" x14ac:dyDescent="0.25">
      <c r="A7221" s="16" t="s">
        <v>22026</v>
      </c>
      <c r="B7221" s="17" t="s">
        <v>22027</v>
      </c>
      <c r="C7221" s="17" t="s">
        <v>11</v>
      </c>
      <c r="D7221" s="17" t="s">
        <v>83</v>
      </c>
      <c r="E7221" s="17" t="s">
        <v>20</v>
      </c>
      <c r="F7221" s="16" t="s">
        <v>22028</v>
      </c>
    </row>
    <row r="7222" spans="1:6" x14ac:dyDescent="0.25">
      <c r="A7222" s="16" t="s">
        <v>22029</v>
      </c>
      <c r="B7222" s="17" t="s">
        <v>22030</v>
      </c>
      <c r="C7222" s="17" t="s">
        <v>11</v>
      </c>
      <c r="D7222" s="17" t="s">
        <v>32</v>
      </c>
      <c r="E7222" s="17" t="s">
        <v>20</v>
      </c>
      <c r="F7222" s="16" t="s">
        <v>22031</v>
      </c>
    </row>
    <row r="7223" spans="1:6" x14ac:dyDescent="0.25">
      <c r="A7223" s="16" t="s">
        <v>22032</v>
      </c>
      <c r="B7223" s="17" t="s">
        <v>22033</v>
      </c>
      <c r="C7223" s="17" t="s">
        <v>11</v>
      </c>
      <c r="D7223" s="17" t="s">
        <v>148</v>
      </c>
      <c r="E7223" s="17" t="s">
        <v>20</v>
      </c>
      <c r="F7223" s="16" t="s">
        <v>22034</v>
      </c>
    </row>
    <row r="7224" spans="1:6" x14ac:dyDescent="0.25">
      <c r="A7224" s="16" t="s">
        <v>22035</v>
      </c>
      <c r="B7224" s="17" t="s">
        <v>22036</v>
      </c>
      <c r="C7224" s="17" t="s">
        <v>11</v>
      </c>
      <c r="D7224" s="17" t="s">
        <v>32</v>
      </c>
      <c r="E7224" s="17" t="s">
        <v>20</v>
      </c>
      <c r="F7224" s="16" t="s">
        <v>22037</v>
      </c>
    </row>
    <row r="7225" spans="1:6" x14ac:dyDescent="0.25">
      <c r="A7225" s="16" t="s">
        <v>22038</v>
      </c>
      <c r="B7225" s="17" t="s">
        <v>22039</v>
      </c>
      <c r="C7225" s="17" t="s">
        <v>11</v>
      </c>
      <c r="D7225" s="17" t="s">
        <v>26</v>
      </c>
      <c r="E7225" s="17" t="s">
        <v>20</v>
      </c>
      <c r="F7225" s="16" t="s">
        <v>22040</v>
      </c>
    </row>
    <row r="7226" spans="1:6" x14ac:dyDescent="0.25">
      <c r="A7226" s="16" t="s">
        <v>22041</v>
      </c>
      <c r="B7226" s="17" t="s">
        <v>22042</v>
      </c>
      <c r="C7226" s="17" t="s">
        <v>11</v>
      </c>
      <c r="D7226" s="17" t="s">
        <v>83</v>
      </c>
      <c r="E7226" s="17" t="s">
        <v>20</v>
      </c>
      <c r="F7226" s="16" t="s">
        <v>22043</v>
      </c>
    </row>
    <row r="7227" spans="1:6" x14ac:dyDescent="0.25">
      <c r="A7227" s="16" t="s">
        <v>22044</v>
      </c>
      <c r="B7227" s="17" t="s">
        <v>22045</v>
      </c>
      <c r="C7227" s="17" t="s">
        <v>11</v>
      </c>
      <c r="D7227" s="17" t="s">
        <v>148</v>
      </c>
      <c r="E7227" s="17" t="s">
        <v>20</v>
      </c>
      <c r="F7227" s="16" t="s">
        <v>22046</v>
      </c>
    </row>
    <row r="7228" spans="1:6" x14ac:dyDescent="0.25">
      <c r="A7228" s="16" t="s">
        <v>22047</v>
      </c>
      <c r="B7228" s="17" t="s">
        <v>22048</v>
      </c>
      <c r="C7228" s="17" t="s">
        <v>11</v>
      </c>
      <c r="D7228" s="17" t="s">
        <v>26</v>
      </c>
      <c r="E7228" s="17" t="s">
        <v>20</v>
      </c>
      <c r="F7228" s="16" t="s">
        <v>22049</v>
      </c>
    </row>
    <row r="7229" spans="1:6" x14ac:dyDescent="0.25">
      <c r="A7229" s="16" t="s">
        <v>22050</v>
      </c>
      <c r="B7229" s="17" t="s">
        <v>22051</v>
      </c>
      <c r="C7229" s="17" t="s">
        <v>11</v>
      </c>
      <c r="D7229" s="17" t="s">
        <v>32</v>
      </c>
      <c r="E7229" s="17" t="s">
        <v>20</v>
      </c>
      <c r="F7229" s="16" t="s">
        <v>22052</v>
      </c>
    </row>
    <row r="7230" spans="1:6" x14ac:dyDescent="0.25">
      <c r="A7230" s="16" t="s">
        <v>22053</v>
      </c>
      <c r="B7230" s="17" t="s">
        <v>22054</v>
      </c>
      <c r="C7230" s="17" t="s">
        <v>11</v>
      </c>
      <c r="D7230" s="17" t="s">
        <v>32</v>
      </c>
      <c r="E7230" s="17" t="s">
        <v>20</v>
      </c>
      <c r="F7230" s="16" t="s">
        <v>22055</v>
      </c>
    </row>
    <row r="7231" spans="1:6" x14ac:dyDescent="0.25">
      <c r="A7231" s="16" t="s">
        <v>22056</v>
      </c>
      <c r="B7231" s="17" t="s">
        <v>22057</v>
      </c>
      <c r="C7231" s="17" t="s">
        <v>11</v>
      </c>
      <c r="D7231" s="17" t="s">
        <v>186</v>
      </c>
      <c r="E7231" s="17" t="s">
        <v>20</v>
      </c>
      <c r="F7231" s="16" t="s">
        <v>22058</v>
      </c>
    </row>
    <row r="7232" spans="1:6" x14ac:dyDescent="0.25">
      <c r="A7232" s="16" t="s">
        <v>22059</v>
      </c>
      <c r="B7232" s="17" t="s">
        <v>22060</v>
      </c>
      <c r="C7232" s="17" t="s">
        <v>11</v>
      </c>
      <c r="D7232" s="17" t="s">
        <v>26</v>
      </c>
      <c r="E7232" s="17" t="s">
        <v>20</v>
      </c>
      <c r="F7232" s="16" t="s">
        <v>22061</v>
      </c>
    </row>
    <row r="7233" spans="1:6" x14ac:dyDescent="0.25">
      <c r="A7233" s="16" t="s">
        <v>22062</v>
      </c>
      <c r="B7233" s="17" t="s">
        <v>22063</v>
      </c>
      <c r="C7233" s="17" t="s">
        <v>11</v>
      </c>
      <c r="D7233" s="17" t="s">
        <v>32</v>
      </c>
      <c r="E7233" s="17" t="s">
        <v>20</v>
      </c>
      <c r="F7233" s="16" t="s">
        <v>22064</v>
      </c>
    </row>
    <row r="7234" spans="1:6" x14ac:dyDescent="0.25">
      <c r="A7234" s="16" t="s">
        <v>22065</v>
      </c>
      <c r="B7234" s="17" t="s">
        <v>22066</v>
      </c>
      <c r="C7234" s="17" t="s">
        <v>11</v>
      </c>
      <c r="D7234" s="17" t="s">
        <v>89</v>
      </c>
      <c r="E7234" s="17" t="s">
        <v>20</v>
      </c>
      <c r="F7234" s="16" t="s">
        <v>22067</v>
      </c>
    </row>
    <row r="7235" spans="1:6" x14ac:dyDescent="0.25">
      <c r="A7235" s="16" t="s">
        <v>22068</v>
      </c>
      <c r="B7235" s="17" t="s">
        <v>22069</v>
      </c>
      <c r="C7235" s="17" t="s">
        <v>11</v>
      </c>
      <c r="D7235" s="17" t="s">
        <v>83</v>
      </c>
      <c r="E7235" s="17" t="s">
        <v>20</v>
      </c>
      <c r="F7235" s="16" t="s">
        <v>22070</v>
      </c>
    </row>
    <row r="7236" spans="1:6" x14ac:dyDescent="0.25">
      <c r="A7236" s="16" t="s">
        <v>22071</v>
      </c>
      <c r="B7236" s="17" t="s">
        <v>22072</v>
      </c>
      <c r="C7236" s="17" t="s">
        <v>11</v>
      </c>
      <c r="D7236" s="17" t="s">
        <v>32</v>
      </c>
      <c r="E7236" s="17" t="s">
        <v>20</v>
      </c>
      <c r="F7236" s="16" t="s">
        <v>22073</v>
      </c>
    </row>
    <row r="7237" spans="1:6" x14ac:dyDescent="0.25">
      <c r="A7237" s="16" t="s">
        <v>22074</v>
      </c>
      <c r="B7237" s="17" t="s">
        <v>22075</v>
      </c>
      <c r="C7237" s="17" t="s">
        <v>11</v>
      </c>
      <c r="D7237" s="17" t="s">
        <v>26</v>
      </c>
      <c r="E7237" s="17" t="s">
        <v>20</v>
      </c>
      <c r="F7237" s="16" t="s">
        <v>22076</v>
      </c>
    </row>
    <row r="7238" spans="1:6" x14ac:dyDescent="0.25">
      <c r="A7238" s="16" t="s">
        <v>22077</v>
      </c>
      <c r="B7238" s="17" t="s">
        <v>22078</v>
      </c>
      <c r="C7238" s="17" t="s">
        <v>11</v>
      </c>
      <c r="D7238" s="17" t="s">
        <v>32</v>
      </c>
      <c r="E7238" s="17" t="s">
        <v>20</v>
      </c>
      <c r="F7238" s="16" t="s">
        <v>22079</v>
      </c>
    </row>
    <row r="7239" spans="1:6" x14ac:dyDescent="0.25">
      <c r="A7239" s="16" t="s">
        <v>22080</v>
      </c>
      <c r="B7239" s="17" t="s">
        <v>22081</v>
      </c>
      <c r="C7239" s="17" t="s">
        <v>11</v>
      </c>
      <c r="D7239" s="17" t="s">
        <v>32</v>
      </c>
      <c r="E7239" s="17" t="s">
        <v>20</v>
      </c>
      <c r="F7239" s="16" t="s">
        <v>22082</v>
      </c>
    </row>
    <row r="7240" spans="1:6" x14ac:dyDescent="0.25">
      <c r="A7240" s="16" t="s">
        <v>22083</v>
      </c>
      <c r="B7240" s="17" t="s">
        <v>22084</v>
      </c>
      <c r="C7240" s="17" t="s">
        <v>11</v>
      </c>
      <c r="D7240" s="17" t="s">
        <v>32</v>
      </c>
      <c r="E7240" s="17" t="s">
        <v>20</v>
      </c>
      <c r="F7240" s="16" t="s">
        <v>22085</v>
      </c>
    </row>
    <row r="7241" spans="1:6" x14ac:dyDescent="0.25">
      <c r="A7241" s="16" t="s">
        <v>22086</v>
      </c>
      <c r="B7241" s="17" t="s">
        <v>22087</v>
      </c>
      <c r="C7241" s="17" t="s">
        <v>11</v>
      </c>
      <c r="D7241" s="17" t="s">
        <v>32</v>
      </c>
      <c r="E7241" s="17" t="s">
        <v>20</v>
      </c>
      <c r="F7241" s="16" t="s">
        <v>22088</v>
      </c>
    </row>
    <row r="7242" spans="1:6" x14ac:dyDescent="0.25">
      <c r="A7242" s="16" t="s">
        <v>22089</v>
      </c>
      <c r="B7242" s="17" t="s">
        <v>22090</v>
      </c>
      <c r="C7242" s="17" t="s">
        <v>11</v>
      </c>
      <c r="D7242" s="17" t="s">
        <v>26</v>
      </c>
      <c r="E7242" s="17" t="s">
        <v>20</v>
      </c>
      <c r="F7242" s="16" t="s">
        <v>22091</v>
      </c>
    </row>
    <row r="7243" spans="1:6" x14ac:dyDescent="0.25">
      <c r="A7243" s="16" t="s">
        <v>22092</v>
      </c>
      <c r="B7243" s="17" t="s">
        <v>22093</v>
      </c>
      <c r="C7243" s="17" t="s">
        <v>11</v>
      </c>
      <c r="D7243" s="17" t="s">
        <v>32</v>
      </c>
      <c r="E7243" s="17" t="s">
        <v>20</v>
      </c>
      <c r="F7243" s="16" t="s">
        <v>22094</v>
      </c>
    </row>
    <row r="7244" spans="1:6" x14ac:dyDescent="0.25">
      <c r="A7244" s="16" t="s">
        <v>22095</v>
      </c>
      <c r="B7244" s="17" t="s">
        <v>22096</v>
      </c>
      <c r="C7244" s="17" t="s">
        <v>11</v>
      </c>
      <c r="D7244" s="17" t="s">
        <v>32</v>
      </c>
      <c r="E7244" s="17" t="s">
        <v>20</v>
      </c>
      <c r="F7244" s="16" t="s">
        <v>22097</v>
      </c>
    </row>
    <row r="7245" spans="1:6" x14ac:dyDescent="0.25">
      <c r="A7245" s="16" t="s">
        <v>22098</v>
      </c>
      <c r="B7245" s="17" t="s">
        <v>22099</v>
      </c>
      <c r="C7245" s="17" t="s">
        <v>11</v>
      </c>
      <c r="D7245" s="17" t="s">
        <v>148</v>
      </c>
      <c r="E7245" s="17" t="s">
        <v>20</v>
      </c>
      <c r="F7245" s="16" t="s">
        <v>22100</v>
      </c>
    </row>
    <row r="7246" spans="1:6" x14ac:dyDescent="0.25">
      <c r="A7246" s="16" t="s">
        <v>22101</v>
      </c>
      <c r="B7246" s="17" t="s">
        <v>22102</v>
      </c>
      <c r="C7246" s="17" t="s">
        <v>11</v>
      </c>
      <c r="D7246" s="17" t="s">
        <v>32</v>
      </c>
      <c r="E7246" s="17" t="s">
        <v>20</v>
      </c>
      <c r="F7246" s="16" t="s">
        <v>22103</v>
      </c>
    </row>
    <row r="7247" spans="1:6" x14ac:dyDescent="0.25">
      <c r="A7247" s="16" t="s">
        <v>22104</v>
      </c>
      <c r="B7247" s="17" t="s">
        <v>22105</v>
      </c>
      <c r="C7247" s="17" t="s">
        <v>11</v>
      </c>
      <c r="D7247" s="17" t="s">
        <v>32</v>
      </c>
      <c r="E7247" s="17" t="s">
        <v>20</v>
      </c>
      <c r="F7247" s="16" t="s">
        <v>22106</v>
      </c>
    </row>
    <row r="7248" spans="1:6" x14ac:dyDescent="0.25">
      <c r="A7248" s="16" t="s">
        <v>22107</v>
      </c>
      <c r="B7248" s="17" t="s">
        <v>22108</v>
      </c>
      <c r="C7248" s="17" t="s">
        <v>11</v>
      </c>
      <c r="D7248" s="17" t="s">
        <v>32</v>
      </c>
      <c r="E7248" s="17" t="s">
        <v>20</v>
      </c>
      <c r="F7248" s="16" t="s">
        <v>22109</v>
      </c>
    </row>
    <row r="7249" spans="1:6" x14ac:dyDescent="0.25">
      <c r="A7249" s="16" t="s">
        <v>22110</v>
      </c>
      <c r="B7249" s="17" t="s">
        <v>22111</v>
      </c>
      <c r="C7249" s="17" t="s">
        <v>11</v>
      </c>
      <c r="D7249" s="17" t="s">
        <v>32</v>
      </c>
      <c r="E7249" s="17" t="s">
        <v>20</v>
      </c>
      <c r="F7249" s="16" t="s">
        <v>22112</v>
      </c>
    </row>
    <row r="7250" spans="1:6" x14ac:dyDescent="0.25">
      <c r="A7250" s="16" t="s">
        <v>22113</v>
      </c>
      <c r="B7250" s="17" t="s">
        <v>22114</v>
      </c>
      <c r="C7250" s="17" t="s">
        <v>11</v>
      </c>
      <c r="D7250" s="17" t="s">
        <v>32</v>
      </c>
      <c r="E7250" s="17" t="s">
        <v>20</v>
      </c>
      <c r="F7250" s="16" t="s">
        <v>22115</v>
      </c>
    </row>
    <row r="7251" spans="1:6" x14ac:dyDescent="0.25">
      <c r="A7251" s="16" t="s">
        <v>22116</v>
      </c>
      <c r="B7251" s="17" t="s">
        <v>22117</v>
      </c>
      <c r="C7251" s="17" t="s">
        <v>11</v>
      </c>
      <c r="D7251" s="17" t="s">
        <v>32</v>
      </c>
      <c r="E7251" s="17" t="s">
        <v>20</v>
      </c>
      <c r="F7251" s="16" t="s">
        <v>22118</v>
      </c>
    </row>
    <row r="7252" spans="1:6" x14ac:dyDescent="0.25">
      <c r="A7252" s="16" t="s">
        <v>22119</v>
      </c>
      <c r="B7252" s="17" t="s">
        <v>22120</v>
      </c>
      <c r="C7252" s="17" t="s">
        <v>11</v>
      </c>
      <c r="D7252" s="17" t="s">
        <v>32</v>
      </c>
      <c r="E7252" s="17" t="s">
        <v>20</v>
      </c>
      <c r="F7252" s="16" t="s">
        <v>22121</v>
      </c>
    </row>
    <row r="7253" spans="1:6" x14ac:dyDescent="0.25">
      <c r="A7253" s="16" t="s">
        <v>22122</v>
      </c>
      <c r="B7253" s="17" t="s">
        <v>22123</v>
      </c>
      <c r="C7253" s="17" t="s">
        <v>11</v>
      </c>
      <c r="D7253" s="17" t="s">
        <v>32</v>
      </c>
      <c r="E7253" s="17" t="s">
        <v>20</v>
      </c>
      <c r="F7253" s="16" t="s">
        <v>22124</v>
      </c>
    </row>
    <row r="7254" spans="1:6" x14ac:dyDescent="0.25">
      <c r="A7254" s="16" t="s">
        <v>22125</v>
      </c>
      <c r="B7254" s="17" t="s">
        <v>22126</v>
      </c>
      <c r="C7254" s="17" t="s">
        <v>11</v>
      </c>
      <c r="D7254" s="17" t="s">
        <v>32</v>
      </c>
      <c r="E7254" s="17" t="s">
        <v>20</v>
      </c>
      <c r="F7254" s="16" t="s">
        <v>22127</v>
      </c>
    </row>
    <row r="7255" spans="1:6" x14ac:dyDescent="0.25">
      <c r="A7255" s="16" t="s">
        <v>22128</v>
      </c>
      <c r="B7255" s="17" t="s">
        <v>22129</v>
      </c>
      <c r="C7255" s="17" t="s">
        <v>11</v>
      </c>
      <c r="D7255" s="17" t="s">
        <v>32</v>
      </c>
      <c r="E7255" s="17" t="s">
        <v>20</v>
      </c>
      <c r="F7255" s="16" t="s">
        <v>22130</v>
      </c>
    </row>
    <row r="7256" spans="1:6" x14ac:dyDescent="0.25">
      <c r="A7256" s="16" t="s">
        <v>22131</v>
      </c>
      <c r="B7256" s="17" t="s">
        <v>22132</v>
      </c>
      <c r="C7256" s="17" t="s">
        <v>11</v>
      </c>
      <c r="D7256" s="17" t="s">
        <v>148</v>
      </c>
      <c r="E7256" s="17" t="s">
        <v>20</v>
      </c>
      <c r="F7256" s="16" t="s">
        <v>22133</v>
      </c>
    </row>
    <row r="7257" spans="1:6" x14ac:dyDescent="0.25">
      <c r="A7257" s="16" t="s">
        <v>22134</v>
      </c>
      <c r="B7257" s="17" t="s">
        <v>22135</v>
      </c>
      <c r="C7257" s="17" t="s">
        <v>11</v>
      </c>
      <c r="D7257" s="17" t="s">
        <v>32</v>
      </c>
      <c r="E7257" s="17" t="s">
        <v>20</v>
      </c>
      <c r="F7257" s="16" t="s">
        <v>22136</v>
      </c>
    </row>
    <row r="7258" spans="1:6" x14ac:dyDescent="0.25">
      <c r="A7258" s="16" t="s">
        <v>22137</v>
      </c>
      <c r="B7258" s="17" t="s">
        <v>22138</v>
      </c>
      <c r="C7258" s="17" t="s">
        <v>11</v>
      </c>
      <c r="D7258" s="17" t="s">
        <v>148</v>
      </c>
      <c r="E7258" s="17" t="s">
        <v>20</v>
      </c>
      <c r="F7258" s="16" t="s">
        <v>22139</v>
      </c>
    </row>
    <row r="7259" spans="1:6" x14ac:dyDescent="0.25">
      <c r="A7259" s="16" t="s">
        <v>22140</v>
      </c>
      <c r="B7259" s="17" t="s">
        <v>22141</v>
      </c>
      <c r="C7259" s="17" t="s">
        <v>11</v>
      </c>
      <c r="D7259" s="17" t="s">
        <v>32</v>
      </c>
      <c r="E7259" s="17" t="s">
        <v>20</v>
      </c>
      <c r="F7259" s="16" t="s">
        <v>22142</v>
      </c>
    </row>
    <row r="7260" spans="1:6" x14ac:dyDescent="0.25">
      <c r="A7260" s="16" t="s">
        <v>22143</v>
      </c>
      <c r="B7260" s="17" t="s">
        <v>22144</v>
      </c>
      <c r="C7260" s="17" t="s">
        <v>11</v>
      </c>
      <c r="D7260" s="17" t="s">
        <v>32</v>
      </c>
      <c r="E7260" s="17" t="s">
        <v>20</v>
      </c>
      <c r="F7260" s="16" t="s">
        <v>22145</v>
      </c>
    </row>
    <row r="7261" spans="1:6" x14ac:dyDescent="0.25">
      <c r="A7261" s="16" t="s">
        <v>22146</v>
      </c>
      <c r="B7261" s="17" t="s">
        <v>22147</v>
      </c>
      <c r="C7261" s="17" t="s">
        <v>11</v>
      </c>
      <c r="D7261" s="17" t="s">
        <v>32</v>
      </c>
      <c r="E7261" s="17" t="s">
        <v>20</v>
      </c>
      <c r="F7261" s="16" t="s">
        <v>22148</v>
      </c>
    </row>
    <row r="7262" spans="1:6" x14ac:dyDescent="0.25">
      <c r="A7262" s="16" t="s">
        <v>22149</v>
      </c>
      <c r="B7262" s="17" t="s">
        <v>22150</v>
      </c>
      <c r="C7262" s="17" t="s">
        <v>11</v>
      </c>
      <c r="D7262" s="17" t="s">
        <v>26</v>
      </c>
      <c r="E7262" s="17" t="s">
        <v>20</v>
      </c>
      <c r="F7262" s="16" t="s">
        <v>22151</v>
      </c>
    </row>
    <row r="7263" spans="1:6" x14ac:dyDescent="0.25">
      <c r="A7263" s="16" t="s">
        <v>22152</v>
      </c>
      <c r="B7263" s="17" t="s">
        <v>22153</v>
      </c>
      <c r="C7263" s="17" t="s">
        <v>11</v>
      </c>
      <c r="D7263" s="17" t="s">
        <v>148</v>
      </c>
      <c r="E7263" s="17" t="s">
        <v>20</v>
      </c>
      <c r="F7263" s="16" t="s">
        <v>22154</v>
      </c>
    </row>
    <row r="7264" spans="1:6" x14ac:dyDescent="0.25">
      <c r="A7264" s="16" t="s">
        <v>22155</v>
      </c>
      <c r="B7264" s="17" t="s">
        <v>22156</v>
      </c>
      <c r="C7264" s="17" t="s">
        <v>11</v>
      </c>
      <c r="D7264" s="17" t="s">
        <v>26</v>
      </c>
      <c r="E7264" s="17" t="s">
        <v>20</v>
      </c>
      <c r="F7264" s="16" t="s">
        <v>22157</v>
      </c>
    </row>
    <row r="7265" spans="1:6" x14ac:dyDescent="0.25">
      <c r="A7265" s="16" t="s">
        <v>22158</v>
      </c>
      <c r="B7265" s="17" t="s">
        <v>22159</v>
      </c>
      <c r="C7265" s="17" t="s">
        <v>11</v>
      </c>
      <c r="D7265" s="17" t="s">
        <v>148</v>
      </c>
      <c r="E7265" s="17" t="s">
        <v>20</v>
      </c>
      <c r="F7265" s="16" t="s">
        <v>22160</v>
      </c>
    </row>
    <row r="7266" spans="1:6" x14ac:dyDescent="0.25">
      <c r="A7266" s="16" t="s">
        <v>22161</v>
      </c>
      <c r="B7266" s="17" t="s">
        <v>22162</v>
      </c>
      <c r="C7266" s="17" t="s">
        <v>11</v>
      </c>
      <c r="D7266" s="17" t="s">
        <v>26</v>
      </c>
      <c r="E7266" s="17" t="s">
        <v>20</v>
      </c>
      <c r="F7266" s="16" t="s">
        <v>22163</v>
      </c>
    </row>
    <row r="7267" spans="1:6" x14ac:dyDescent="0.25">
      <c r="A7267" s="16" t="s">
        <v>22164</v>
      </c>
      <c r="B7267" s="17" t="s">
        <v>22165</v>
      </c>
      <c r="C7267" s="17" t="s">
        <v>11</v>
      </c>
      <c r="D7267" s="17" t="s">
        <v>544</v>
      </c>
      <c r="E7267" s="17" t="s">
        <v>20</v>
      </c>
      <c r="F7267" s="16" t="s">
        <v>22166</v>
      </c>
    </row>
    <row r="7268" spans="1:6" x14ac:dyDescent="0.25">
      <c r="A7268" s="16" t="s">
        <v>22167</v>
      </c>
      <c r="B7268" s="17" t="s">
        <v>22168</v>
      </c>
      <c r="C7268" s="17" t="s">
        <v>11</v>
      </c>
      <c r="D7268" s="17" t="s">
        <v>26</v>
      </c>
      <c r="E7268" s="17" t="s">
        <v>20</v>
      </c>
      <c r="F7268" s="16" t="s">
        <v>22169</v>
      </c>
    </row>
    <row r="7269" spans="1:6" x14ac:dyDescent="0.25">
      <c r="A7269" s="16" t="s">
        <v>22170</v>
      </c>
      <c r="B7269" s="17" t="s">
        <v>22171</v>
      </c>
      <c r="C7269" s="17" t="s">
        <v>11</v>
      </c>
      <c r="D7269" s="17" t="s">
        <v>148</v>
      </c>
      <c r="E7269" s="17" t="s">
        <v>20</v>
      </c>
      <c r="F7269" s="16" t="s">
        <v>22172</v>
      </c>
    </row>
    <row r="7270" spans="1:6" x14ac:dyDescent="0.25">
      <c r="A7270" s="16" t="s">
        <v>22173</v>
      </c>
      <c r="B7270" s="17" t="s">
        <v>22174</v>
      </c>
      <c r="C7270" s="17" t="s">
        <v>11</v>
      </c>
      <c r="D7270" s="17" t="s">
        <v>83</v>
      </c>
      <c r="E7270" s="17" t="s">
        <v>20</v>
      </c>
      <c r="F7270" s="16" t="s">
        <v>22175</v>
      </c>
    </row>
    <row r="7271" spans="1:6" x14ac:dyDescent="0.25">
      <c r="A7271" s="16" t="s">
        <v>22176</v>
      </c>
      <c r="B7271" s="17" t="s">
        <v>22177</v>
      </c>
      <c r="C7271" s="17" t="s">
        <v>11</v>
      </c>
      <c r="D7271" s="17" t="s">
        <v>32</v>
      </c>
      <c r="E7271" s="17" t="s">
        <v>20</v>
      </c>
      <c r="F7271" s="16" t="s">
        <v>22178</v>
      </c>
    </row>
    <row r="7272" spans="1:6" x14ac:dyDescent="0.25">
      <c r="A7272" s="16" t="s">
        <v>22179</v>
      </c>
      <c r="B7272" s="17" t="s">
        <v>22180</v>
      </c>
      <c r="C7272" s="17" t="s">
        <v>11</v>
      </c>
      <c r="D7272" s="17" t="s">
        <v>32</v>
      </c>
      <c r="E7272" s="17" t="s">
        <v>20</v>
      </c>
      <c r="F7272" s="16" t="s">
        <v>22181</v>
      </c>
    </row>
    <row r="7273" spans="1:6" x14ac:dyDescent="0.25">
      <c r="A7273" s="16" t="s">
        <v>22182</v>
      </c>
      <c r="B7273" s="17" t="s">
        <v>22183</v>
      </c>
      <c r="C7273" s="17" t="s">
        <v>11</v>
      </c>
      <c r="D7273" s="17" t="s">
        <v>26</v>
      </c>
      <c r="E7273" s="17" t="s">
        <v>20</v>
      </c>
      <c r="F7273" s="16" t="s">
        <v>22184</v>
      </c>
    </row>
    <row r="7274" spans="1:6" x14ac:dyDescent="0.25">
      <c r="A7274" s="16" t="s">
        <v>22185</v>
      </c>
      <c r="B7274" s="17" t="s">
        <v>22186</v>
      </c>
      <c r="C7274" s="17" t="s">
        <v>11</v>
      </c>
      <c r="D7274" s="17" t="s">
        <v>32</v>
      </c>
      <c r="E7274" s="17" t="s">
        <v>20</v>
      </c>
      <c r="F7274" s="16" t="s">
        <v>22187</v>
      </c>
    </row>
    <row r="7275" spans="1:6" x14ac:dyDescent="0.25">
      <c r="A7275" s="16" t="s">
        <v>22188</v>
      </c>
      <c r="B7275" s="17" t="s">
        <v>22189</v>
      </c>
      <c r="C7275" s="17" t="s">
        <v>11</v>
      </c>
      <c r="D7275" s="17" t="s">
        <v>32</v>
      </c>
      <c r="E7275" s="17" t="s">
        <v>20</v>
      </c>
      <c r="F7275" s="16" t="s">
        <v>22190</v>
      </c>
    </row>
    <row r="7276" spans="1:6" x14ac:dyDescent="0.25">
      <c r="A7276" s="16" t="s">
        <v>22191</v>
      </c>
      <c r="B7276" s="17" t="s">
        <v>22192</v>
      </c>
      <c r="C7276" s="17" t="s">
        <v>11</v>
      </c>
      <c r="D7276" s="17" t="s">
        <v>148</v>
      </c>
      <c r="E7276" s="17" t="s">
        <v>20</v>
      </c>
      <c r="F7276" s="16" t="s">
        <v>22193</v>
      </c>
    </row>
    <row r="7277" spans="1:6" x14ac:dyDescent="0.25">
      <c r="A7277" s="16" t="s">
        <v>22194</v>
      </c>
      <c r="B7277" s="17" t="s">
        <v>22195</v>
      </c>
      <c r="C7277" s="17" t="s">
        <v>11</v>
      </c>
      <c r="D7277" s="17" t="s">
        <v>32</v>
      </c>
      <c r="E7277" s="17" t="s">
        <v>20</v>
      </c>
      <c r="F7277" s="16" t="s">
        <v>22196</v>
      </c>
    </row>
    <row r="7278" spans="1:6" x14ac:dyDescent="0.25">
      <c r="A7278" s="16" t="s">
        <v>22197</v>
      </c>
      <c r="B7278" s="17" t="s">
        <v>22198</v>
      </c>
      <c r="C7278" s="17" t="s">
        <v>11</v>
      </c>
      <c r="D7278" s="17" t="s">
        <v>26</v>
      </c>
      <c r="E7278" s="17" t="s">
        <v>20</v>
      </c>
      <c r="F7278" s="16" t="s">
        <v>22199</v>
      </c>
    </row>
    <row r="7279" spans="1:6" x14ac:dyDescent="0.25">
      <c r="A7279" s="16" t="s">
        <v>22200</v>
      </c>
      <c r="B7279" s="17" t="s">
        <v>22201</v>
      </c>
      <c r="C7279" s="17" t="s">
        <v>11</v>
      </c>
      <c r="D7279" s="17" t="s">
        <v>148</v>
      </c>
      <c r="E7279" s="17" t="s">
        <v>20</v>
      </c>
      <c r="F7279" s="16" t="s">
        <v>22202</v>
      </c>
    </row>
    <row r="7280" spans="1:6" x14ac:dyDescent="0.25">
      <c r="A7280" s="16" t="s">
        <v>22203</v>
      </c>
      <c r="B7280" s="17" t="s">
        <v>22204</v>
      </c>
      <c r="C7280" s="17" t="s">
        <v>11</v>
      </c>
      <c r="D7280" s="17" t="s">
        <v>32</v>
      </c>
      <c r="E7280" s="17" t="s">
        <v>20</v>
      </c>
      <c r="F7280" s="16" t="s">
        <v>22205</v>
      </c>
    </row>
    <row r="7281" spans="1:6" x14ac:dyDescent="0.25">
      <c r="A7281" s="16" t="s">
        <v>22206</v>
      </c>
      <c r="B7281" s="17" t="s">
        <v>22207</v>
      </c>
      <c r="C7281" s="17" t="s">
        <v>11</v>
      </c>
      <c r="D7281" s="17" t="s">
        <v>83</v>
      </c>
      <c r="E7281" s="17" t="s">
        <v>20</v>
      </c>
      <c r="F7281" s="16" t="s">
        <v>22208</v>
      </c>
    </row>
    <row r="7282" spans="1:6" x14ac:dyDescent="0.25">
      <c r="A7282" s="16" t="s">
        <v>22209</v>
      </c>
      <c r="B7282" s="17" t="s">
        <v>22210</v>
      </c>
      <c r="C7282" s="17" t="s">
        <v>11</v>
      </c>
      <c r="D7282" s="17" t="s">
        <v>32</v>
      </c>
      <c r="E7282" s="17" t="s">
        <v>20</v>
      </c>
      <c r="F7282" s="16" t="s">
        <v>22211</v>
      </c>
    </row>
    <row r="7283" spans="1:6" x14ac:dyDescent="0.25">
      <c r="A7283" s="16" t="s">
        <v>22212</v>
      </c>
      <c r="B7283" s="17" t="s">
        <v>22213</v>
      </c>
      <c r="C7283" s="17" t="s">
        <v>11</v>
      </c>
      <c r="D7283" s="17" t="s">
        <v>83</v>
      </c>
      <c r="E7283" s="17" t="s">
        <v>20</v>
      </c>
      <c r="F7283" s="16" t="s">
        <v>22214</v>
      </c>
    </row>
    <row r="7284" spans="1:6" x14ac:dyDescent="0.25">
      <c r="A7284" s="16" t="s">
        <v>22215</v>
      </c>
      <c r="B7284" s="17" t="s">
        <v>22216</v>
      </c>
      <c r="C7284" s="17" t="s">
        <v>11</v>
      </c>
      <c r="D7284" s="17" t="s">
        <v>32</v>
      </c>
      <c r="E7284" s="17" t="s">
        <v>20</v>
      </c>
      <c r="F7284" s="16" t="s">
        <v>22217</v>
      </c>
    </row>
    <row r="7285" spans="1:6" x14ac:dyDescent="0.25">
      <c r="A7285" s="16" t="s">
        <v>22218</v>
      </c>
      <c r="B7285" s="17" t="s">
        <v>22219</v>
      </c>
      <c r="C7285" s="17" t="s">
        <v>11</v>
      </c>
      <c r="D7285" s="17" t="s">
        <v>26</v>
      </c>
      <c r="E7285" s="17" t="s">
        <v>20</v>
      </c>
      <c r="F7285" s="16" t="s">
        <v>22220</v>
      </c>
    </row>
    <row r="7286" spans="1:6" x14ac:dyDescent="0.25">
      <c r="A7286" s="16" t="s">
        <v>22221</v>
      </c>
      <c r="B7286" s="17" t="s">
        <v>22222</v>
      </c>
      <c r="C7286" s="17" t="s">
        <v>11</v>
      </c>
      <c r="D7286" s="17" t="s">
        <v>32</v>
      </c>
      <c r="E7286" s="17" t="s">
        <v>20</v>
      </c>
      <c r="F7286" s="16" t="s">
        <v>22223</v>
      </c>
    </row>
    <row r="7287" spans="1:6" x14ac:dyDescent="0.25">
      <c r="A7287" s="16" t="s">
        <v>22224</v>
      </c>
      <c r="B7287" s="17" t="s">
        <v>22225</v>
      </c>
      <c r="C7287" s="17" t="s">
        <v>11</v>
      </c>
      <c r="D7287" s="17" t="s">
        <v>32</v>
      </c>
      <c r="E7287" s="17" t="s">
        <v>20</v>
      </c>
      <c r="F7287" s="16" t="s">
        <v>22226</v>
      </c>
    </row>
    <row r="7288" spans="1:6" x14ac:dyDescent="0.25">
      <c r="A7288" s="16" t="s">
        <v>22227</v>
      </c>
      <c r="B7288" s="17" t="s">
        <v>22228</v>
      </c>
      <c r="C7288" s="17" t="s">
        <v>11</v>
      </c>
      <c r="D7288" s="17" t="s">
        <v>32</v>
      </c>
      <c r="E7288" s="17" t="s">
        <v>20</v>
      </c>
      <c r="F7288" s="16" t="s">
        <v>22229</v>
      </c>
    </row>
    <row r="7289" spans="1:6" x14ac:dyDescent="0.25">
      <c r="A7289" s="16" t="s">
        <v>22230</v>
      </c>
      <c r="B7289" s="17" t="s">
        <v>22231</v>
      </c>
      <c r="C7289" s="17" t="s">
        <v>11</v>
      </c>
      <c r="D7289" s="17" t="s">
        <v>26</v>
      </c>
      <c r="E7289" s="17" t="s">
        <v>20</v>
      </c>
      <c r="F7289" s="16" t="s">
        <v>22232</v>
      </c>
    </row>
    <row r="7290" spans="1:6" x14ac:dyDescent="0.25">
      <c r="A7290" s="16" t="s">
        <v>22233</v>
      </c>
      <c r="B7290" s="17" t="s">
        <v>22234</v>
      </c>
      <c r="C7290" s="17" t="s">
        <v>11</v>
      </c>
      <c r="D7290" s="17" t="s">
        <v>544</v>
      </c>
      <c r="E7290" s="17" t="s">
        <v>20</v>
      </c>
      <c r="F7290" s="16" t="s">
        <v>22235</v>
      </c>
    </row>
    <row r="7291" spans="1:6" x14ac:dyDescent="0.25">
      <c r="A7291" s="16" t="s">
        <v>22236</v>
      </c>
      <c r="B7291" s="17" t="s">
        <v>22237</v>
      </c>
      <c r="C7291" s="17" t="s">
        <v>11</v>
      </c>
      <c r="D7291" s="17" t="s">
        <v>148</v>
      </c>
      <c r="E7291" s="17" t="s">
        <v>20</v>
      </c>
      <c r="F7291" s="16" t="s">
        <v>22238</v>
      </c>
    </row>
    <row r="7292" spans="1:6" x14ac:dyDescent="0.25">
      <c r="A7292" s="16" t="s">
        <v>22239</v>
      </c>
      <c r="B7292" s="17" t="s">
        <v>22240</v>
      </c>
      <c r="C7292" s="17" t="s">
        <v>11</v>
      </c>
      <c r="D7292" s="17" t="s">
        <v>32</v>
      </c>
      <c r="E7292" s="17" t="s">
        <v>20</v>
      </c>
      <c r="F7292" s="16" t="s">
        <v>22241</v>
      </c>
    </row>
    <row r="7293" spans="1:6" x14ac:dyDescent="0.25">
      <c r="A7293" s="16" t="s">
        <v>22242</v>
      </c>
      <c r="B7293" s="17" t="s">
        <v>22243</v>
      </c>
      <c r="C7293" s="17" t="s">
        <v>11</v>
      </c>
      <c r="D7293" s="17" t="s">
        <v>26</v>
      </c>
      <c r="E7293" s="17" t="s">
        <v>20</v>
      </c>
      <c r="F7293" s="16" t="s">
        <v>22244</v>
      </c>
    </row>
    <row r="7294" spans="1:6" x14ac:dyDescent="0.25">
      <c r="A7294" s="16" t="s">
        <v>22245</v>
      </c>
      <c r="B7294" s="17" t="s">
        <v>22246</v>
      </c>
      <c r="C7294" s="17" t="s">
        <v>11</v>
      </c>
      <c r="D7294" s="17" t="s">
        <v>32</v>
      </c>
      <c r="E7294" s="17" t="s">
        <v>20</v>
      </c>
      <c r="F7294" s="16" t="s">
        <v>22247</v>
      </c>
    </row>
    <row r="7295" spans="1:6" x14ac:dyDescent="0.25">
      <c r="A7295" s="16" t="s">
        <v>22248</v>
      </c>
      <c r="B7295" s="17" t="s">
        <v>22249</v>
      </c>
      <c r="C7295" s="17" t="s">
        <v>11</v>
      </c>
      <c r="D7295" s="17" t="s">
        <v>26</v>
      </c>
      <c r="E7295" s="17" t="s">
        <v>20</v>
      </c>
      <c r="F7295" s="16" t="s">
        <v>22250</v>
      </c>
    </row>
    <row r="7296" spans="1:6" x14ac:dyDescent="0.25">
      <c r="A7296" s="16" t="s">
        <v>22251</v>
      </c>
      <c r="B7296" s="17" t="s">
        <v>22252</v>
      </c>
      <c r="C7296" s="17" t="s">
        <v>11</v>
      </c>
      <c r="D7296" s="17" t="s">
        <v>32</v>
      </c>
      <c r="E7296" s="17" t="s">
        <v>20</v>
      </c>
      <c r="F7296" s="16" t="s">
        <v>22253</v>
      </c>
    </row>
    <row r="7297" spans="1:6" x14ac:dyDescent="0.25">
      <c r="A7297" s="16" t="s">
        <v>22254</v>
      </c>
      <c r="B7297" s="17" t="s">
        <v>22255</v>
      </c>
      <c r="C7297" s="17" t="s">
        <v>11</v>
      </c>
      <c r="D7297" s="17" t="s">
        <v>80</v>
      </c>
      <c r="E7297" s="17" t="s">
        <v>20</v>
      </c>
      <c r="F7297" s="16" t="s">
        <v>22256</v>
      </c>
    </row>
    <row r="7298" spans="1:6" x14ac:dyDescent="0.25">
      <c r="A7298" s="16" t="s">
        <v>22257</v>
      </c>
      <c r="B7298" s="17" t="s">
        <v>22258</v>
      </c>
      <c r="C7298" s="17" t="s">
        <v>11</v>
      </c>
      <c r="D7298" s="17" t="s">
        <v>32</v>
      </c>
      <c r="E7298" s="17" t="s">
        <v>20</v>
      </c>
      <c r="F7298" s="16" t="s">
        <v>22259</v>
      </c>
    </row>
    <row r="7299" spans="1:6" x14ac:dyDescent="0.25">
      <c r="A7299" s="16" t="s">
        <v>22260</v>
      </c>
      <c r="B7299" s="17" t="s">
        <v>22261</v>
      </c>
      <c r="C7299" s="17" t="s">
        <v>11</v>
      </c>
      <c r="D7299" s="17" t="s">
        <v>26</v>
      </c>
      <c r="E7299" s="17" t="s">
        <v>20</v>
      </c>
      <c r="F7299" s="16" t="s">
        <v>22262</v>
      </c>
    </row>
    <row r="7300" spans="1:6" x14ac:dyDescent="0.25">
      <c r="A7300" s="16" t="s">
        <v>22263</v>
      </c>
      <c r="B7300" s="17" t="s">
        <v>22264</v>
      </c>
      <c r="C7300" s="17" t="s">
        <v>11</v>
      </c>
      <c r="D7300" s="17" t="s">
        <v>570</v>
      </c>
      <c r="E7300" s="17" t="s">
        <v>20</v>
      </c>
      <c r="F7300" s="16" t="s">
        <v>22265</v>
      </c>
    </row>
    <row r="7301" spans="1:6" x14ac:dyDescent="0.25">
      <c r="A7301" s="16" t="s">
        <v>22266</v>
      </c>
      <c r="B7301" s="17" t="s">
        <v>22267</v>
      </c>
      <c r="C7301" s="17" t="s">
        <v>11</v>
      </c>
      <c r="D7301" s="17" t="s">
        <v>32</v>
      </c>
      <c r="E7301" s="17" t="s">
        <v>20</v>
      </c>
      <c r="F7301" s="16" t="s">
        <v>22268</v>
      </c>
    </row>
    <row r="7302" spans="1:6" x14ac:dyDescent="0.25">
      <c r="A7302" s="16" t="s">
        <v>22269</v>
      </c>
      <c r="B7302" s="17" t="s">
        <v>22270</v>
      </c>
      <c r="C7302" s="17" t="s">
        <v>11</v>
      </c>
      <c r="D7302" s="17" t="s">
        <v>26</v>
      </c>
      <c r="E7302" s="17" t="s">
        <v>20</v>
      </c>
      <c r="F7302" s="16" t="s">
        <v>22271</v>
      </c>
    </row>
    <row r="7303" spans="1:6" x14ac:dyDescent="0.25">
      <c r="A7303" s="16" t="s">
        <v>22272</v>
      </c>
      <c r="B7303" s="17" t="s">
        <v>22273</v>
      </c>
      <c r="C7303" s="17" t="s">
        <v>11</v>
      </c>
      <c r="D7303" s="17" t="s">
        <v>32</v>
      </c>
      <c r="E7303" s="17" t="s">
        <v>20</v>
      </c>
      <c r="F7303" s="16" t="s">
        <v>22274</v>
      </c>
    </row>
    <row r="7304" spans="1:6" x14ac:dyDescent="0.25">
      <c r="A7304" s="16" t="s">
        <v>22275</v>
      </c>
      <c r="B7304" s="17" t="s">
        <v>22276</v>
      </c>
      <c r="C7304" s="17" t="s">
        <v>11</v>
      </c>
      <c r="D7304" s="17" t="s">
        <v>32</v>
      </c>
      <c r="E7304" s="17" t="s">
        <v>20</v>
      </c>
      <c r="F7304" s="16" t="s">
        <v>22277</v>
      </c>
    </row>
    <row r="7305" spans="1:6" x14ac:dyDescent="0.25">
      <c r="A7305" s="16" t="s">
        <v>22278</v>
      </c>
      <c r="B7305" s="17" t="s">
        <v>22279</v>
      </c>
      <c r="C7305" s="17" t="s">
        <v>11</v>
      </c>
      <c r="D7305" s="17" t="s">
        <v>32</v>
      </c>
      <c r="E7305" s="17" t="s">
        <v>20</v>
      </c>
      <c r="F7305" s="16" t="s">
        <v>22280</v>
      </c>
    </row>
    <row r="7306" spans="1:6" x14ac:dyDescent="0.25">
      <c r="A7306" s="16" t="s">
        <v>22281</v>
      </c>
      <c r="B7306" s="17" t="s">
        <v>22282</v>
      </c>
      <c r="C7306" s="17" t="s">
        <v>11</v>
      </c>
      <c r="D7306" s="17" t="s">
        <v>32</v>
      </c>
      <c r="E7306" s="17" t="s">
        <v>20</v>
      </c>
      <c r="F7306" s="16" t="s">
        <v>22283</v>
      </c>
    </row>
    <row r="7307" spans="1:6" x14ac:dyDescent="0.25">
      <c r="A7307" s="16" t="s">
        <v>22284</v>
      </c>
      <c r="B7307" s="17" t="s">
        <v>22285</v>
      </c>
      <c r="C7307" s="17" t="s">
        <v>11</v>
      </c>
      <c r="D7307" s="17" t="s">
        <v>80</v>
      </c>
      <c r="E7307" s="17" t="s">
        <v>20</v>
      </c>
      <c r="F7307" s="16" t="s">
        <v>22286</v>
      </c>
    </row>
    <row r="7308" spans="1:6" x14ac:dyDescent="0.25">
      <c r="A7308" s="16" t="s">
        <v>22287</v>
      </c>
      <c r="B7308" s="17" t="s">
        <v>22288</v>
      </c>
      <c r="C7308" s="17" t="s">
        <v>11</v>
      </c>
      <c r="D7308" s="17" t="s">
        <v>148</v>
      </c>
      <c r="E7308" s="17" t="s">
        <v>20</v>
      </c>
      <c r="F7308" s="16" t="s">
        <v>22289</v>
      </c>
    </row>
    <row r="7309" spans="1:6" x14ac:dyDescent="0.25">
      <c r="A7309" s="16" t="s">
        <v>22290</v>
      </c>
      <c r="B7309" s="17" t="s">
        <v>22291</v>
      </c>
      <c r="C7309" s="17" t="s">
        <v>11</v>
      </c>
      <c r="D7309" s="17" t="s">
        <v>32</v>
      </c>
      <c r="E7309" s="17" t="s">
        <v>20</v>
      </c>
      <c r="F7309" s="16" t="s">
        <v>22292</v>
      </c>
    </row>
    <row r="7310" spans="1:6" x14ac:dyDescent="0.25">
      <c r="A7310" s="16" t="s">
        <v>22293</v>
      </c>
      <c r="B7310" s="17" t="s">
        <v>22294</v>
      </c>
      <c r="C7310" s="17" t="s">
        <v>11</v>
      </c>
      <c r="D7310" s="17" t="s">
        <v>32</v>
      </c>
      <c r="E7310" s="17" t="s">
        <v>20</v>
      </c>
      <c r="F7310" s="16" t="s">
        <v>22295</v>
      </c>
    </row>
    <row r="7311" spans="1:6" x14ac:dyDescent="0.25">
      <c r="A7311" s="16" t="s">
        <v>22296</v>
      </c>
      <c r="B7311" s="17" t="s">
        <v>22297</v>
      </c>
      <c r="C7311" s="17" t="s">
        <v>11</v>
      </c>
      <c r="D7311" s="17" t="s">
        <v>32</v>
      </c>
      <c r="E7311" s="17" t="s">
        <v>20</v>
      </c>
      <c r="F7311" s="16" t="s">
        <v>22298</v>
      </c>
    </row>
    <row r="7312" spans="1:6" x14ac:dyDescent="0.25">
      <c r="A7312" s="16" t="s">
        <v>22299</v>
      </c>
      <c r="B7312" s="17" t="s">
        <v>22300</v>
      </c>
      <c r="C7312" s="17" t="s">
        <v>11</v>
      </c>
      <c r="D7312" s="17" t="s">
        <v>89</v>
      </c>
      <c r="E7312" s="17" t="s">
        <v>20</v>
      </c>
      <c r="F7312" s="16" t="s">
        <v>22301</v>
      </c>
    </row>
    <row r="7313" spans="1:6" x14ac:dyDescent="0.25">
      <c r="A7313" s="16" t="s">
        <v>22302</v>
      </c>
      <c r="B7313" s="17" t="s">
        <v>22303</v>
      </c>
      <c r="C7313" s="17" t="s">
        <v>11</v>
      </c>
      <c r="D7313" s="17" t="s">
        <v>148</v>
      </c>
      <c r="E7313" s="17" t="s">
        <v>20</v>
      </c>
      <c r="F7313" s="16" t="s">
        <v>22304</v>
      </c>
    </row>
    <row r="7314" spans="1:6" x14ac:dyDescent="0.25">
      <c r="A7314" s="16" t="s">
        <v>22305</v>
      </c>
      <c r="B7314" s="17" t="s">
        <v>22306</v>
      </c>
      <c r="C7314" s="17" t="s">
        <v>11</v>
      </c>
      <c r="D7314" s="17" t="s">
        <v>83</v>
      </c>
      <c r="E7314" s="17" t="s">
        <v>20</v>
      </c>
      <c r="F7314" s="16" t="s">
        <v>22307</v>
      </c>
    </row>
    <row r="7315" spans="1:6" x14ac:dyDescent="0.25">
      <c r="A7315" s="16" t="s">
        <v>22308</v>
      </c>
      <c r="B7315" s="17" t="s">
        <v>22309</v>
      </c>
      <c r="C7315" s="17" t="s">
        <v>11</v>
      </c>
      <c r="D7315" s="17" t="s">
        <v>80</v>
      </c>
      <c r="E7315" s="17" t="s">
        <v>20</v>
      </c>
      <c r="F7315" s="16" t="s">
        <v>22310</v>
      </c>
    </row>
    <row r="7316" spans="1:6" x14ac:dyDescent="0.25">
      <c r="A7316" s="16" t="s">
        <v>22311</v>
      </c>
      <c r="B7316" s="17" t="s">
        <v>22312</v>
      </c>
      <c r="C7316" s="17" t="s">
        <v>11</v>
      </c>
      <c r="D7316" s="17" t="s">
        <v>32</v>
      </c>
      <c r="E7316" s="17" t="s">
        <v>20</v>
      </c>
      <c r="F7316" s="16" t="s">
        <v>22313</v>
      </c>
    </row>
    <row r="7317" spans="1:6" x14ac:dyDescent="0.25">
      <c r="A7317" s="16" t="s">
        <v>22314</v>
      </c>
      <c r="B7317" s="17" t="s">
        <v>22315</v>
      </c>
      <c r="C7317" s="17" t="s">
        <v>11</v>
      </c>
      <c r="D7317" s="17" t="s">
        <v>32</v>
      </c>
      <c r="E7317" s="17" t="s">
        <v>20</v>
      </c>
      <c r="F7317" s="16" t="s">
        <v>22316</v>
      </c>
    </row>
    <row r="7318" spans="1:6" x14ac:dyDescent="0.25">
      <c r="A7318" s="16" t="s">
        <v>22317</v>
      </c>
      <c r="B7318" s="17" t="s">
        <v>22318</v>
      </c>
      <c r="C7318" s="17" t="s">
        <v>11</v>
      </c>
      <c r="D7318" s="17" t="s">
        <v>32</v>
      </c>
      <c r="E7318" s="17" t="s">
        <v>20</v>
      </c>
      <c r="F7318" s="16" t="s">
        <v>22319</v>
      </c>
    </row>
    <row r="7319" spans="1:6" x14ac:dyDescent="0.25">
      <c r="A7319" s="16" t="s">
        <v>22320</v>
      </c>
      <c r="B7319" s="17" t="s">
        <v>22321</v>
      </c>
      <c r="C7319" s="17" t="s">
        <v>11</v>
      </c>
      <c r="D7319" s="17" t="s">
        <v>32</v>
      </c>
      <c r="E7319" s="17" t="s">
        <v>20</v>
      </c>
      <c r="F7319" s="16" t="s">
        <v>22322</v>
      </c>
    </row>
    <row r="7320" spans="1:6" x14ac:dyDescent="0.25">
      <c r="A7320" s="16" t="s">
        <v>22323</v>
      </c>
      <c r="B7320" s="17" t="s">
        <v>22324</v>
      </c>
      <c r="C7320" s="17" t="s">
        <v>11</v>
      </c>
      <c r="D7320" s="17" t="s">
        <v>544</v>
      </c>
      <c r="E7320" s="17" t="s">
        <v>20</v>
      </c>
      <c r="F7320" s="16" t="s">
        <v>22325</v>
      </c>
    </row>
    <row r="7321" spans="1:6" x14ac:dyDescent="0.25">
      <c r="A7321" s="16" t="s">
        <v>22326</v>
      </c>
      <c r="B7321" s="17" t="s">
        <v>22327</v>
      </c>
      <c r="C7321" s="17" t="s">
        <v>11</v>
      </c>
      <c r="D7321" s="17" t="s">
        <v>32</v>
      </c>
      <c r="E7321" s="17" t="s">
        <v>20</v>
      </c>
      <c r="F7321" s="16" t="s">
        <v>22328</v>
      </c>
    </row>
    <row r="7322" spans="1:6" x14ac:dyDescent="0.25">
      <c r="A7322" s="16" t="s">
        <v>22329</v>
      </c>
      <c r="B7322" s="17" t="s">
        <v>22330</v>
      </c>
      <c r="C7322" s="17" t="s">
        <v>11</v>
      </c>
      <c r="D7322" s="17" t="s">
        <v>83</v>
      </c>
      <c r="E7322" s="17" t="s">
        <v>20</v>
      </c>
      <c r="F7322" s="16" t="s">
        <v>22331</v>
      </c>
    </row>
    <row r="7323" spans="1:6" x14ac:dyDescent="0.25">
      <c r="A7323" s="16" t="s">
        <v>22332</v>
      </c>
      <c r="B7323" s="17" t="s">
        <v>22333</v>
      </c>
      <c r="C7323" s="17" t="s">
        <v>11</v>
      </c>
      <c r="D7323" s="17" t="s">
        <v>32</v>
      </c>
      <c r="E7323" s="17" t="s">
        <v>20</v>
      </c>
      <c r="F7323" s="16" t="s">
        <v>22334</v>
      </c>
    </row>
    <row r="7324" spans="1:6" x14ac:dyDescent="0.25">
      <c r="A7324" s="16" t="s">
        <v>22335</v>
      </c>
      <c r="B7324" s="17" t="s">
        <v>22336</v>
      </c>
      <c r="C7324" s="17" t="s">
        <v>11</v>
      </c>
      <c r="D7324" s="17" t="s">
        <v>32</v>
      </c>
      <c r="E7324" s="17" t="s">
        <v>20</v>
      </c>
      <c r="F7324" s="16" t="s">
        <v>22337</v>
      </c>
    </row>
    <row r="7325" spans="1:6" x14ac:dyDescent="0.25">
      <c r="A7325" s="16" t="s">
        <v>22338</v>
      </c>
      <c r="B7325" s="17" t="s">
        <v>22339</v>
      </c>
      <c r="C7325" s="17" t="s">
        <v>11</v>
      </c>
      <c r="D7325" s="17" t="s">
        <v>83</v>
      </c>
      <c r="E7325" s="17" t="s">
        <v>20</v>
      </c>
      <c r="F7325" s="16" t="s">
        <v>22340</v>
      </c>
    </row>
    <row r="7326" spans="1:6" x14ac:dyDescent="0.25">
      <c r="A7326" s="16" t="s">
        <v>22341</v>
      </c>
      <c r="B7326" s="17" t="s">
        <v>22342</v>
      </c>
      <c r="C7326" s="17" t="s">
        <v>359</v>
      </c>
      <c r="D7326" s="17" t="s">
        <v>32</v>
      </c>
      <c r="E7326" s="17" t="s">
        <v>20</v>
      </c>
      <c r="F7326" s="16" t="s">
        <v>22343</v>
      </c>
    </row>
    <row r="7327" spans="1:6" x14ac:dyDescent="0.25">
      <c r="A7327" s="16" t="s">
        <v>22344</v>
      </c>
      <c r="B7327" s="17" t="s">
        <v>22345</v>
      </c>
      <c r="C7327" s="17" t="s">
        <v>11</v>
      </c>
      <c r="D7327" s="17" t="s">
        <v>26</v>
      </c>
      <c r="E7327" s="17" t="s">
        <v>20</v>
      </c>
      <c r="F7327" s="16" t="s">
        <v>22346</v>
      </c>
    </row>
    <row r="7328" spans="1:6" x14ac:dyDescent="0.25">
      <c r="A7328" s="16" t="s">
        <v>22347</v>
      </c>
      <c r="B7328" s="17" t="s">
        <v>22348</v>
      </c>
      <c r="C7328" s="17" t="s">
        <v>11</v>
      </c>
      <c r="D7328" s="17" t="s">
        <v>32</v>
      </c>
      <c r="E7328" s="17" t="s">
        <v>20</v>
      </c>
      <c r="F7328" s="16" t="s">
        <v>22349</v>
      </c>
    </row>
    <row r="7329" spans="1:6" x14ac:dyDescent="0.25">
      <c r="A7329" s="16" t="s">
        <v>22350</v>
      </c>
      <c r="B7329" s="17" t="s">
        <v>22351</v>
      </c>
      <c r="C7329" s="17" t="s">
        <v>11</v>
      </c>
      <c r="D7329" s="17" t="s">
        <v>32</v>
      </c>
      <c r="E7329" s="17" t="s">
        <v>20</v>
      </c>
      <c r="F7329" s="16" t="s">
        <v>22352</v>
      </c>
    </row>
    <row r="7330" spans="1:6" x14ac:dyDescent="0.25">
      <c r="A7330" s="16" t="s">
        <v>22353</v>
      </c>
      <c r="B7330" s="17" t="s">
        <v>22354</v>
      </c>
      <c r="C7330" s="17" t="s">
        <v>11</v>
      </c>
      <c r="D7330" s="17" t="s">
        <v>32</v>
      </c>
      <c r="E7330" s="17" t="s">
        <v>20</v>
      </c>
      <c r="F7330" s="16" t="s">
        <v>22355</v>
      </c>
    </row>
    <row r="7331" spans="1:6" x14ac:dyDescent="0.25">
      <c r="A7331" s="16" t="s">
        <v>22356</v>
      </c>
      <c r="B7331" s="17" t="s">
        <v>22357</v>
      </c>
      <c r="C7331" s="17" t="s">
        <v>11</v>
      </c>
      <c r="D7331" s="17" t="s">
        <v>32</v>
      </c>
      <c r="E7331" s="17" t="s">
        <v>20</v>
      </c>
      <c r="F7331" s="16" t="s">
        <v>22358</v>
      </c>
    </row>
    <row r="7332" spans="1:6" x14ac:dyDescent="0.25">
      <c r="A7332" s="16" t="s">
        <v>22359</v>
      </c>
      <c r="B7332" s="17" t="s">
        <v>22360</v>
      </c>
      <c r="C7332" s="17" t="s">
        <v>11</v>
      </c>
      <c r="D7332" s="17" t="s">
        <v>32</v>
      </c>
      <c r="E7332" s="17" t="s">
        <v>20</v>
      </c>
      <c r="F7332" s="16" t="s">
        <v>22361</v>
      </c>
    </row>
    <row r="7333" spans="1:6" x14ac:dyDescent="0.25">
      <c r="A7333" s="16" t="s">
        <v>22362</v>
      </c>
      <c r="B7333" s="17" t="s">
        <v>22363</v>
      </c>
      <c r="C7333" s="17" t="s">
        <v>11</v>
      </c>
      <c r="D7333" s="17" t="s">
        <v>32</v>
      </c>
      <c r="E7333" s="17" t="s">
        <v>20</v>
      </c>
      <c r="F7333" s="16" t="s">
        <v>22364</v>
      </c>
    </row>
    <row r="7334" spans="1:6" x14ac:dyDescent="0.25">
      <c r="A7334" s="16" t="s">
        <v>22365</v>
      </c>
      <c r="B7334" s="17" t="s">
        <v>22366</v>
      </c>
      <c r="C7334" s="17" t="s">
        <v>11</v>
      </c>
      <c r="D7334" s="17" t="s">
        <v>32</v>
      </c>
      <c r="E7334" s="17" t="s">
        <v>20</v>
      </c>
      <c r="F7334" s="16" t="s">
        <v>22367</v>
      </c>
    </row>
    <row r="7335" spans="1:6" x14ac:dyDescent="0.25">
      <c r="A7335" s="16" t="s">
        <v>22368</v>
      </c>
      <c r="B7335" s="17" t="s">
        <v>22369</v>
      </c>
      <c r="C7335" s="17" t="s">
        <v>11</v>
      </c>
      <c r="D7335" s="17" t="s">
        <v>83</v>
      </c>
      <c r="E7335" s="17" t="s">
        <v>20</v>
      </c>
      <c r="F7335" s="16" t="s">
        <v>22370</v>
      </c>
    </row>
    <row r="7336" spans="1:6" x14ac:dyDescent="0.25">
      <c r="A7336" s="16" t="s">
        <v>22371</v>
      </c>
      <c r="B7336" s="17" t="s">
        <v>22372</v>
      </c>
      <c r="C7336" s="17" t="s">
        <v>11</v>
      </c>
      <c r="D7336" s="17" t="s">
        <v>32</v>
      </c>
      <c r="E7336" s="17" t="s">
        <v>20</v>
      </c>
      <c r="F7336" s="16" t="s">
        <v>22373</v>
      </c>
    </row>
    <row r="7337" spans="1:6" x14ac:dyDescent="0.25">
      <c r="A7337" s="16" t="s">
        <v>22374</v>
      </c>
      <c r="B7337" s="17" t="s">
        <v>22375</v>
      </c>
      <c r="C7337" s="17" t="s">
        <v>11</v>
      </c>
      <c r="D7337" s="17" t="s">
        <v>32</v>
      </c>
      <c r="E7337" s="17" t="s">
        <v>20</v>
      </c>
      <c r="F7337" s="16" t="s">
        <v>22376</v>
      </c>
    </row>
    <row r="7338" spans="1:6" x14ac:dyDescent="0.25">
      <c r="A7338" s="16" t="s">
        <v>22377</v>
      </c>
      <c r="B7338" s="17" t="s">
        <v>22378</v>
      </c>
      <c r="C7338" s="17" t="s">
        <v>11</v>
      </c>
      <c r="D7338" s="17" t="s">
        <v>32</v>
      </c>
      <c r="E7338" s="17" t="s">
        <v>20</v>
      </c>
      <c r="F7338" s="16" t="s">
        <v>22379</v>
      </c>
    </row>
    <row r="7339" spans="1:6" x14ac:dyDescent="0.25">
      <c r="A7339" s="16" t="s">
        <v>22380</v>
      </c>
      <c r="B7339" s="17" t="s">
        <v>22381</v>
      </c>
      <c r="C7339" s="17" t="s">
        <v>11</v>
      </c>
      <c r="D7339" s="17" t="s">
        <v>32</v>
      </c>
      <c r="E7339" s="17" t="s">
        <v>20</v>
      </c>
      <c r="F7339" s="16" t="s">
        <v>22382</v>
      </c>
    </row>
    <row r="7340" spans="1:6" x14ac:dyDescent="0.25">
      <c r="A7340" s="16" t="s">
        <v>22383</v>
      </c>
      <c r="B7340" s="17" t="s">
        <v>22384</v>
      </c>
      <c r="C7340" s="17" t="s">
        <v>11</v>
      </c>
      <c r="D7340" s="17" t="s">
        <v>32</v>
      </c>
      <c r="E7340" s="17" t="s">
        <v>20</v>
      </c>
      <c r="F7340" s="16" t="s">
        <v>22385</v>
      </c>
    </row>
    <row r="7341" spans="1:6" x14ac:dyDescent="0.25">
      <c r="A7341" s="16" t="s">
        <v>22386</v>
      </c>
      <c r="B7341" s="17" t="s">
        <v>22387</v>
      </c>
      <c r="C7341" s="17" t="s">
        <v>11</v>
      </c>
      <c r="D7341" s="17" t="s">
        <v>32</v>
      </c>
      <c r="E7341" s="17" t="s">
        <v>20</v>
      </c>
      <c r="F7341" s="16" t="s">
        <v>22388</v>
      </c>
    </row>
    <row r="7342" spans="1:6" x14ac:dyDescent="0.25">
      <c r="A7342" s="16" t="s">
        <v>22389</v>
      </c>
      <c r="B7342" s="17" t="s">
        <v>22390</v>
      </c>
      <c r="C7342" s="17" t="s">
        <v>11</v>
      </c>
      <c r="D7342" s="17" t="s">
        <v>1298</v>
      </c>
      <c r="E7342" s="17" t="s">
        <v>1299</v>
      </c>
      <c r="F7342" s="16" t="s">
        <v>22391</v>
      </c>
    </row>
    <row r="7343" spans="1:6" x14ac:dyDescent="0.25">
      <c r="A7343" s="16" t="s">
        <v>22392</v>
      </c>
      <c r="B7343" s="17" t="s">
        <v>22393</v>
      </c>
      <c r="C7343" s="17" t="s">
        <v>11</v>
      </c>
      <c r="D7343" s="17" t="s">
        <v>83</v>
      </c>
      <c r="E7343" s="17" t="s">
        <v>20</v>
      </c>
      <c r="F7343" s="16" t="s">
        <v>22394</v>
      </c>
    </row>
    <row r="7344" spans="1:6" x14ac:dyDescent="0.25">
      <c r="A7344" s="16" t="s">
        <v>22395</v>
      </c>
      <c r="B7344" s="17" t="s">
        <v>22396</v>
      </c>
      <c r="C7344" s="17" t="s">
        <v>11</v>
      </c>
      <c r="D7344" s="17" t="s">
        <v>32</v>
      </c>
      <c r="E7344" s="17" t="s">
        <v>20</v>
      </c>
      <c r="F7344" s="16" t="s">
        <v>22397</v>
      </c>
    </row>
    <row r="7345" spans="1:6" x14ac:dyDescent="0.25">
      <c r="A7345" s="16" t="s">
        <v>22398</v>
      </c>
      <c r="B7345" s="17" t="s">
        <v>22399</v>
      </c>
      <c r="C7345" s="17" t="s">
        <v>11</v>
      </c>
      <c r="D7345" s="17" t="s">
        <v>148</v>
      </c>
      <c r="E7345" s="17" t="s">
        <v>20</v>
      </c>
      <c r="F7345" s="16" t="s">
        <v>22400</v>
      </c>
    </row>
    <row r="7346" spans="1:6" x14ac:dyDescent="0.25">
      <c r="A7346" s="16" t="s">
        <v>22401</v>
      </c>
      <c r="B7346" s="17" t="s">
        <v>22402</v>
      </c>
      <c r="C7346" s="17" t="s">
        <v>11</v>
      </c>
      <c r="D7346" s="17" t="s">
        <v>544</v>
      </c>
      <c r="E7346" s="17" t="s">
        <v>20</v>
      </c>
      <c r="F7346" s="16" t="s">
        <v>22403</v>
      </c>
    </row>
    <row r="7347" spans="1:6" x14ac:dyDescent="0.25">
      <c r="A7347" s="16" t="s">
        <v>22404</v>
      </c>
      <c r="B7347" s="17" t="s">
        <v>22405</v>
      </c>
      <c r="C7347" s="17" t="s">
        <v>11</v>
      </c>
      <c r="D7347" s="17" t="s">
        <v>32</v>
      </c>
      <c r="E7347" s="17" t="s">
        <v>20</v>
      </c>
      <c r="F7347" s="16" t="s">
        <v>22406</v>
      </c>
    </row>
    <row r="7348" spans="1:6" x14ac:dyDescent="0.25">
      <c r="A7348" s="16" t="s">
        <v>22407</v>
      </c>
      <c r="B7348" s="17" t="s">
        <v>22408</v>
      </c>
      <c r="C7348" s="17" t="s">
        <v>11</v>
      </c>
      <c r="D7348" s="17" t="s">
        <v>32</v>
      </c>
      <c r="E7348" s="17" t="s">
        <v>20</v>
      </c>
      <c r="F7348" s="16" t="s">
        <v>22409</v>
      </c>
    </row>
    <row r="7349" spans="1:6" x14ac:dyDescent="0.25">
      <c r="A7349" s="16" t="s">
        <v>22410</v>
      </c>
      <c r="B7349" s="17" t="s">
        <v>22411</v>
      </c>
      <c r="C7349" s="17" t="s">
        <v>11</v>
      </c>
      <c r="D7349" s="17" t="s">
        <v>26</v>
      </c>
      <c r="E7349" s="17" t="s">
        <v>20</v>
      </c>
      <c r="F7349" s="16" t="s">
        <v>22412</v>
      </c>
    </row>
    <row r="7350" spans="1:6" x14ac:dyDescent="0.25">
      <c r="A7350" s="16" t="s">
        <v>22413</v>
      </c>
      <c r="B7350" s="17" t="s">
        <v>22414</v>
      </c>
      <c r="C7350" s="17" t="s">
        <v>11</v>
      </c>
      <c r="D7350" s="17" t="s">
        <v>32</v>
      </c>
      <c r="E7350" s="17" t="s">
        <v>20</v>
      </c>
      <c r="F7350" s="16" t="s">
        <v>22415</v>
      </c>
    </row>
    <row r="7351" spans="1:6" x14ac:dyDescent="0.25">
      <c r="A7351" s="16" t="s">
        <v>22416</v>
      </c>
      <c r="B7351" s="17" t="s">
        <v>22417</v>
      </c>
      <c r="C7351" s="17" t="s">
        <v>11</v>
      </c>
      <c r="D7351" s="17" t="s">
        <v>26</v>
      </c>
      <c r="E7351" s="17" t="s">
        <v>20</v>
      </c>
      <c r="F7351" s="16" t="s">
        <v>22418</v>
      </c>
    </row>
    <row r="7352" spans="1:6" x14ac:dyDescent="0.25">
      <c r="A7352" s="16" t="s">
        <v>22419</v>
      </c>
      <c r="B7352" s="17" t="s">
        <v>22420</v>
      </c>
      <c r="C7352" s="17" t="s">
        <v>11</v>
      </c>
      <c r="D7352" s="17" t="s">
        <v>32</v>
      </c>
      <c r="E7352" s="17" t="s">
        <v>20</v>
      </c>
      <c r="F7352" s="16" t="s">
        <v>22421</v>
      </c>
    </row>
    <row r="7353" spans="1:6" x14ac:dyDescent="0.25">
      <c r="A7353" s="16" t="s">
        <v>22422</v>
      </c>
      <c r="B7353" s="17" t="s">
        <v>22423</v>
      </c>
      <c r="C7353" s="17" t="s">
        <v>11</v>
      </c>
      <c r="D7353" s="17" t="s">
        <v>32</v>
      </c>
      <c r="E7353" s="17" t="s">
        <v>20</v>
      </c>
      <c r="F7353" s="16" t="s">
        <v>22424</v>
      </c>
    </row>
    <row r="7354" spans="1:6" x14ac:dyDescent="0.25">
      <c r="A7354" s="16" t="s">
        <v>22425</v>
      </c>
      <c r="B7354" s="17" t="s">
        <v>22426</v>
      </c>
      <c r="C7354" s="17" t="s">
        <v>11</v>
      </c>
      <c r="D7354" s="17" t="s">
        <v>83</v>
      </c>
      <c r="E7354" s="17" t="s">
        <v>20</v>
      </c>
      <c r="F7354" s="16" t="s">
        <v>22427</v>
      </c>
    </row>
    <row r="7355" spans="1:6" x14ac:dyDescent="0.25">
      <c r="A7355" s="16" t="s">
        <v>22428</v>
      </c>
      <c r="B7355" s="17" t="s">
        <v>22429</v>
      </c>
      <c r="C7355" s="17" t="s">
        <v>11</v>
      </c>
      <c r="D7355" s="17" t="s">
        <v>32</v>
      </c>
      <c r="E7355" s="17" t="s">
        <v>20</v>
      </c>
      <c r="F7355" s="16" t="s">
        <v>22430</v>
      </c>
    </row>
    <row r="7356" spans="1:6" x14ac:dyDescent="0.25">
      <c r="A7356" s="16" t="s">
        <v>22431</v>
      </c>
      <c r="B7356" s="17" t="s">
        <v>22432</v>
      </c>
      <c r="C7356" s="17" t="s">
        <v>11</v>
      </c>
      <c r="D7356" s="17" t="s">
        <v>83</v>
      </c>
      <c r="E7356" s="17" t="s">
        <v>20</v>
      </c>
      <c r="F7356" s="16" t="s">
        <v>22433</v>
      </c>
    </row>
    <row r="7357" spans="1:6" x14ac:dyDescent="0.25">
      <c r="A7357" s="16" t="s">
        <v>22434</v>
      </c>
      <c r="B7357" s="17" t="s">
        <v>22435</v>
      </c>
      <c r="C7357" s="17" t="s">
        <v>11</v>
      </c>
      <c r="D7357" s="17" t="s">
        <v>83</v>
      </c>
      <c r="E7357" s="17" t="s">
        <v>20</v>
      </c>
      <c r="F7357" s="16" t="s">
        <v>22436</v>
      </c>
    </row>
    <row r="7358" spans="1:6" x14ac:dyDescent="0.25">
      <c r="A7358" s="16" t="s">
        <v>22437</v>
      </c>
      <c r="B7358" s="17" t="s">
        <v>22438</v>
      </c>
      <c r="C7358" s="17" t="s">
        <v>11</v>
      </c>
      <c r="D7358" s="17" t="s">
        <v>32</v>
      </c>
      <c r="E7358" s="17" t="s">
        <v>20</v>
      </c>
      <c r="F7358" s="16" t="s">
        <v>22439</v>
      </c>
    </row>
    <row r="7359" spans="1:6" x14ac:dyDescent="0.25">
      <c r="A7359" s="16" t="s">
        <v>22440</v>
      </c>
      <c r="B7359" s="17" t="s">
        <v>22441</v>
      </c>
      <c r="C7359" s="17" t="s">
        <v>11</v>
      </c>
      <c r="D7359" s="17" t="s">
        <v>83</v>
      </c>
      <c r="E7359" s="17" t="s">
        <v>20</v>
      </c>
      <c r="F7359" s="16" t="s">
        <v>22442</v>
      </c>
    </row>
    <row r="7360" spans="1:6" x14ac:dyDescent="0.25">
      <c r="A7360" s="16" t="s">
        <v>22443</v>
      </c>
      <c r="B7360" s="17" t="s">
        <v>22444</v>
      </c>
      <c r="C7360" s="17" t="s">
        <v>11</v>
      </c>
      <c r="D7360" s="17" t="s">
        <v>83</v>
      </c>
      <c r="E7360" s="17" t="s">
        <v>20</v>
      </c>
      <c r="F7360" s="16" t="s">
        <v>22445</v>
      </c>
    </row>
    <row r="7361" spans="1:6" x14ac:dyDescent="0.25">
      <c r="A7361" s="16" t="s">
        <v>22446</v>
      </c>
      <c r="B7361" s="17" t="s">
        <v>22447</v>
      </c>
      <c r="C7361" s="17" t="s">
        <v>11</v>
      </c>
      <c r="D7361" s="17" t="s">
        <v>83</v>
      </c>
      <c r="E7361" s="17" t="s">
        <v>20</v>
      </c>
      <c r="F7361" s="16" t="s">
        <v>22448</v>
      </c>
    </row>
    <row r="7362" spans="1:6" x14ac:dyDescent="0.25">
      <c r="A7362" s="16" t="s">
        <v>22449</v>
      </c>
      <c r="B7362" s="17" t="s">
        <v>22450</v>
      </c>
      <c r="C7362" s="17" t="s">
        <v>11</v>
      </c>
      <c r="D7362" s="17" t="s">
        <v>32</v>
      </c>
      <c r="E7362" s="17" t="s">
        <v>20</v>
      </c>
      <c r="F7362" s="16" t="s">
        <v>22451</v>
      </c>
    </row>
    <row r="7363" spans="1:6" x14ac:dyDescent="0.25">
      <c r="A7363" s="16" t="s">
        <v>22452</v>
      </c>
      <c r="B7363" s="17" t="s">
        <v>22453</v>
      </c>
      <c r="C7363" s="17" t="s">
        <v>11</v>
      </c>
      <c r="D7363" s="17" t="s">
        <v>148</v>
      </c>
      <c r="E7363" s="17" t="s">
        <v>20</v>
      </c>
      <c r="F7363" s="16" t="s">
        <v>22454</v>
      </c>
    </row>
    <row r="7364" spans="1:6" x14ac:dyDescent="0.25">
      <c r="A7364" s="16" t="s">
        <v>22455</v>
      </c>
      <c r="B7364" s="17" t="s">
        <v>22456</v>
      </c>
      <c r="C7364" s="17" t="s">
        <v>11</v>
      </c>
      <c r="D7364" s="17" t="s">
        <v>32</v>
      </c>
      <c r="E7364" s="17" t="s">
        <v>20</v>
      </c>
      <c r="F7364" s="16" t="s">
        <v>22457</v>
      </c>
    </row>
    <row r="7365" spans="1:6" x14ac:dyDescent="0.25">
      <c r="A7365" s="16" t="s">
        <v>22458</v>
      </c>
      <c r="B7365" s="17" t="s">
        <v>22459</v>
      </c>
      <c r="C7365" s="17" t="s">
        <v>11</v>
      </c>
      <c r="D7365" s="17" t="s">
        <v>32</v>
      </c>
      <c r="E7365" s="17" t="s">
        <v>20</v>
      </c>
      <c r="F7365" s="16" t="s">
        <v>22460</v>
      </c>
    </row>
    <row r="7366" spans="1:6" x14ac:dyDescent="0.25">
      <c r="A7366" s="16" t="s">
        <v>22461</v>
      </c>
      <c r="B7366" s="17" t="s">
        <v>22462</v>
      </c>
      <c r="C7366" s="17" t="s">
        <v>11</v>
      </c>
      <c r="D7366" s="17" t="s">
        <v>32</v>
      </c>
      <c r="E7366" s="17" t="s">
        <v>20</v>
      </c>
      <c r="F7366" s="16" t="s">
        <v>22463</v>
      </c>
    </row>
    <row r="7367" spans="1:6" x14ac:dyDescent="0.25">
      <c r="A7367" s="16" t="s">
        <v>22464</v>
      </c>
      <c r="B7367" s="17" t="s">
        <v>22465</v>
      </c>
      <c r="C7367" s="17" t="s">
        <v>11</v>
      </c>
      <c r="D7367" s="17" t="s">
        <v>32</v>
      </c>
      <c r="E7367" s="17" t="s">
        <v>20</v>
      </c>
      <c r="F7367" s="16" t="s">
        <v>22466</v>
      </c>
    </row>
    <row r="7368" spans="1:6" x14ac:dyDescent="0.25">
      <c r="A7368" s="16" t="s">
        <v>22467</v>
      </c>
      <c r="B7368" s="17" t="s">
        <v>22468</v>
      </c>
      <c r="C7368" s="17" t="s">
        <v>359</v>
      </c>
      <c r="D7368" s="17" t="s">
        <v>32</v>
      </c>
      <c r="E7368" s="17" t="s">
        <v>20</v>
      </c>
      <c r="F7368" s="16" t="s">
        <v>22469</v>
      </c>
    </row>
    <row r="7369" spans="1:6" x14ac:dyDescent="0.25">
      <c r="A7369" s="16" t="s">
        <v>22470</v>
      </c>
      <c r="B7369" s="17" t="s">
        <v>22471</v>
      </c>
      <c r="C7369" s="17" t="s">
        <v>11</v>
      </c>
      <c r="D7369" s="17" t="s">
        <v>32</v>
      </c>
      <c r="E7369" s="17" t="s">
        <v>20</v>
      </c>
      <c r="F7369" s="16" t="s">
        <v>22472</v>
      </c>
    </row>
    <row r="7370" spans="1:6" x14ac:dyDescent="0.25">
      <c r="A7370" s="16" t="s">
        <v>22473</v>
      </c>
      <c r="B7370" s="17" t="s">
        <v>22474</v>
      </c>
      <c r="C7370" s="17" t="s">
        <v>11</v>
      </c>
      <c r="D7370" s="17" t="s">
        <v>32</v>
      </c>
      <c r="E7370" s="17" t="s">
        <v>20</v>
      </c>
      <c r="F7370" s="16" t="s">
        <v>22475</v>
      </c>
    </row>
    <row r="7371" spans="1:6" x14ac:dyDescent="0.25">
      <c r="A7371" s="16" t="s">
        <v>22476</v>
      </c>
      <c r="B7371" s="17" t="s">
        <v>22477</v>
      </c>
      <c r="C7371" s="17" t="s">
        <v>11</v>
      </c>
      <c r="D7371" s="17" t="s">
        <v>32</v>
      </c>
      <c r="E7371" s="17" t="s">
        <v>20</v>
      </c>
      <c r="F7371" s="16" t="s">
        <v>22478</v>
      </c>
    </row>
    <row r="7372" spans="1:6" x14ac:dyDescent="0.25">
      <c r="A7372" s="16" t="s">
        <v>22479</v>
      </c>
      <c r="B7372" s="17" t="s">
        <v>22480</v>
      </c>
      <c r="C7372" s="17" t="s">
        <v>11</v>
      </c>
      <c r="D7372" s="17" t="s">
        <v>544</v>
      </c>
      <c r="E7372" s="17" t="s">
        <v>20</v>
      </c>
      <c r="F7372" s="16" t="s">
        <v>22481</v>
      </c>
    </row>
    <row r="7373" spans="1:6" x14ac:dyDescent="0.25">
      <c r="A7373" s="16" t="s">
        <v>22482</v>
      </c>
      <c r="B7373" s="17" t="s">
        <v>22483</v>
      </c>
      <c r="C7373" s="17" t="s">
        <v>214</v>
      </c>
      <c r="D7373" s="17" t="s">
        <v>32</v>
      </c>
      <c r="E7373" s="17" t="s">
        <v>20</v>
      </c>
      <c r="F7373" s="16" t="s">
        <v>22484</v>
      </c>
    </row>
    <row r="7374" spans="1:6" x14ac:dyDescent="0.25">
      <c r="A7374" s="16" t="s">
        <v>22485</v>
      </c>
      <c r="B7374" s="17" t="s">
        <v>22486</v>
      </c>
      <c r="C7374" s="17" t="s">
        <v>11</v>
      </c>
      <c r="D7374" s="17" t="s">
        <v>83</v>
      </c>
      <c r="E7374" s="17" t="s">
        <v>20</v>
      </c>
      <c r="F7374" s="16" t="s">
        <v>22487</v>
      </c>
    </row>
    <row r="7375" spans="1:6" x14ac:dyDescent="0.25">
      <c r="A7375" s="16" t="s">
        <v>22488</v>
      </c>
      <c r="B7375" s="17" t="s">
        <v>22489</v>
      </c>
      <c r="C7375" s="17" t="s">
        <v>11</v>
      </c>
      <c r="D7375" s="17" t="s">
        <v>83</v>
      </c>
      <c r="E7375" s="17" t="s">
        <v>20</v>
      </c>
      <c r="F7375" s="16" t="s">
        <v>22490</v>
      </c>
    </row>
    <row r="7376" spans="1:6" x14ac:dyDescent="0.25">
      <c r="A7376" s="16" t="s">
        <v>22491</v>
      </c>
      <c r="B7376" s="17" t="s">
        <v>22492</v>
      </c>
      <c r="C7376" s="17" t="s">
        <v>11</v>
      </c>
      <c r="D7376" s="17" t="s">
        <v>32</v>
      </c>
      <c r="E7376" s="17" t="s">
        <v>20</v>
      </c>
      <c r="F7376" s="16" t="s">
        <v>22493</v>
      </c>
    </row>
    <row r="7377" spans="1:6" x14ac:dyDescent="0.25">
      <c r="A7377" s="16" t="s">
        <v>22494</v>
      </c>
      <c r="B7377" s="17" t="s">
        <v>22495</v>
      </c>
      <c r="C7377" s="17" t="s">
        <v>11</v>
      </c>
      <c r="D7377" s="17" t="s">
        <v>26</v>
      </c>
      <c r="E7377" s="17" t="s">
        <v>20</v>
      </c>
      <c r="F7377" s="16" t="s">
        <v>22496</v>
      </c>
    </row>
    <row r="7378" spans="1:6" x14ac:dyDescent="0.25">
      <c r="A7378" s="16" t="s">
        <v>22497</v>
      </c>
      <c r="B7378" s="17" t="s">
        <v>22498</v>
      </c>
      <c r="C7378" s="17" t="s">
        <v>11</v>
      </c>
      <c r="D7378" s="17" t="s">
        <v>32</v>
      </c>
      <c r="E7378" s="17" t="s">
        <v>20</v>
      </c>
      <c r="F7378" s="16" t="s">
        <v>22499</v>
      </c>
    </row>
    <row r="7379" spans="1:6" x14ac:dyDescent="0.25">
      <c r="A7379" s="16" t="s">
        <v>22500</v>
      </c>
      <c r="B7379" s="17" t="s">
        <v>22501</v>
      </c>
      <c r="C7379" s="17" t="s">
        <v>11</v>
      </c>
      <c r="D7379" s="17" t="s">
        <v>32</v>
      </c>
      <c r="E7379" s="17" t="s">
        <v>20</v>
      </c>
      <c r="F7379" s="16" t="s">
        <v>22502</v>
      </c>
    </row>
    <row r="7380" spans="1:6" x14ac:dyDescent="0.25">
      <c r="A7380" s="16" t="s">
        <v>22503</v>
      </c>
      <c r="B7380" s="17" t="s">
        <v>22504</v>
      </c>
      <c r="C7380" s="17" t="s">
        <v>11</v>
      </c>
      <c r="D7380" s="17" t="s">
        <v>32</v>
      </c>
      <c r="E7380" s="17" t="s">
        <v>20</v>
      </c>
      <c r="F7380" s="16" t="s">
        <v>22505</v>
      </c>
    </row>
    <row r="7381" spans="1:6" x14ac:dyDescent="0.25">
      <c r="A7381" s="16" t="s">
        <v>22506</v>
      </c>
      <c r="B7381" s="17" t="s">
        <v>22507</v>
      </c>
      <c r="C7381" s="17" t="s">
        <v>359</v>
      </c>
      <c r="D7381" s="17" t="s">
        <v>83</v>
      </c>
      <c r="E7381" s="17" t="s">
        <v>20</v>
      </c>
      <c r="F7381" s="16" t="s">
        <v>22508</v>
      </c>
    </row>
    <row r="7382" spans="1:6" x14ac:dyDescent="0.25">
      <c r="A7382" s="16" t="s">
        <v>22509</v>
      </c>
      <c r="B7382" s="17" t="s">
        <v>22510</v>
      </c>
      <c r="C7382" s="17" t="s">
        <v>11</v>
      </c>
      <c r="D7382" s="17" t="s">
        <v>32</v>
      </c>
      <c r="E7382" s="17" t="s">
        <v>20</v>
      </c>
      <c r="F7382" s="16" t="s">
        <v>22511</v>
      </c>
    </row>
    <row r="7383" spans="1:6" x14ac:dyDescent="0.25">
      <c r="A7383" s="16" t="s">
        <v>22512</v>
      </c>
      <c r="B7383" s="17" t="s">
        <v>22513</v>
      </c>
      <c r="C7383" s="17" t="s">
        <v>11</v>
      </c>
      <c r="D7383" s="17" t="s">
        <v>291</v>
      </c>
      <c r="E7383" s="17" t="s">
        <v>20</v>
      </c>
      <c r="F7383" s="16" t="s">
        <v>22514</v>
      </c>
    </row>
    <row r="7384" spans="1:6" x14ac:dyDescent="0.25">
      <c r="A7384" s="16" t="s">
        <v>22515</v>
      </c>
      <c r="B7384" s="17" t="s">
        <v>22516</v>
      </c>
      <c r="C7384" s="17" t="s">
        <v>11</v>
      </c>
      <c r="D7384" s="17" t="s">
        <v>148</v>
      </c>
      <c r="E7384" s="17" t="s">
        <v>20</v>
      </c>
      <c r="F7384" s="16" t="s">
        <v>22517</v>
      </c>
    </row>
    <row r="7385" spans="1:6" x14ac:dyDescent="0.25">
      <c r="A7385" s="16" t="s">
        <v>22518</v>
      </c>
      <c r="B7385" s="17" t="s">
        <v>22519</v>
      </c>
      <c r="C7385" s="17" t="s">
        <v>11</v>
      </c>
      <c r="D7385" s="17" t="s">
        <v>32</v>
      </c>
      <c r="E7385" s="17" t="s">
        <v>20</v>
      </c>
      <c r="F7385" s="16" t="s">
        <v>22520</v>
      </c>
    </row>
    <row r="7386" spans="1:6" x14ac:dyDescent="0.25">
      <c r="A7386" s="16" t="s">
        <v>22521</v>
      </c>
      <c r="B7386" s="17" t="s">
        <v>22522</v>
      </c>
      <c r="C7386" s="17" t="s">
        <v>11</v>
      </c>
      <c r="D7386" s="17" t="s">
        <v>83</v>
      </c>
      <c r="E7386" s="17" t="s">
        <v>20</v>
      </c>
      <c r="F7386" s="16" t="s">
        <v>22523</v>
      </c>
    </row>
    <row r="7387" spans="1:6" x14ac:dyDescent="0.25">
      <c r="A7387" s="16" t="s">
        <v>22524</v>
      </c>
      <c r="B7387" s="17" t="s">
        <v>22525</v>
      </c>
      <c r="C7387" s="17" t="s">
        <v>11</v>
      </c>
      <c r="D7387" s="17" t="s">
        <v>32</v>
      </c>
      <c r="E7387" s="17" t="s">
        <v>20</v>
      </c>
      <c r="F7387" s="16" t="s">
        <v>22526</v>
      </c>
    </row>
    <row r="7388" spans="1:6" x14ac:dyDescent="0.25">
      <c r="A7388" s="16" t="s">
        <v>22527</v>
      </c>
      <c r="B7388" s="17" t="s">
        <v>22528</v>
      </c>
      <c r="C7388" s="17" t="s">
        <v>11</v>
      </c>
      <c r="D7388" s="17" t="s">
        <v>32</v>
      </c>
      <c r="E7388" s="17" t="s">
        <v>20</v>
      </c>
      <c r="F7388" s="16" t="s">
        <v>22529</v>
      </c>
    </row>
    <row r="7389" spans="1:6" x14ac:dyDescent="0.25">
      <c r="A7389" s="16" t="s">
        <v>22530</v>
      </c>
      <c r="B7389" s="17" t="s">
        <v>22531</v>
      </c>
      <c r="C7389" s="17" t="s">
        <v>11</v>
      </c>
      <c r="D7389" s="17" t="s">
        <v>32</v>
      </c>
      <c r="E7389" s="17" t="s">
        <v>20</v>
      </c>
      <c r="F7389" s="16" t="s">
        <v>22532</v>
      </c>
    </row>
    <row r="7390" spans="1:6" x14ac:dyDescent="0.25">
      <c r="A7390" s="16" t="s">
        <v>22533</v>
      </c>
      <c r="B7390" s="17" t="s">
        <v>22534</v>
      </c>
      <c r="C7390" s="17" t="s">
        <v>11</v>
      </c>
      <c r="D7390" s="17" t="s">
        <v>83</v>
      </c>
      <c r="E7390" s="17" t="s">
        <v>20</v>
      </c>
      <c r="F7390" s="16" t="s">
        <v>22535</v>
      </c>
    </row>
    <row r="7391" spans="1:6" x14ac:dyDescent="0.25">
      <c r="A7391" s="16" t="s">
        <v>22536</v>
      </c>
      <c r="B7391" s="17" t="s">
        <v>22537</v>
      </c>
      <c r="C7391" s="17" t="s">
        <v>11</v>
      </c>
      <c r="D7391" s="17" t="s">
        <v>80</v>
      </c>
      <c r="E7391" s="17" t="s">
        <v>20</v>
      </c>
      <c r="F7391" s="16" t="s">
        <v>22538</v>
      </c>
    </row>
    <row r="7392" spans="1:6" x14ac:dyDescent="0.25">
      <c r="A7392" s="16" t="s">
        <v>22539</v>
      </c>
      <c r="B7392" s="17" t="s">
        <v>22540</v>
      </c>
      <c r="C7392" s="17" t="s">
        <v>11</v>
      </c>
      <c r="D7392" s="17" t="s">
        <v>32</v>
      </c>
      <c r="E7392" s="17" t="s">
        <v>20</v>
      </c>
      <c r="F7392" s="16" t="s">
        <v>22541</v>
      </c>
    </row>
    <row r="7393" spans="1:6" x14ac:dyDescent="0.25">
      <c r="A7393" s="16" t="s">
        <v>22542</v>
      </c>
      <c r="B7393" s="17" t="s">
        <v>22543</v>
      </c>
      <c r="C7393" s="17" t="s">
        <v>11</v>
      </c>
      <c r="D7393" s="17" t="s">
        <v>26</v>
      </c>
      <c r="E7393" s="17" t="s">
        <v>20</v>
      </c>
      <c r="F7393" s="16" t="s">
        <v>22544</v>
      </c>
    </row>
    <row r="7394" spans="1:6" x14ac:dyDescent="0.25">
      <c r="A7394" s="16" t="s">
        <v>22545</v>
      </c>
      <c r="B7394" s="17" t="s">
        <v>22546</v>
      </c>
      <c r="C7394" s="17" t="s">
        <v>11</v>
      </c>
      <c r="D7394" s="17" t="s">
        <v>32</v>
      </c>
      <c r="E7394" s="17" t="s">
        <v>20</v>
      </c>
      <c r="F7394" s="16" t="s">
        <v>22547</v>
      </c>
    </row>
    <row r="7395" spans="1:6" x14ac:dyDescent="0.25">
      <c r="A7395" s="16" t="s">
        <v>22548</v>
      </c>
      <c r="B7395" s="17" t="s">
        <v>22549</v>
      </c>
      <c r="C7395" s="17" t="s">
        <v>11</v>
      </c>
      <c r="D7395" s="17" t="s">
        <v>32</v>
      </c>
      <c r="E7395" s="17" t="s">
        <v>20</v>
      </c>
      <c r="F7395" s="16" t="s">
        <v>22550</v>
      </c>
    </row>
    <row r="7396" spans="1:6" x14ac:dyDescent="0.25">
      <c r="A7396" s="16" t="s">
        <v>22551</v>
      </c>
      <c r="B7396" s="17" t="s">
        <v>22552</v>
      </c>
      <c r="C7396" s="17" t="s">
        <v>11</v>
      </c>
      <c r="D7396" s="17" t="s">
        <v>80</v>
      </c>
      <c r="E7396" s="17" t="s">
        <v>20</v>
      </c>
      <c r="F7396" s="16" t="s">
        <v>22553</v>
      </c>
    </row>
    <row r="7397" spans="1:6" x14ac:dyDescent="0.25">
      <c r="A7397" s="16" t="s">
        <v>22554</v>
      </c>
      <c r="B7397" s="17" t="s">
        <v>22555</v>
      </c>
      <c r="C7397" s="17" t="s">
        <v>11</v>
      </c>
      <c r="D7397" s="17" t="s">
        <v>83</v>
      </c>
      <c r="E7397" s="17" t="s">
        <v>20</v>
      </c>
      <c r="F7397" s="16" t="s">
        <v>22556</v>
      </c>
    </row>
    <row r="7398" spans="1:6" x14ac:dyDescent="0.25">
      <c r="A7398" s="16" t="s">
        <v>22557</v>
      </c>
      <c r="B7398" s="17" t="s">
        <v>22558</v>
      </c>
      <c r="C7398" s="17" t="s">
        <v>11</v>
      </c>
      <c r="D7398" s="17" t="s">
        <v>80</v>
      </c>
      <c r="E7398" s="17" t="s">
        <v>20</v>
      </c>
      <c r="F7398" s="16" t="s">
        <v>22559</v>
      </c>
    </row>
    <row r="7399" spans="1:6" x14ac:dyDescent="0.25">
      <c r="A7399" s="16" t="s">
        <v>22560</v>
      </c>
      <c r="B7399" s="17" t="s">
        <v>22561</v>
      </c>
      <c r="C7399" s="17" t="s">
        <v>11</v>
      </c>
      <c r="D7399" s="17" t="s">
        <v>32</v>
      </c>
      <c r="E7399" s="17" t="s">
        <v>20</v>
      </c>
      <c r="F7399" s="16" t="s">
        <v>22562</v>
      </c>
    </row>
    <row r="7400" spans="1:6" x14ac:dyDescent="0.25">
      <c r="A7400" s="16" t="s">
        <v>22563</v>
      </c>
      <c r="B7400" s="17" t="s">
        <v>22564</v>
      </c>
      <c r="C7400" s="17" t="s">
        <v>11</v>
      </c>
      <c r="D7400" s="17" t="s">
        <v>89</v>
      </c>
      <c r="E7400" s="17" t="s">
        <v>20</v>
      </c>
      <c r="F7400" s="16" t="s">
        <v>22565</v>
      </c>
    </row>
    <row r="7401" spans="1:6" x14ac:dyDescent="0.25">
      <c r="A7401" s="16" t="s">
        <v>22566</v>
      </c>
      <c r="B7401" s="17" t="s">
        <v>22567</v>
      </c>
      <c r="C7401" s="17" t="s">
        <v>11</v>
      </c>
      <c r="D7401" s="17" t="s">
        <v>32</v>
      </c>
      <c r="E7401" s="17" t="s">
        <v>20</v>
      </c>
      <c r="F7401" s="16" t="s">
        <v>22568</v>
      </c>
    </row>
    <row r="7402" spans="1:6" x14ac:dyDescent="0.25">
      <c r="A7402" s="16" t="s">
        <v>22569</v>
      </c>
      <c r="B7402" s="17" t="s">
        <v>22570</v>
      </c>
      <c r="C7402" s="17" t="s">
        <v>11</v>
      </c>
      <c r="D7402" s="17" t="s">
        <v>26</v>
      </c>
      <c r="E7402" s="17" t="s">
        <v>20</v>
      </c>
      <c r="F7402" s="16" t="s">
        <v>22571</v>
      </c>
    </row>
    <row r="7403" spans="1:6" x14ac:dyDescent="0.25">
      <c r="A7403" s="16" t="s">
        <v>22572</v>
      </c>
      <c r="B7403" s="17" t="s">
        <v>22573</v>
      </c>
      <c r="C7403" s="17" t="s">
        <v>11</v>
      </c>
      <c r="D7403" s="17" t="s">
        <v>148</v>
      </c>
      <c r="E7403" s="17" t="s">
        <v>20</v>
      </c>
      <c r="F7403" s="16" t="s">
        <v>22574</v>
      </c>
    </row>
    <row r="7404" spans="1:6" x14ac:dyDescent="0.25">
      <c r="A7404" s="16" t="s">
        <v>22575</v>
      </c>
      <c r="B7404" s="17" t="s">
        <v>22576</v>
      </c>
      <c r="C7404" s="17" t="s">
        <v>11</v>
      </c>
      <c r="D7404" s="17" t="s">
        <v>32</v>
      </c>
      <c r="E7404" s="17" t="s">
        <v>20</v>
      </c>
      <c r="F7404" s="16" t="s">
        <v>22577</v>
      </c>
    </row>
    <row r="7405" spans="1:6" x14ac:dyDescent="0.25">
      <c r="A7405" s="16" t="s">
        <v>22578</v>
      </c>
      <c r="B7405" s="17" t="s">
        <v>22579</v>
      </c>
      <c r="C7405" s="17" t="s">
        <v>1235</v>
      </c>
      <c r="D7405" s="17" t="s">
        <v>17083</v>
      </c>
      <c r="E7405" s="17" t="s">
        <v>1237</v>
      </c>
      <c r="F7405" s="16" t="s">
        <v>22580</v>
      </c>
    </row>
    <row r="7406" spans="1:6" x14ac:dyDescent="0.25">
      <c r="A7406" s="16" t="s">
        <v>22581</v>
      </c>
      <c r="B7406" s="17" t="s">
        <v>22582</v>
      </c>
      <c r="C7406" s="17" t="s">
        <v>11</v>
      </c>
      <c r="D7406" s="17" t="s">
        <v>3377</v>
      </c>
      <c r="E7406" s="17" t="s">
        <v>1237</v>
      </c>
      <c r="F7406" s="16" t="s">
        <v>22583</v>
      </c>
    </row>
    <row r="7407" spans="1:6" x14ac:dyDescent="0.25">
      <c r="A7407" s="16" t="s">
        <v>22584</v>
      </c>
      <c r="B7407" s="17" t="s">
        <v>22585</v>
      </c>
      <c r="C7407" s="17" t="s">
        <v>11</v>
      </c>
      <c r="D7407" s="17" t="s">
        <v>32</v>
      </c>
      <c r="E7407" s="17" t="s">
        <v>20</v>
      </c>
      <c r="F7407" s="16" t="s">
        <v>22586</v>
      </c>
    </row>
    <row r="7408" spans="1:6" x14ac:dyDescent="0.25">
      <c r="A7408" s="16" t="s">
        <v>22587</v>
      </c>
      <c r="B7408" s="17" t="s">
        <v>22588</v>
      </c>
      <c r="C7408" s="17" t="s">
        <v>1235</v>
      </c>
      <c r="D7408" s="17" t="s">
        <v>1236</v>
      </c>
      <c r="E7408" s="17" t="s">
        <v>1237</v>
      </c>
      <c r="F7408" s="16" t="s">
        <v>22589</v>
      </c>
    </row>
    <row r="7409" spans="1:6" x14ac:dyDescent="0.25">
      <c r="A7409" s="16" t="s">
        <v>22590</v>
      </c>
      <c r="B7409" s="17" t="s">
        <v>22591</v>
      </c>
      <c r="C7409" s="17" t="s">
        <v>11</v>
      </c>
      <c r="D7409" s="17" t="s">
        <v>83</v>
      </c>
      <c r="E7409" s="17" t="s">
        <v>20</v>
      </c>
      <c r="F7409" s="16" t="s">
        <v>22592</v>
      </c>
    </row>
    <row r="7410" spans="1:6" x14ac:dyDescent="0.25">
      <c r="A7410" s="16" t="s">
        <v>22593</v>
      </c>
      <c r="B7410" s="17" t="s">
        <v>22594</v>
      </c>
      <c r="C7410" s="17" t="s">
        <v>11</v>
      </c>
      <c r="D7410" s="17" t="s">
        <v>32</v>
      </c>
      <c r="E7410" s="17" t="s">
        <v>20</v>
      </c>
      <c r="F7410" s="16" t="s">
        <v>22595</v>
      </c>
    </row>
    <row r="7411" spans="1:6" x14ac:dyDescent="0.25">
      <c r="A7411" s="16" t="s">
        <v>22596</v>
      </c>
      <c r="B7411" s="17" t="s">
        <v>22597</v>
      </c>
      <c r="C7411" s="17" t="s">
        <v>11</v>
      </c>
      <c r="D7411" s="17" t="s">
        <v>17083</v>
      </c>
      <c r="E7411" s="17" t="s">
        <v>1237</v>
      </c>
      <c r="F7411" s="16" t="s">
        <v>22598</v>
      </c>
    </row>
    <row r="7412" spans="1:6" x14ac:dyDescent="0.25">
      <c r="A7412" s="16" t="s">
        <v>22599</v>
      </c>
      <c r="B7412" s="17" t="s">
        <v>22600</v>
      </c>
      <c r="C7412" s="17" t="s">
        <v>11</v>
      </c>
      <c r="D7412" s="17" t="s">
        <v>3377</v>
      </c>
      <c r="E7412" s="17" t="s">
        <v>1237</v>
      </c>
      <c r="F7412" s="16" t="s">
        <v>22601</v>
      </c>
    </row>
    <row r="7413" spans="1:6" x14ac:dyDescent="0.25">
      <c r="A7413" s="16" t="s">
        <v>22602</v>
      </c>
      <c r="B7413" s="17" t="s">
        <v>22603</v>
      </c>
      <c r="C7413" s="17" t="s">
        <v>11</v>
      </c>
      <c r="D7413" s="17" t="s">
        <v>3463</v>
      </c>
      <c r="E7413" s="17" t="s">
        <v>1299</v>
      </c>
      <c r="F7413" s="16" t="s">
        <v>22604</v>
      </c>
    </row>
    <row r="7414" spans="1:6" x14ac:dyDescent="0.25">
      <c r="A7414" s="16" t="s">
        <v>22605</v>
      </c>
      <c r="B7414" s="17" t="s">
        <v>22606</v>
      </c>
      <c r="C7414" s="17" t="s">
        <v>11</v>
      </c>
      <c r="D7414" s="17" t="s">
        <v>3463</v>
      </c>
      <c r="E7414" s="17" t="s">
        <v>1299</v>
      </c>
      <c r="F7414" s="16" t="s">
        <v>22607</v>
      </c>
    </row>
    <row r="7415" spans="1:6" x14ac:dyDescent="0.25">
      <c r="A7415" s="16" t="s">
        <v>22608</v>
      </c>
      <c r="B7415" s="17" t="s">
        <v>22609</v>
      </c>
      <c r="C7415" s="17" t="s">
        <v>1235</v>
      </c>
      <c r="D7415" s="17" t="s">
        <v>4374</v>
      </c>
      <c r="E7415" s="17" t="s">
        <v>1237</v>
      </c>
      <c r="F7415" s="16" t="s">
        <v>22610</v>
      </c>
    </row>
    <row r="7416" spans="1:6" x14ac:dyDescent="0.25">
      <c r="A7416" s="16" t="s">
        <v>22611</v>
      </c>
      <c r="B7416" s="17" t="s">
        <v>22612</v>
      </c>
      <c r="C7416" s="17" t="s">
        <v>11</v>
      </c>
      <c r="D7416" s="17" t="s">
        <v>3463</v>
      </c>
      <c r="E7416" s="17" t="s">
        <v>1299</v>
      </c>
      <c r="F7416" s="16" t="s">
        <v>22613</v>
      </c>
    </row>
    <row r="7417" spans="1:6" x14ac:dyDescent="0.25">
      <c r="A7417" s="16" t="s">
        <v>22614</v>
      </c>
      <c r="B7417" s="17" t="s">
        <v>22615</v>
      </c>
      <c r="C7417" s="17" t="s">
        <v>11</v>
      </c>
      <c r="D7417" s="17" t="s">
        <v>32</v>
      </c>
      <c r="E7417" s="17" t="s">
        <v>20</v>
      </c>
      <c r="F7417" s="16" t="s">
        <v>22616</v>
      </c>
    </row>
    <row r="7418" spans="1:6" x14ac:dyDescent="0.25">
      <c r="A7418" s="16" t="s">
        <v>22617</v>
      </c>
      <c r="B7418" s="17" t="s">
        <v>22618</v>
      </c>
      <c r="C7418" s="17" t="s">
        <v>11</v>
      </c>
      <c r="D7418" s="17" t="s">
        <v>83</v>
      </c>
      <c r="E7418" s="17" t="s">
        <v>20</v>
      </c>
      <c r="F7418" s="16" t="s">
        <v>22619</v>
      </c>
    </row>
    <row r="7419" spans="1:6" x14ac:dyDescent="0.25">
      <c r="A7419" s="16" t="s">
        <v>22620</v>
      </c>
      <c r="B7419" s="17" t="s">
        <v>22621</v>
      </c>
      <c r="C7419" s="17" t="s">
        <v>1235</v>
      </c>
      <c r="D7419" s="17" t="s">
        <v>3614</v>
      </c>
      <c r="E7419" s="17" t="s">
        <v>1237</v>
      </c>
      <c r="F7419" s="16" t="s">
        <v>22622</v>
      </c>
    </row>
    <row r="7420" spans="1:6" x14ac:dyDescent="0.25">
      <c r="A7420" s="16" t="s">
        <v>22623</v>
      </c>
      <c r="B7420" s="17" t="s">
        <v>22624</v>
      </c>
      <c r="C7420" s="17" t="s">
        <v>1235</v>
      </c>
      <c r="D7420" s="17" t="s">
        <v>3614</v>
      </c>
      <c r="E7420" s="17" t="s">
        <v>1237</v>
      </c>
      <c r="F7420" s="16" t="s">
        <v>22625</v>
      </c>
    </row>
    <row r="7421" spans="1:6" x14ac:dyDescent="0.25">
      <c r="A7421" s="16" t="s">
        <v>22626</v>
      </c>
      <c r="B7421" s="17" t="s">
        <v>22627</v>
      </c>
      <c r="C7421" s="17" t="s">
        <v>1235</v>
      </c>
      <c r="D7421" s="17" t="s">
        <v>17083</v>
      </c>
      <c r="E7421" s="17" t="s">
        <v>1237</v>
      </c>
      <c r="F7421" s="16" t="s">
        <v>22628</v>
      </c>
    </row>
    <row r="7422" spans="1:6" x14ac:dyDescent="0.25">
      <c r="A7422" s="16" t="s">
        <v>22629</v>
      </c>
      <c r="B7422" s="17" t="s">
        <v>22630</v>
      </c>
      <c r="C7422" s="17" t="s">
        <v>1235</v>
      </c>
      <c r="D7422" s="17" t="s">
        <v>17083</v>
      </c>
      <c r="E7422" s="17" t="s">
        <v>1237</v>
      </c>
      <c r="F7422" s="16" t="s">
        <v>22631</v>
      </c>
    </row>
    <row r="7423" spans="1:6" x14ac:dyDescent="0.25">
      <c r="A7423" s="16" t="s">
        <v>22632</v>
      </c>
      <c r="B7423" s="17" t="s">
        <v>22633</v>
      </c>
      <c r="C7423" s="17" t="s">
        <v>1235</v>
      </c>
      <c r="D7423" s="17" t="s">
        <v>12527</v>
      </c>
      <c r="E7423" s="17" t="s">
        <v>1237</v>
      </c>
      <c r="F7423" s="16" t="s">
        <v>22634</v>
      </c>
    </row>
    <row r="7424" spans="1:6" x14ac:dyDescent="0.25">
      <c r="A7424" s="16" t="s">
        <v>22635</v>
      </c>
      <c r="B7424" s="17" t="s">
        <v>22636</v>
      </c>
      <c r="C7424" s="17" t="s">
        <v>11</v>
      </c>
      <c r="D7424" s="17" t="s">
        <v>1298</v>
      </c>
      <c r="E7424" s="17" t="s">
        <v>1299</v>
      </c>
      <c r="F7424" s="16" t="s">
        <v>22637</v>
      </c>
    </row>
    <row r="7425" spans="1:6" x14ac:dyDescent="0.25">
      <c r="A7425" s="16" t="s">
        <v>22638</v>
      </c>
      <c r="B7425" s="17" t="s">
        <v>22639</v>
      </c>
      <c r="C7425" s="17" t="s">
        <v>11</v>
      </c>
      <c r="D7425" s="17" t="s">
        <v>17083</v>
      </c>
      <c r="E7425" s="17" t="s">
        <v>1237</v>
      </c>
      <c r="F7425" s="16" t="s">
        <v>22640</v>
      </c>
    </row>
    <row r="7426" spans="1:6" x14ac:dyDescent="0.25">
      <c r="A7426" s="16" t="s">
        <v>22641</v>
      </c>
      <c r="B7426" s="17" t="s">
        <v>22642</v>
      </c>
      <c r="C7426" s="17" t="s">
        <v>1235</v>
      </c>
      <c r="D7426" s="17" t="s">
        <v>3614</v>
      </c>
      <c r="E7426" s="17" t="s">
        <v>1237</v>
      </c>
      <c r="F7426" s="16" t="s">
        <v>22643</v>
      </c>
    </row>
    <row r="7427" spans="1:6" x14ac:dyDescent="0.25">
      <c r="A7427" s="16" t="s">
        <v>22644</v>
      </c>
      <c r="B7427" s="17" t="s">
        <v>22645</v>
      </c>
      <c r="C7427" s="17" t="s">
        <v>1235</v>
      </c>
      <c r="D7427" s="17" t="s">
        <v>17083</v>
      </c>
      <c r="E7427" s="17" t="s">
        <v>1237</v>
      </c>
      <c r="F7427" s="16" t="s">
        <v>22646</v>
      </c>
    </row>
    <row r="7428" spans="1:6" x14ac:dyDescent="0.25">
      <c r="A7428" s="16" t="s">
        <v>22647</v>
      </c>
      <c r="B7428" s="17" t="s">
        <v>22648</v>
      </c>
      <c r="C7428" s="17" t="s">
        <v>11</v>
      </c>
      <c r="D7428" s="17" t="s">
        <v>32</v>
      </c>
      <c r="E7428" s="17" t="s">
        <v>20</v>
      </c>
      <c r="F7428" s="16" t="s">
        <v>22649</v>
      </c>
    </row>
    <row r="7429" spans="1:6" x14ac:dyDescent="0.25">
      <c r="A7429" s="16" t="s">
        <v>22650</v>
      </c>
      <c r="B7429" s="17" t="s">
        <v>22651</v>
      </c>
      <c r="C7429" s="17" t="s">
        <v>11</v>
      </c>
      <c r="D7429" s="17" t="s">
        <v>32</v>
      </c>
      <c r="E7429" s="17" t="s">
        <v>20</v>
      </c>
      <c r="F7429" s="16" t="s">
        <v>22652</v>
      </c>
    </row>
    <row r="7430" spans="1:6" x14ac:dyDescent="0.25">
      <c r="A7430" s="16" t="s">
        <v>22653</v>
      </c>
      <c r="B7430" s="17" t="s">
        <v>22654</v>
      </c>
      <c r="C7430" s="17" t="s">
        <v>11</v>
      </c>
      <c r="D7430" s="17" t="s">
        <v>80</v>
      </c>
      <c r="E7430" s="17" t="s">
        <v>20</v>
      </c>
      <c r="F7430" s="16" t="s">
        <v>22655</v>
      </c>
    </row>
    <row r="7431" spans="1:6" x14ac:dyDescent="0.25">
      <c r="A7431" s="16" t="s">
        <v>22656</v>
      </c>
      <c r="B7431" s="17" t="s">
        <v>22657</v>
      </c>
      <c r="C7431" s="17" t="s">
        <v>11</v>
      </c>
      <c r="D7431" s="17" t="s">
        <v>32</v>
      </c>
      <c r="E7431" s="17" t="s">
        <v>20</v>
      </c>
      <c r="F7431" s="16" t="s">
        <v>22658</v>
      </c>
    </row>
    <row r="7432" spans="1:6" x14ac:dyDescent="0.25">
      <c r="A7432" s="16" t="s">
        <v>22659</v>
      </c>
      <c r="B7432" s="17" t="s">
        <v>22660</v>
      </c>
      <c r="C7432" s="17" t="s">
        <v>11</v>
      </c>
      <c r="D7432" s="17" t="s">
        <v>32</v>
      </c>
      <c r="E7432" s="17" t="s">
        <v>20</v>
      </c>
      <c r="F7432" s="16" t="s">
        <v>22661</v>
      </c>
    </row>
    <row r="7433" spans="1:6" x14ac:dyDescent="0.25">
      <c r="A7433" s="16" t="s">
        <v>22662</v>
      </c>
      <c r="B7433" s="17" t="s">
        <v>22663</v>
      </c>
      <c r="C7433" s="17" t="s">
        <v>11</v>
      </c>
      <c r="D7433" s="17" t="s">
        <v>148</v>
      </c>
      <c r="E7433" s="17" t="s">
        <v>20</v>
      </c>
      <c r="F7433" s="16" t="s">
        <v>22664</v>
      </c>
    </row>
    <row r="7434" spans="1:6" x14ac:dyDescent="0.25">
      <c r="A7434" s="16" t="s">
        <v>22665</v>
      </c>
      <c r="B7434" s="17" t="s">
        <v>22666</v>
      </c>
      <c r="C7434" s="17" t="s">
        <v>11</v>
      </c>
      <c r="D7434" s="17" t="s">
        <v>32</v>
      </c>
      <c r="E7434" s="17" t="s">
        <v>20</v>
      </c>
      <c r="F7434" s="16" t="s">
        <v>22667</v>
      </c>
    </row>
    <row r="7435" spans="1:6" x14ac:dyDescent="0.25">
      <c r="A7435" s="16" t="s">
        <v>22668</v>
      </c>
      <c r="B7435" s="17" t="s">
        <v>22669</v>
      </c>
      <c r="C7435" s="17" t="s">
        <v>11</v>
      </c>
      <c r="D7435" s="17" t="s">
        <v>32</v>
      </c>
      <c r="E7435" s="17" t="s">
        <v>20</v>
      </c>
      <c r="F7435" s="16" t="s">
        <v>22670</v>
      </c>
    </row>
    <row r="7436" spans="1:6" x14ac:dyDescent="0.25">
      <c r="A7436" s="16" t="s">
        <v>22671</v>
      </c>
      <c r="B7436" s="17" t="s">
        <v>22672</v>
      </c>
      <c r="C7436" s="17" t="s">
        <v>11</v>
      </c>
      <c r="D7436" s="17" t="s">
        <v>32</v>
      </c>
      <c r="E7436" s="17" t="s">
        <v>20</v>
      </c>
      <c r="F7436" s="16" t="s">
        <v>22673</v>
      </c>
    </row>
    <row r="7437" spans="1:6" x14ac:dyDescent="0.25">
      <c r="A7437" s="16" t="s">
        <v>22674</v>
      </c>
      <c r="B7437" s="17" t="s">
        <v>22675</v>
      </c>
      <c r="C7437" s="17" t="s">
        <v>11</v>
      </c>
      <c r="D7437" s="17" t="s">
        <v>32</v>
      </c>
      <c r="E7437" s="17" t="s">
        <v>20</v>
      </c>
      <c r="F7437" s="16" t="s">
        <v>22676</v>
      </c>
    </row>
    <row r="7438" spans="1:6" x14ac:dyDescent="0.25">
      <c r="A7438" s="16" t="s">
        <v>22677</v>
      </c>
      <c r="B7438" s="17" t="s">
        <v>22678</v>
      </c>
      <c r="C7438" s="17" t="s">
        <v>11</v>
      </c>
      <c r="D7438" s="17" t="s">
        <v>32</v>
      </c>
      <c r="E7438" s="17" t="s">
        <v>20</v>
      </c>
      <c r="F7438" s="16" t="s">
        <v>22679</v>
      </c>
    </row>
    <row r="7439" spans="1:6" x14ac:dyDescent="0.25">
      <c r="A7439" s="16" t="s">
        <v>22680</v>
      </c>
      <c r="B7439" s="17" t="s">
        <v>22681</v>
      </c>
      <c r="C7439" s="17" t="s">
        <v>11</v>
      </c>
      <c r="D7439" s="17" t="s">
        <v>32</v>
      </c>
      <c r="E7439" s="17" t="s">
        <v>20</v>
      </c>
      <c r="F7439" s="16" t="s">
        <v>22682</v>
      </c>
    </row>
    <row r="7440" spans="1:6" x14ac:dyDescent="0.25">
      <c r="A7440" s="16" t="s">
        <v>22683</v>
      </c>
      <c r="B7440" s="17" t="s">
        <v>22684</v>
      </c>
      <c r="C7440" s="17" t="s">
        <v>11</v>
      </c>
      <c r="D7440" s="17" t="s">
        <v>186</v>
      </c>
      <c r="E7440" s="17" t="s">
        <v>20</v>
      </c>
      <c r="F7440" s="16" t="s">
        <v>22685</v>
      </c>
    </row>
    <row r="7441" spans="1:6" x14ac:dyDescent="0.25">
      <c r="A7441" s="16" t="s">
        <v>22686</v>
      </c>
      <c r="B7441" s="17" t="s">
        <v>22687</v>
      </c>
      <c r="C7441" s="17" t="s">
        <v>11</v>
      </c>
      <c r="D7441" s="17" t="s">
        <v>80</v>
      </c>
      <c r="E7441" s="17" t="s">
        <v>20</v>
      </c>
      <c r="F7441" s="16" t="s">
        <v>22688</v>
      </c>
    </row>
    <row r="7442" spans="1:6" x14ac:dyDescent="0.25">
      <c r="A7442" s="16" t="s">
        <v>22689</v>
      </c>
      <c r="B7442" s="17" t="s">
        <v>22690</v>
      </c>
      <c r="C7442" s="17" t="s">
        <v>11</v>
      </c>
      <c r="D7442" s="17" t="s">
        <v>26</v>
      </c>
      <c r="E7442" s="17" t="s">
        <v>20</v>
      </c>
      <c r="F7442" s="16" t="s">
        <v>22691</v>
      </c>
    </row>
    <row r="7443" spans="1:6" x14ac:dyDescent="0.25">
      <c r="A7443" s="16" t="s">
        <v>22692</v>
      </c>
      <c r="B7443" s="17" t="s">
        <v>22693</v>
      </c>
      <c r="C7443" s="17" t="s">
        <v>11</v>
      </c>
      <c r="D7443" s="17" t="s">
        <v>32</v>
      </c>
      <c r="E7443" s="17" t="s">
        <v>20</v>
      </c>
      <c r="F7443" s="16" t="s">
        <v>22694</v>
      </c>
    </row>
    <row r="7444" spans="1:6" x14ac:dyDescent="0.25">
      <c r="A7444" s="16" t="s">
        <v>22695</v>
      </c>
      <c r="B7444" s="17" t="s">
        <v>22696</v>
      </c>
      <c r="C7444" s="17" t="s">
        <v>11</v>
      </c>
      <c r="D7444" s="17" t="s">
        <v>26</v>
      </c>
      <c r="E7444" s="17" t="s">
        <v>20</v>
      </c>
      <c r="F7444" s="16" t="s">
        <v>22697</v>
      </c>
    </row>
    <row r="7445" spans="1:6" x14ac:dyDescent="0.25">
      <c r="A7445" s="16" t="s">
        <v>22698</v>
      </c>
      <c r="B7445" s="17" t="s">
        <v>22699</v>
      </c>
      <c r="C7445" s="17" t="s">
        <v>11</v>
      </c>
      <c r="D7445" s="17" t="s">
        <v>32</v>
      </c>
      <c r="E7445" s="17" t="s">
        <v>20</v>
      </c>
      <c r="F7445" s="16" t="s">
        <v>22700</v>
      </c>
    </row>
    <row r="7446" spans="1:6" x14ac:dyDescent="0.25">
      <c r="A7446" s="16" t="s">
        <v>22701</v>
      </c>
      <c r="B7446" s="17" t="s">
        <v>22702</v>
      </c>
      <c r="C7446" s="17" t="s">
        <v>11</v>
      </c>
      <c r="D7446" s="17" t="s">
        <v>32</v>
      </c>
      <c r="E7446" s="17" t="s">
        <v>20</v>
      </c>
      <c r="F7446" s="16" t="s">
        <v>22703</v>
      </c>
    </row>
    <row r="7447" spans="1:6" x14ac:dyDescent="0.25">
      <c r="A7447" s="16" t="s">
        <v>22704</v>
      </c>
      <c r="B7447" s="17" t="s">
        <v>22705</v>
      </c>
      <c r="C7447" s="17" t="s">
        <v>11</v>
      </c>
      <c r="D7447" s="17" t="s">
        <v>26</v>
      </c>
      <c r="E7447" s="17" t="s">
        <v>20</v>
      </c>
      <c r="F7447" s="16" t="s">
        <v>22706</v>
      </c>
    </row>
    <row r="7448" spans="1:6" x14ac:dyDescent="0.25">
      <c r="A7448" s="16" t="s">
        <v>22707</v>
      </c>
      <c r="B7448" s="17" t="s">
        <v>22708</v>
      </c>
      <c r="C7448" s="17" t="s">
        <v>11</v>
      </c>
      <c r="D7448" s="17" t="s">
        <v>26</v>
      </c>
      <c r="E7448" s="17" t="s">
        <v>20</v>
      </c>
      <c r="F7448" s="16" t="s">
        <v>22709</v>
      </c>
    </row>
    <row r="7449" spans="1:6" x14ac:dyDescent="0.25">
      <c r="A7449" s="16" t="s">
        <v>22710</v>
      </c>
      <c r="B7449" s="17" t="s">
        <v>22711</v>
      </c>
      <c r="C7449" s="17" t="s">
        <v>11</v>
      </c>
      <c r="D7449" s="17" t="s">
        <v>26</v>
      </c>
      <c r="E7449" s="17" t="s">
        <v>20</v>
      </c>
      <c r="F7449" s="16" t="s">
        <v>22712</v>
      </c>
    </row>
    <row r="7450" spans="1:6" x14ac:dyDescent="0.25">
      <c r="A7450" s="16" t="s">
        <v>22713</v>
      </c>
      <c r="B7450" s="17" t="s">
        <v>22714</v>
      </c>
      <c r="C7450" s="17" t="s">
        <v>11</v>
      </c>
      <c r="D7450" s="17" t="s">
        <v>26</v>
      </c>
      <c r="E7450" s="17" t="s">
        <v>20</v>
      </c>
      <c r="F7450" s="16" t="s">
        <v>22715</v>
      </c>
    </row>
    <row r="7451" spans="1:6" x14ac:dyDescent="0.25">
      <c r="A7451" s="16" t="s">
        <v>22716</v>
      </c>
      <c r="B7451" s="17" t="s">
        <v>22717</v>
      </c>
      <c r="C7451" s="17" t="s">
        <v>11</v>
      </c>
      <c r="D7451" s="17" t="s">
        <v>26</v>
      </c>
      <c r="E7451" s="17" t="s">
        <v>20</v>
      </c>
      <c r="F7451" s="16" t="s">
        <v>22718</v>
      </c>
    </row>
    <row r="7452" spans="1:6" x14ac:dyDescent="0.25">
      <c r="A7452" s="16" t="s">
        <v>22719</v>
      </c>
      <c r="B7452" s="17" t="s">
        <v>22720</v>
      </c>
      <c r="C7452" s="17" t="s">
        <v>11</v>
      </c>
      <c r="D7452" s="17" t="s">
        <v>26</v>
      </c>
      <c r="E7452" s="17" t="s">
        <v>20</v>
      </c>
      <c r="F7452" s="16" t="s">
        <v>22721</v>
      </c>
    </row>
    <row r="7453" spans="1:6" x14ac:dyDescent="0.25">
      <c r="A7453" s="16" t="s">
        <v>22722</v>
      </c>
      <c r="B7453" s="17" t="s">
        <v>22723</v>
      </c>
      <c r="C7453" s="17" t="s">
        <v>11</v>
      </c>
      <c r="D7453" s="17" t="s">
        <v>32</v>
      </c>
      <c r="E7453" s="17" t="s">
        <v>20</v>
      </c>
      <c r="F7453" s="16" t="s">
        <v>22724</v>
      </c>
    </row>
    <row r="7454" spans="1:6" x14ac:dyDescent="0.25">
      <c r="A7454" s="16" t="s">
        <v>22725</v>
      </c>
      <c r="B7454" s="17" t="s">
        <v>22726</v>
      </c>
      <c r="C7454" s="17" t="s">
        <v>11</v>
      </c>
      <c r="D7454" s="17" t="s">
        <v>17083</v>
      </c>
      <c r="E7454" s="17" t="s">
        <v>1237</v>
      </c>
      <c r="F7454" s="16" t="s">
        <v>22727</v>
      </c>
    </row>
    <row r="7455" spans="1:6" x14ac:dyDescent="0.25">
      <c r="A7455" s="16" t="s">
        <v>22728</v>
      </c>
      <c r="B7455" s="17" t="s">
        <v>22729</v>
      </c>
      <c r="C7455" s="17" t="s">
        <v>1235</v>
      </c>
      <c r="D7455" s="17" t="s">
        <v>12527</v>
      </c>
      <c r="E7455" s="17" t="s">
        <v>1237</v>
      </c>
      <c r="F7455" s="16" t="s">
        <v>22730</v>
      </c>
    </row>
    <row r="7456" spans="1:6" x14ac:dyDescent="0.25">
      <c r="A7456" s="16" t="s">
        <v>22731</v>
      </c>
      <c r="B7456" s="17" t="s">
        <v>22732</v>
      </c>
      <c r="C7456" s="17" t="s">
        <v>11</v>
      </c>
      <c r="D7456" s="17" t="s">
        <v>32</v>
      </c>
      <c r="E7456" s="17" t="s">
        <v>20</v>
      </c>
      <c r="F7456" s="16" t="s">
        <v>22733</v>
      </c>
    </row>
    <row r="7457" spans="1:6" x14ac:dyDescent="0.25">
      <c r="A7457" s="16" t="s">
        <v>22734</v>
      </c>
      <c r="B7457" s="17" t="s">
        <v>22735</v>
      </c>
      <c r="C7457" s="17" t="s">
        <v>11</v>
      </c>
      <c r="D7457" s="17" t="s">
        <v>32</v>
      </c>
      <c r="E7457" s="17" t="s">
        <v>20</v>
      </c>
      <c r="F7457" s="16" t="s">
        <v>22736</v>
      </c>
    </row>
    <row r="7458" spans="1:6" x14ac:dyDescent="0.25">
      <c r="A7458" s="16" t="s">
        <v>22737</v>
      </c>
      <c r="B7458" s="17" t="s">
        <v>22738</v>
      </c>
      <c r="C7458" s="17" t="s">
        <v>11</v>
      </c>
      <c r="D7458" s="17" t="s">
        <v>32</v>
      </c>
      <c r="E7458" s="17" t="s">
        <v>20</v>
      </c>
      <c r="F7458" s="16" t="s">
        <v>22739</v>
      </c>
    </row>
    <row r="7459" spans="1:6" x14ac:dyDescent="0.25">
      <c r="A7459" s="16" t="s">
        <v>22740</v>
      </c>
      <c r="B7459" s="17" t="s">
        <v>22741</v>
      </c>
      <c r="C7459" s="17" t="s">
        <v>11</v>
      </c>
      <c r="D7459" s="17" t="s">
        <v>26</v>
      </c>
      <c r="E7459" s="17" t="s">
        <v>20</v>
      </c>
      <c r="F7459" s="16" t="s">
        <v>22742</v>
      </c>
    </row>
    <row r="7460" spans="1:6" x14ac:dyDescent="0.25">
      <c r="A7460" s="16" t="s">
        <v>22743</v>
      </c>
      <c r="B7460" s="17" t="s">
        <v>22744</v>
      </c>
      <c r="C7460" s="17" t="s">
        <v>11</v>
      </c>
      <c r="D7460" s="17" t="s">
        <v>32</v>
      </c>
      <c r="E7460" s="17" t="s">
        <v>20</v>
      </c>
      <c r="F7460" s="16" t="s">
        <v>22745</v>
      </c>
    </row>
    <row r="7461" spans="1:6" x14ac:dyDescent="0.25">
      <c r="A7461" s="16" t="s">
        <v>22746</v>
      </c>
      <c r="B7461" s="17" t="s">
        <v>22747</v>
      </c>
      <c r="C7461" s="17" t="s">
        <v>11</v>
      </c>
      <c r="D7461" s="17" t="s">
        <v>291</v>
      </c>
      <c r="E7461" s="17" t="s">
        <v>20</v>
      </c>
      <c r="F7461" s="16" t="s">
        <v>22748</v>
      </c>
    </row>
    <row r="7462" spans="1:6" x14ac:dyDescent="0.25">
      <c r="A7462" s="16" t="s">
        <v>22749</v>
      </c>
      <c r="B7462" s="17" t="s">
        <v>22750</v>
      </c>
      <c r="C7462" s="17" t="s">
        <v>11</v>
      </c>
      <c r="D7462" s="17" t="s">
        <v>32</v>
      </c>
      <c r="E7462" s="17" t="s">
        <v>20</v>
      </c>
      <c r="F7462" s="16" t="s">
        <v>22751</v>
      </c>
    </row>
    <row r="7463" spans="1:6" x14ac:dyDescent="0.25">
      <c r="A7463" s="16" t="s">
        <v>22752</v>
      </c>
      <c r="B7463" s="17" t="s">
        <v>22753</v>
      </c>
      <c r="C7463" s="17" t="s">
        <v>11</v>
      </c>
      <c r="D7463" s="17" t="s">
        <v>83</v>
      </c>
      <c r="E7463" s="17" t="s">
        <v>20</v>
      </c>
      <c r="F7463" s="16" t="s">
        <v>22754</v>
      </c>
    </row>
    <row r="7464" spans="1:6" x14ac:dyDescent="0.25">
      <c r="A7464" s="16" t="s">
        <v>22755</v>
      </c>
      <c r="B7464" s="17" t="s">
        <v>22756</v>
      </c>
      <c r="C7464" s="17" t="s">
        <v>11</v>
      </c>
      <c r="D7464" s="17" t="s">
        <v>32</v>
      </c>
      <c r="E7464" s="17" t="s">
        <v>20</v>
      </c>
      <c r="F7464" s="16" t="s">
        <v>22757</v>
      </c>
    </row>
    <row r="7465" spans="1:6" x14ac:dyDescent="0.25">
      <c r="A7465" s="16" t="s">
        <v>22758</v>
      </c>
      <c r="B7465" s="17" t="s">
        <v>22759</v>
      </c>
      <c r="C7465" s="17" t="s">
        <v>11</v>
      </c>
      <c r="D7465" s="17" t="s">
        <v>32</v>
      </c>
      <c r="E7465" s="17" t="s">
        <v>20</v>
      </c>
      <c r="F7465" s="16" t="s">
        <v>22760</v>
      </c>
    </row>
    <row r="7466" spans="1:6" x14ac:dyDescent="0.25">
      <c r="A7466" s="16" t="s">
        <v>22761</v>
      </c>
      <c r="B7466" s="17" t="s">
        <v>22762</v>
      </c>
      <c r="C7466" s="17" t="s">
        <v>11</v>
      </c>
      <c r="D7466" s="17" t="s">
        <v>148</v>
      </c>
      <c r="E7466" s="17" t="s">
        <v>20</v>
      </c>
      <c r="F7466" s="16" t="s">
        <v>22763</v>
      </c>
    </row>
    <row r="7467" spans="1:6" x14ac:dyDescent="0.25">
      <c r="A7467" s="16" t="s">
        <v>22764</v>
      </c>
      <c r="B7467" s="17" t="s">
        <v>22765</v>
      </c>
      <c r="C7467" s="17" t="s">
        <v>11</v>
      </c>
      <c r="D7467" s="17" t="s">
        <v>148</v>
      </c>
      <c r="E7467" s="17" t="s">
        <v>20</v>
      </c>
      <c r="F7467" s="16" t="s">
        <v>22766</v>
      </c>
    </row>
    <row r="7468" spans="1:6" x14ac:dyDescent="0.25">
      <c r="A7468" s="16" t="s">
        <v>22767</v>
      </c>
      <c r="B7468" s="17" t="s">
        <v>22768</v>
      </c>
      <c r="C7468" s="17" t="s">
        <v>11</v>
      </c>
      <c r="D7468" s="17" t="s">
        <v>32</v>
      </c>
      <c r="E7468" s="17" t="s">
        <v>20</v>
      </c>
      <c r="F7468" s="16" t="s">
        <v>22769</v>
      </c>
    </row>
    <row r="7469" spans="1:6" x14ac:dyDescent="0.25">
      <c r="A7469" s="16" t="s">
        <v>22770</v>
      </c>
      <c r="B7469" s="17" t="s">
        <v>22771</v>
      </c>
      <c r="C7469" s="17" t="s">
        <v>11</v>
      </c>
      <c r="D7469" s="17" t="s">
        <v>32</v>
      </c>
      <c r="E7469" s="17" t="s">
        <v>20</v>
      </c>
      <c r="F7469" s="16" t="s">
        <v>22772</v>
      </c>
    </row>
    <row r="7470" spans="1:6" x14ac:dyDescent="0.25">
      <c r="A7470" s="16" t="s">
        <v>22773</v>
      </c>
      <c r="B7470" s="17" t="s">
        <v>22774</v>
      </c>
      <c r="C7470" s="17" t="s">
        <v>11</v>
      </c>
      <c r="D7470" s="17" t="s">
        <v>83</v>
      </c>
      <c r="E7470" s="17" t="s">
        <v>20</v>
      </c>
      <c r="F7470" s="16" t="s">
        <v>22775</v>
      </c>
    </row>
    <row r="7471" spans="1:6" x14ac:dyDescent="0.25">
      <c r="A7471" s="16" t="s">
        <v>22776</v>
      </c>
      <c r="B7471" s="17" t="s">
        <v>22777</v>
      </c>
      <c r="C7471" s="17" t="s">
        <v>11</v>
      </c>
      <c r="D7471" s="17" t="s">
        <v>32</v>
      </c>
      <c r="E7471" s="17" t="s">
        <v>20</v>
      </c>
      <c r="F7471" s="16" t="s">
        <v>22778</v>
      </c>
    </row>
    <row r="7472" spans="1:6" x14ac:dyDescent="0.25">
      <c r="A7472" s="16" t="s">
        <v>22779</v>
      </c>
      <c r="B7472" s="17" t="s">
        <v>22780</v>
      </c>
      <c r="C7472" s="17" t="s">
        <v>11</v>
      </c>
      <c r="D7472" s="17" t="s">
        <v>32</v>
      </c>
      <c r="E7472" s="17" t="s">
        <v>20</v>
      </c>
      <c r="F7472" s="16" t="s">
        <v>22781</v>
      </c>
    </row>
    <row r="7473" spans="1:6" x14ac:dyDescent="0.25">
      <c r="A7473" s="16" t="s">
        <v>22782</v>
      </c>
      <c r="B7473" s="17" t="s">
        <v>22783</v>
      </c>
      <c r="C7473" s="17" t="s">
        <v>11</v>
      </c>
      <c r="D7473" s="17" t="s">
        <v>32</v>
      </c>
      <c r="E7473" s="17" t="s">
        <v>20</v>
      </c>
      <c r="F7473" s="16" t="s">
        <v>22784</v>
      </c>
    </row>
    <row r="7474" spans="1:6" x14ac:dyDescent="0.25">
      <c r="A7474" s="16" t="s">
        <v>22785</v>
      </c>
      <c r="B7474" s="17" t="s">
        <v>22786</v>
      </c>
      <c r="C7474" s="17" t="s">
        <v>11</v>
      </c>
      <c r="D7474" s="17" t="s">
        <v>83</v>
      </c>
      <c r="E7474" s="17" t="s">
        <v>20</v>
      </c>
      <c r="F7474" s="16" t="s">
        <v>22787</v>
      </c>
    </row>
    <row r="7475" spans="1:6" x14ac:dyDescent="0.25">
      <c r="A7475" s="16" t="s">
        <v>22788</v>
      </c>
      <c r="B7475" s="17" t="s">
        <v>22789</v>
      </c>
      <c r="C7475" s="17" t="s">
        <v>11</v>
      </c>
      <c r="D7475" s="17" t="s">
        <v>32</v>
      </c>
      <c r="E7475" s="17" t="s">
        <v>20</v>
      </c>
      <c r="F7475" s="16" t="s">
        <v>22790</v>
      </c>
    </row>
    <row r="7476" spans="1:6" x14ac:dyDescent="0.25">
      <c r="A7476" s="16" t="s">
        <v>22791</v>
      </c>
      <c r="B7476" s="17" t="s">
        <v>22792</v>
      </c>
      <c r="C7476" s="17" t="s">
        <v>11</v>
      </c>
      <c r="D7476" s="17" t="s">
        <v>148</v>
      </c>
      <c r="E7476" s="17" t="s">
        <v>20</v>
      </c>
      <c r="F7476" s="16" t="s">
        <v>22793</v>
      </c>
    </row>
    <row r="7477" spans="1:6" x14ac:dyDescent="0.25">
      <c r="A7477" s="16" t="s">
        <v>22794</v>
      </c>
      <c r="B7477" s="17" t="s">
        <v>22795</v>
      </c>
      <c r="C7477" s="17" t="s">
        <v>214</v>
      </c>
      <c r="D7477" s="17" t="s">
        <v>32</v>
      </c>
      <c r="E7477" s="17" t="s">
        <v>20</v>
      </c>
      <c r="F7477" s="16" t="s">
        <v>22796</v>
      </c>
    </row>
    <row r="7478" spans="1:6" x14ac:dyDescent="0.25">
      <c r="A7478" s="16" t="s">
        <v>22797</v>
      </c>
      <c r="B7478" s="17" t="s">
        <v>22798</v>
      </c>
      <c r="C7478" s="17" t="s">
        <v>11</v>
      </c>
      <c r="D7478" s="17" t="s">
        <v>32</v>
      </c>
      <c r="E7478" s="17" t="s">
        <v>20</v>
      </c>
      <c r="F7478" s="16" t="s">
        <v>22799</v>
      </c>
    </row>
    <row r="7479" spans="1:6" x14ac:dyDescent="0.25">
      <c r="A7479" s="16" t="s">
        <v>22800</v>
      </c>
      <c r="B7479" s="17" t="s">
        <v>22801</v>
      </c>
      <c r="C7479" s="17" t="s">
        <v>11</v>
      </c>
      <c r="D7479" s="17" t="s">
        <v>32</v>
      </c>
      <c r="E7479" s="17" t="s">
        <v>20</v>
      </c>
      <c r="F7479" s="16" t="s">
        <v>22802</v>
      </c>
    </row>
    <row r="7480" spans="1:6" x14ac:dyDescent="0.25">
      <c r="A7480" s="16" t="s">
        <v>22803</v>
      </c>
      <c r="B7480" s="17" t="s">
        <v>22804</v>
      </c>
      <c r="C7480" s="17" t="s">
        <v>11</v>
      </c>
      <c r="D7480" s="17" t="s">
        <v>544</v>
      </c>
      <c r="E7480" s="17" t="s">
        <v>20</v>
      </c>
      <c r="F7480" s="16" t="s">
        <v>22805</v>
      </c>
    </row>
    <row r="7481" spans="1:6" x14ac:dyDescent="0.25">
      <c r="A7481" s="16" t="s">
        <v>22806</v>
      </c>
      <c r="B7481" s="17" t="s">
        <v>22807</v>
      </c>
      <c r="C7481" s="17" t="s">
        <v>11</v>
      </c>
      <c r="D7481" s="17" t="s">
        <v>32</v>
      </c>
      <c r="E7481" s="17" t="s">
        <v>20</v>
      </c>
      <c r="F7481" s="16" t="s">
        <v>22808</v>
      </c>
    </row>
    <row r="7482" spans="1:6" x14ac:dyDescent="0.25">
      <c r="A7482" s="16" t="s">
        <v>22809</v>
      </c>
      <c r="B7482" s="17" t="s">
        <v>22810</v>
      </c>
      <c r="C7482" s="17" t="s">
        <v>11</v>
      </c>
      <c r="D7482" s="17" t="s">
        <v>26</v>
      </c>
      <c r="E7482" s="17" t="s">
        <v>20</v>
      </c>
      <c r="F7482" s="16" t="s">
        <v>22811</v>
      </c>
    </row>
    <row r="7483" spans="1:6" x14ac:dyDescent="0.25">
      <c r="A7483" s="16" t="s">
        <v>22812</v>
      </c>
      <c r="B7483" s="17" t="s">
        <v>22813</v>
      </c>
      <c r="C7483" s="17" t="s">
        <v>11</v>
      </c>
      <c r="D7483" s="17" t="s">
        <v>32</v>
      </c>
      <c r="E7483" s="17" t="s">
        <v>20</v>
      </c>
      <c r="F7483" s="16" t="s">
        <v>22814</v>
      </c>
    </row>
    <row r="7484" spans="1:6" x14ac:dyDescent="0.25">
      <c r="A7484" s="16" t="s">
        <v>22815</v>
      </c>
      <c r="B7484" s="17" t="s">
        <v>22816</v>
      </c>
      <c r="C7484" s="17" t="s">
        <v>11</v>
      </c>
      <c r="D7484" s="17" t="s">
        <v>32</v>
      </c>
      <c r="E7484" s="17" t="s">
        <v>20</v>
      </c>
      <c r="F7484" s="16" t="s">
        <v>22817</v>
      </c>
    </row>
    <row r="7485" spans="1:6" x14ac:dyDescent="0.25">
      <c r="A7485" s="16" t="s">
        <v>22818</v>
      </c>
      <c r="B7485" s="17" t="s">
        <v>22819</v>
      </c>
      <c r="C7485" s="17" t="s">
        <v>11</v>
      </c>
      <c r="D7485" s="17" t="s">
        <v>26</v>
      </c>
      <c r="E7485" s="17" t="s">
        <v>20</v>
      </c>
      <c r="F7485" s="16" t="s">
        <v>22820</v>
      </c>
    </row>
    <row r="7486" spans="1:6" x14ac:dyDescent="0.25">
      <c r="A7486" s="16" t="s">
        <v>22821</v>
      </c>
      <c r="B7486" s="17" t="s">
        <v>22822</v>
      </c>
      <c r="C7486" s="17" t="s">
        <v>1235</v>
      </c>
      <c r="D7486" s="17" t="s">
        <v>3377</v>
      </c>
      <c r="E7486" s="17" t="s">
        <v>1237</v>
      </c>
      <c r="F7486" s="16" t="s">
        <v>22823</v>
      </c>
    </row>
    <row r="7487" spans="1:6" x14ac:dyDescent="0.25">
      <c r="A7487" s="16" t="s">
        <v>22824</v>
      </c>
      <c r="B7487" s="17" t="s">
        <v>22825</v>
      </c>
      <c r="C7487" s="17" t="s">
        <v>11</v>
      </c>
      <c r="D7487" s="17" t="s">
        <v>26</v>
      </c>
      <c r="E7487" s="17" t="s">
        <v>20</v>
      </c>
      <c r="F7487" s="16" t="s">
        <v>22826</v>
      </c>
    </row>
    <row r="7488" spans="1:6" x14ac:dyDescent="0.25">
      <c r="A7488" s="16" t="s">
        <v>22827</v>
      </c>
      <c r="B7488" s="17" t="s">
        <v>22828</v>
      </c>
      <c r="C7488" s="17" t="s">
        <v>11</v>
      </c>
      <c r="D7488" s="17" t="s">
        <v>3463</v>
      </c>
      <c r="E7488" s="17" t="s">
        <v>1299</v>
      </c>
      <c r="F7488" s="16" t="s">
        <v>22829</v>
      </c>
    </row>
    <row r="7489" spans="1:6" x14ac:dyDescent="0.25">
      <c r="A7489" s="16" t="s">
        <v>22830</v>
      </c>
      <c r="B7489" s="17" t="s">
        <v>22831</v>
      </c>
      <c r="C7489" s="17" t="s">
        <v>11</v>
      </c>
      <c r="D7489" s="17" t="s">
        <v>32</v>
      </c>
      <c r="E7489" s="17" t="s">
        <v>20</v>
      </c>
      <c r="F7489" s="16" t="s">
        <v>22832</v>
      </c>
    </row>
    <row r="7490" spans="1:6" x14ac:dyDescent="0.25">
      <c r="A7490" s="16" t="s">
        <v>22833</v>
      </c>
      <c r="B7490" s="17" t="s">
        <v>22834</v>
      </c>
      <c r="C7490" s="17" t="s">
        <v>11</v>
      </c>
      <c r="D7490" s="17" t="s">
        <v>83</v>
      </c>
      <c r="E7490" s="17" t="s">
        <v>20</v>
      </c>
      <c r="F7490" s="16" t="s">
        <v>22835</v>
      </c>
    </row>
    <row r="7491" spans="1:6" x14ac:dyDescent="0.25">
      <c r="A7491" s="16" t="s">
        <v>22836</v>
      </c>
      <c r="B7491" s="17" t="s">
        <v>22837</v>
      </c>
      <c r="C7491" s="17" t="s">
        <v>11</v>
      </c>
      <c r="D7491" s="17" t="s">
        <v>83</v>
      </c>
      <c r="E7491" s="17" t="s">
        <v>20</v>
      </c>
      <c r="F7491" s="16" t="s">
        <v>22838</v>
      </c>
    </row>
    <row r="7492" spans="1:6" x14ac:dyDescent="0.25">
      <c r="A7492" s="16" t="s">
        <v>22839</v>
      </c>
      <c r="B7492" s="17" t="s">
        <v>22840</v>
      </c>
      <c r="C7492" s="17" t="s">
        <v>11</v>
      </c>
      <c r="D7492" s="17" t="s">
        <v>83</v>
      </c>
      <c r="E7492" s="17" t="s">
        <v>20</v>
      </c>
      <c r="F7492" s="16" t="s">
        <v>22841</v>
      </c>
    </row>
    <row r="7493" spans="1:6" x14ac:dyDescent="0.25">
      <c r="A7493" s="16" t="s">
        <v>22842</v>
      </c>
      <c r="B7493" s="17" t="s">
        <v>22843</v>
      </c>
      <c r="C7493" s="17" t="s">
        <v>11</v>
      </c>
      <c r="D7493" s="17" t="s">
        <v>32</v>
      </c>
      <c r="E7493" s="17" t="s">
        <v>20</v>
      </c>
      <c r="F7493" s="16" t="s">
        <v>22844</v>
      </c>
    </row>
    <row r="7494" spans="1:6" x14ac:dyDescent="0.25">
      <c r="A7494" s="16" t="s">
        <v>22845</v>
      </c>
      <c r="B7494" s="17" t="s">
        <v>22846</v>
      </c>
      <c r="C7494" s="17" t="s">
        <v>11</v>
      </c>
      <c r="D7494" s="17" t="s">
        <v>544</v>
      </c>
      <c r="E7494" s="17" t="s">
        <v>20</v>
      </c>
      <c r="F7494" s="16" t="s">
        <v>22847</v>
      </c>
    </row>
    <row r="7495" spans="1:6" x14ac:dyDescent="0.25">
      <c r="A7495" s="16" t="s">
        <v>22848</v>
      </c>
      <c r="B7495" s="17" t="s">
        <v>22849</v>
      </c>
      <c r="C7495" s="17" t="s">
        <v>11</v>
      </c>
      <c r="D7495" s="17" t="s">
        <v>83</v>
      </c>
      <c r="E7495" s="17" t="s">
        <v>20</v>
      </c>
      <c r="F7495" s="16" t="s">
        <v>22850</v>
      </c>
    </row>
    <row r="7496" spans="1:6" x14ac:dyDescent="0.25">
      <c r="A7496" s="16" t="s">
        <v>22851</v>
      </c>
      <c r="B7496" s="17" t="s">
        <v>22852</v>
      </c>
      <c r="C7496" s="17" t="s">
        <v>11</v>
      </c>
      <c r="D7496" s="17" t="s">
        <v>83</v>
      </c>
      <c r="E7496" s="17" t="s">
        <v>20</v>
      </c>
      <c r="F7496" s="16" t="s">
        <v>22853</v>
      </c>
    </row>
    <row r="7497" spans="1:6" x14ac:dyDescent="0.25">
      <c r="A7497" s="16" t="s">
        <v>22854</v>
      </c>
      <c r="B7497" s="17" t="s">
        <v>22855</v>
      </c>
      <c r="C7497" s="17" t="s">
        <v>11</v>
      </c>
      <c r="D7497" s="17" t="s">
        <v>83</v>
      </c>
      <c r="E7497" s="17" t="s">
        <v>20</v>
      </c>
      <c r="F7497" s="16" t="s">
        <v>22856</v>
      </c>
    </row>
    <row r="7498" spans="1:6" x14ac:dyDescent="0.25">
      <c r="A7498" s="16" t="s">
        <v>22857</v>
      </c>
      <c r="B7498" s="17" t="s">
        <v>22858</v>
      </c>
      <c r="C7498" s="17" t="s">
        <v>11</v>
      </c>
      <c r="D7498" s="17" t="s">
        <v>32</v>
      </c>
      <c r="E7498" s="17" t="s">
        <v>20</v>
      </c>
      <c r="F7498" s="16" t="s">
        <v>22859</v>
      </c>
    </row>
    <row r="7499" spans="1:6" x14ac:dyDescent="0.25">
      <c r="A7499" s="16" t="s">
        <v>22860</v>
      </c>
      <c r="B7499" s="17" t="s">
        <v>22861</v>
      </c>
      <c r="C7499" s="17" t="s">
        <v>11</v>
      </c>
      <c r="D7499" s="17" t="s">
        <v>544</v>
      </c>
      <c r="E7499" s="17" t="s">
        <v>20</v>
      </c>
      <c r="F7499" s="16" t="s">
        <v>22862</v>
      </c>
    </row>
    <row r="7500" spans="1:6" x14ac:dyDescent="0.25">
      <c r="A7500" s="16" t="s">
        <v>22863</v>
      </c>
      <c r="B7500" s="17" t="s">
        <v>22864</v>
      </c>
      <c r="C7500" s="17" t="s">
        <v>11</v>
      </c>
      <c r="D7500" s="17" t="s">
        <v>32</v>
      </c>
      <c r="E7500" s="17" t="s">
        <v>20</v>
      </c>
      <c r="F7500" s="16" t="s">
        <v>22865</v>
      </c>
    </row>
    <row r="7501" spans="1:6" x14ac:dyDescent="0.25">
      <c r="A7501" s="16" t="s">
        <v>22866</v>
      </c>
      <c r="B7501" s="17" t="s">
        <v>22867</v>
      </c>
      <c r="C7501" s="17" t="s">
        <v>11</v>
      </c>
      <c r="D7501" s="17" t="s">
        <v>148</v>
      </c>
      <c r="E7501" s="17" t="s">
        <v>20</v>
      </c>
      <c r="F7501" s="16" t="s">
        <v>22868</v>
      </c>
    </row>
    <row r="7502" spans="1:6" x14ac:dyDescent="0.25">
      <c r="A7502" s="16" t="s">
        <v>22869</v>
      </c>
      <c r="B7502" s="17" t="s">
        <v>22870</v>
      </c>
      <c r="C7502" s="17" t="s">
        <v>11</v>
      </c>
      <c r="D7502" s="17" t="s">
        <v>32</v>
      </c>
      <c r="E7502" s="17" t="s">
        <v>20</v>
      </c>
      <c r="F7502" s="16" t="s">
        <v>22871</v>
      </c>
    </row>
    <row r="7503" spans="1:6" x14ac:dyDescent="0.25">
      <c r="A7503" s="16" t="s">
        <v>22872</v>
      </c>
      <c r="B7503" s="17" t="s">
        <v>22873</v>
      </c>
      <c r="C7503" s="17" t="s">
        <v>11</v>
      </c>
      <c r="D7503" s="17" t="s">
        <v>32</v>
      </c>
      <c r="E7503" s="17" t="s">
        <v>20</v>
      </c>
      <c r="F7503" s="16" t="s">
        <v>22874</v>
      </c>
    </row>
    <row r="7504" spans="1:6" x14ac:dyDescent="0.25">
      <c r="A7504" s="16" t="s">
        <v>22875</v>
      </c>
      <c r="B7504" s="17" t="s">
        <v>22876</v>
      </c>
      <c r="C7504" s="17" t="s">
        <v>11</v>
      </c>
      <c r="D7504" s="17" t="s">
        <v>32</v>
      </c>
      <c r="E7504" s="17" t="s">
        <v>20</v>
      </c>
      <c r="F7504" s="16" t="s">
        <v>22877</v>
      </c>
    </row>
    <row r="7505" spans="1:6" x14ac:dyDescent="0.25">
      <c r="A7505" s="16" t="s">
        <v>22878</v>
      </c>
      <c r="B7505" s="17" t="s">
        <v>22879</v>
      </c>
      <c r="C7505" s="17" t="s">
        <v>11</v>
      </c>
      <c r="D7505" s="17" t="s">
        <v>32</v>
      </c>
      <c r="E7505" s="17" t="s">
        <v>20</v>
      </c>
      <c r="F7505" s="16" t="s">
        <v>22880</v>
      </c>
    </row>
    <row r="7506" spans="1:6" x14ac:dyDescent="0.25">
      <c r="A7506" s="16" t="s">
        <v>22881</v>
      </c>
      <c r="B7506" s="17" t="s">
        <v>22882</v>
      </c>
      <c r="C7506" s="17" t="s">
        <v>11</v>
      </c>
      <c r="D7506" s="17" t="s">
        <v>26</v>
      </c>
      <c r="E7506" s="17" t="s">
        <v>20</v>
      </c>
      <c r="F7506" s="16" t="s">
        <v>22883</v>
      </c>
    </row>
    <row r="7507" spans="1:6" x14ac:dyDescent="0.25">
      <c r="A7507" s="16" t="s">
        <v>22884</v>
      </c>
      <c r="B7507" s="17" t="s">
        <v>22885</v>
      </c>
      <c r="C7507" s="17" t="s">
        <v>11</v>
      </c>
      <c r="D7507" s="17" t="s">
        <v>32</v>
      </c>
      <c r="E7507" s="17" t="s">
        <v>20</v>
      </c>
      <c r="F7507" s="16" t="s">
        <v>22886</v>
      </c>
    </row>
    <row r="7508" spans="1:6" x14ac:dyDescent="0.25">
      <c r="A7508" s="16" t="s">
        <v>22887</v>
      </c>
      <c r="B7508" s="17" t="s">
        <v>22888</v>
      </c>
      <c r="C7508" s="17" t="s">
        <v>11</v>
      </c>
      <c r="D7508" s="17" t="s">
        <v>32</v>
      </c>
      <c r="E7508" s="17" t="s">
        <v>20</v>
      </c>
      <c r="F7508" s="16" t="s">
        <v>22889</v>
      </c>
    </row>
    <row r="7509" spans="1:6" x14ac:dyDescent="0.25">
      <c r="A7509" s="16" t="s">
        <v>22890</v>
      </c>
      <c r="B7509" s="17" t="s">
        <v>22891</v>
      </c>
      <c r="C7509" s="17" t="s">
        <v>11</v>
      </c>
      <c r="D7509" s="17" t="s">
        <v>26</v>
      </c>
      <c r="E7509" s="17" t="s">
        <v>20</v>
      </c>
      <c r="F7509" s="16" t="s">
        <v>22892</v>
      </c>
    </row>
    <row r="7510" spans="1:6" x14ac:dyDescent="0.25">
      <c r="A7510" s="16" t="s">
        <v>22893</v>
      </c>
      <c r="B7510" s="17" t="s">
        <v>22894</v>
      </c>
      <c r="C7510" s="17" t="s">
        <v>11</v>
      </c>
      <c r="D7510" s="17" t="s">
        <v>32</v>
      </c>
      <c r="E7510" s="17" t="s">
        <v>20</v>
      </c>
      <c r="F7510" s="16" t="s">
        <v>22895</v>
      </c>
    </row>
    <row r="7511" spans="1:6" x14ac:dyDescent="0.25">
      <c r="A7511" s="16" t="s">
        <v>22896</v>
      </c>
      <c r="B7511" s="17" t="s">
        <v>22897</v>
      </c>
      <c r="C7511" s="17" t="s">
        <v>11</v>
      </c>
      <c r="D7511" s="17" t="s">
        <v>32</v>
      </c>
      <c r="E7511" s="17" t="s">
        <v>20</v>
      </c>
      <c r="F7511" s="16" t="s">
        <v>22898</v>
      </c>
    </row>
    <row r="7512" spans="1:6" x14ac:dyDescent="0.25">
      <c r="A7512" s="16" t="s">
        <v>22899</v>
      </c>
      <c r="B7512" s="17" t="s">
        <v>22900</v>
      </c>
      <c r="C7512" s="17" t="s">
        <v>11</v>
      </c>
      <c r="D7512" s="17" t="s">
        <v>83</v>
      </c>
      <c r="E7512" s="17" t="s">
        <v>20</v>
      </c>
      <c r="F7512" s="16" t="s">
        <v>22901</v>
      </c>
    </row>
    <row r="7513" spans="1:6" x14ac:dyDescent="0.25">
      <c r="A7513" s="16" t="s">
        <v>22902</v>
      </c>
      <c r="B7513" s="17" t="s">
        <v>22903</v>
      </c>
      <c r="C7513" s="17" t="s">
        <v>11</v>
      </c>
      <c r="D7513" s="17" t="s">
        <v>544</v>
      </c>
      <c r="E7513" s="17" t="s">
        <v>20</v>
      </c>
      <c r="F7513" s="16" t="s">
        <v>22904</v>
      </c>
    </row>
    <row r="7514" spans="1:6" x14ac:dyDescent="0.25">
      <c r="A7514" s="16" t="s">
        <v>22905</v>
      </c>
      <c r="B7514" s="17" t="s">
        <v>22906</v>
      </c>
      <c r="C7514" s="17" t="s">
        <v>11</v>
      </c>
      <c r="D7514" s="17" t="s">
        <v>32</v>
      </c>
      <c r="E7514" s="17" t="s">
        <v>20</v>
      </c>
      <c r="F7514" s="16" t="s">
        <v>22907</v>
      </c>
    </row>
    <row r="7515" spans="1:6" x14ac:dyDescent="0.25">
      <c r="A7515" s="16" t="s">
        <v>22908</v>
      </c>
      <c r="B7515" s="17" t="s">
        <v>22909</v>
      </c>
      <c r="C7515" s="17" t="s">
        <v>11</v>
      </c>
      <c r="D7515" s="17" t="s">
        <v>1337</v>
      </c>
      <c r="E7515" s="17" t="s">
        <v>1299</v>
      </c>
      <c r="F7515" s="16" t="s">
        <v>22910</v>
      </c>
    </row>
    <row r="7516" spans="1:6" x14ac:dyDescent="0.25">
      <c r="A7516" s="16" t="s">
        <v>22911</v>
      </c>
      <c r="B7516" s="17" t="s">
        <v>22912</v>
      </c>
      <c r="C7516" s="17" t="s">
        <v>11</v>
      </c>
      <c r="D7516" s="17" t="s">
        <v>32</v>
      </c>
      <c r="E7516" s="17" t="s">
        <v>20</v>
      </c>
      <c r="F7516" s="16" t="s">
        <v>22913</v>
      </c>
    </row>
    <row r="7517" spans="1:6" x14ac:dyDescent="0.25">
      <c r="A7517" s="16" t="s">
        <v>22914</v>
      </c>
      <c r="B7517" s="17" t="s">
        <v>22915</v>
      </c>
      <c r="C7517" s="17" t="s">
        <v>11</v>
      </c>
      <c r="D7517" s="17" t="s">
        <v>32</v>
      </c>
      <c r="E7517" s="17" t="s">
        <v>20</v>
      </c>
      <c r="F7517" s="16" t="s">
        <v>22916</v>
      </c>
    </row>
    <row r="7518" spans="1:6" x14ac:dyDescent="0.25">
      <c r="A7518" s="16" t="s">
        <v>22917</v>
      </c>
      <c r="B7518" s="17" t="s">
        <v>22918</v>
      </c>
      <c r="C7518" s="17" t="s">
        <v>11</v>
      </c>
      <c r="D7518" s="17" t="s">
        <v>32</v>
      </c>
      <c r="E7518" s="17" t="s">
        <v>20</v>
      </c>
      <c r="F7518" s="16" t="s">
        <v>22919</v>
      </c>
    </row>
    <row r="7519" spans="1:6" x14ac:dyDescent="0.25">
      <c r="A7519" s="16" t="s">
        <v>22920</v>
      </c>
      <c r="B7519" s="17" t="s">
        <v>22921</v>
      </c>
      <c r="C7519" s="17" t="s">
        <v>11</v>
      </c>
      <c r="D7519" s="17" t="s">
        <v>32</v>
      </c>
      <c r="E7519" s="17" t="s">
        <v>20</v>
      </c>
      <c r="F7519" s="16" t="s">
        <v>22922</v>
      </c>
    </row>
    <row r="7520" spans="1:6" x14ac:dyDescent="0.25">
      <c r="A7520" s="16" t="s">
        <v>22923</v>
      </c>
      <c r="B7520" s="17" t="s">
        <v>22924</v>
      </c>
      <c r="C7520" s="17" t="s">
        <v>11</v>
      </c>
      <c r="D7520" s="17" t="s">
        <v>3377</v>
      </c>
      <c r="E7520" s="17" t="s">
        <v>1237</v>
      </c>
      <c r="F7520" s="16" t="s">
        <v>22925</v>
      </c>
    </row>
    <row r="7521" spans="1:6" x14ac:dyDescent="0.25">
      <c r="A7521" s="16" t="s">
        <v>22926</v>
      </c>
      <c r="B7521" s="17" t="s">
        <v>22927</v>
      </c>
      <c r="C7521" s="17" t="s">
        <v>11</v>
      </c>
      <c r="D7521" s="17" t="s">
        <v>83</v>
      </c>
      <c r="E7521" s="17" t="s">
        <v>20</v>
      </c>
      <c r="F7521" s="16" t="s">
        <v>22928</v>
      </c>
    </row>
    <row r="7522" spans="1:6" x14ac:dyDescent="0.25">
      <c r="A7522" s="16" t="s">
        <v>22929</v>
      </c>
      <c r="B7522" s="17" t="s">
        <v>22930</v>
      </c>
      <c r="C7522" s="17" t="s">
        <v>11</v>
      </c>
      <c r="D7522" s="17" t="s">
        <v>544</v>
      </c>
      <c r="E7522" s="17" t="s">
        <v>20</v>
      </c>
      <c r="F7522" s="16" t="s">
        <v>22931</v>
      </c>
    </row>
    <row r="7523" spans="1:6" x14ac:dyDescent="0.25">
      <c r="A7523" s="16" t="s">
        <v>22932</v>
      </c>
      <c r="B7523" s="17" t="s">
        <v>22933</v>
      </c>
      <c r="C7523" s="17" t="s">
        <v>11</v>
      </c>
      <c r="D7523" s="17" t="s">
        <v>26</v>
      </c>
      <c r="E7523" s="17" t="s">
        <v>20</v>
      </c>
      <c r="F7523" s="16" t="s">
        <v>22934</v>
      </c>
    </row>
    <row r="7524" spans="1:6" x14ac:dyDescent="0.25">
      <c r="A7524" s="16" t="s">
        <v>22935</v>
      </c>
      <c r="B7524" s="17" t="s">
        <v>22936</v>
      </c>
      <c r="C7524" s="17" t="s">
        <v>11</v>
      </c>
      <c r="D7524" s="17" t="s">
        <v>32</v>
      </c>
      <c r="E7524" s="17" t="s">
        <v>20</v>
      </c>
      <c r="F7524" s="16" t="s">
        <v>22937</v>
      </c>
    </row>
    <row r="7525" spans="1:6" x14ac:dyDescent="0.25">
      <c r="A7525" s="16" t="s">
        <v>22938</v>
      </c>
      <c r="B7525" s="17" t="s">
        <v>22939</v>
      </c>
      <c r="C7525" s="17" t="s">
        <v>11</v>
      </c>
      <c r="D7525" s="17" t="s">
        <v>32</v>
      </c>
      <c r="E7525" s="17" t="s">
        <v>20</v>
      </c>
      <c r="F7525" s="16" t="s">
        <v>22940</v>
      </c>
    </row>
    <row r="7526" spans="1:6" x14ac:dyDescent="0.25">
      <c r="A7526" s="16" t="s">
        <v>22941</v>
      </c>
      <c r="B7526" s="17" t="s">
        <v>22942</v>
      </c>
      <c r="C7526" s="17" t="s">
        <v>11</v>
      </c>
      <c r="D7526" s="17" t="s">
        <v>1337</v>
      </c>
      <c r="E7526" s="17" t="s">
        <v>1299</v>
      </c>
      <c r="F7526" s="16" t="s">
        <v>22943</v>
      </c>
    </row>
    <row r="7527" spans="1:6" x14ac:dyDescent="0.25">
      <c r="A7527" s="16" t="s">
        <v>22944</v>
      </c>
      <c r="B7527" s="17" t="s">
        <v>22945</v>
      </c>
      <c r="C7527" s="17" t="s">
        <v>11</v>
      </c>
      <c r="D7527" s="17" t="s">
        <v>32</v>
      </c>
      <c r="E7527" s="17" t="s">
        <v>20</v>
      </c>
      <c r="F7527" s="16" t="s">
        <v>22946</v>
      </c>
    </row>
    <row r="7528" spans="1:6" x14ac:dyDescent="0.25">
      <c r="A7528" s="16" t="s">
        <v>22947</v>
      </c>
      <c r="B7528" s="17" t="s">
        <v>22948</v>
      </c>
      <c r="C7528" s="17" t="s">
        <v>11</v>
      </c>
      <c r="D7528" s="17" t="s">
        <v>148</v>
      </c>
      <c r="E7528" s="17" t="s">
        <v>20</v>
      </c>
      <c r="F7528" s="16" t="s">
        <v>22949</v>
      </c>
    </row>
    <row r="7529" spans="1:6" x14ac:dyDescent="0.25">
      <c r="A7529" s="16" t="s">
        <v>22950</v>
      </c>
      <c r="B7529" s="17" t="s">
        <v>22951</v>
      </c>
      <c r="C7529" s="17" t="s">
        <v>11</v>
      </c>
      <c r="D7529" s="17" t="s">
        <v>32</v>
      </c>
      <c r="E7529" s="17" t="s">
        <v>20</v>
      </c>
      <c r="F7529" s="16" t="s">
        <v>22952</v>
      </c>
    </row>
    <row r="7530" spans="1:6" x14ac:dyDescent="0.25">
      <c r="A7530" s="16" t="s">
        <v>22953</v>
      </c>
      <c r="B7530" s="17" t="s">
        <v>22954</v>
      </c>
      <c r="C7530" s="17" t="s">
        <v>11</v>
      </c>
      <c r="D7530" s="17" t="s">
        <v>3463</v>
      </c>
      <c r="E7530" s="17" t="s">
        <v>1299</v>
      </c>
      <c r="F7530" s="16" t="s">
        <v>22955</v>
      </c>
    </row>
    <row r="7531" spans="1:6" x14ac:dyDescent="0.25">
      <c r="A7531" s="16" t="s">
        <v>22956</v>
      </c>
      <c r="B7531" s="17" t="s">
        <v>22957</v>
      </c>
      <c r="C7531" s="17" t="s">
        <v>11</v>
      </c>
      <c r="D7531" s="17" t="s">
        <v>32</v>
      </c>
      <c r="E7531" s="17" t="s">
        <v>20</v>
      </c>
      <c r="F7531" s="16" t="s">
        <v>22958</v>
      </c>
    </row>
    <row r="7532" spans="1:6" x14ac:dyDescent="0.25">
      <c r="A7532" s="16" t="s">
        <v>22959</v>
      </c>
      <c r="B7532" s="17" t="s">
        <v>22960</v>
      </c>
      <c r="C7532" s="17" t="s">
        <v>11</v>
      </c>
      <c r="D7532" s="17" t="s">
        <v>32</v>
      </c>
      <c r="E7532" s="17" t="s">
        <v>20</v>
      </c>
      <c r="F7532" s="16" t="s">
        <v>22961</v>
      </c>
    </row>
    <row r="7533" spans="1:6" x14ac:dyDescent="0.25">
      <c r="A7533" s="16" t="s">
        <v>22962</v>
      </c>
      <c r="B7533" s="17" t="s">
        <v>22963</v>
      </c>
      <c r="C7533" s="17" t="s">
        <v>11</v>
      </c>
      <c r="D7533" s="17" t="s">
        <v>148</v>
      </c>
      <c r="E7533" s="17" t="s">
        <v>20</v>
      </c>
      <c r="F7533" s="16" t="s">
        <v>22964</v>
      </c>
    </row>
    <row r="7534" spans="1:6" x14ac:dyDescent="0.25">
      <c r="A7534" s="16" t="s">
        <v>22965</v>
      </c>
      <c r="B7534" s="17" t="s">
        <v>22966</v>
      </c>
      <c r="C7534" s="17" t="s">
        <v>11</v>
      </c>
      <c r="D7534" s="17" t="s">
        <v>32</v>
      </c>
      <c r="E7534" s="17" t="s">
        <v>20</v>
      </c>
      <c r="F7534" s="16" t="s">
        <v>22967</v>
      </c>
    </row>
    <row r="7535" spans="1:6" x14ac:dyDescent="0.25">
      <c r="A7535" s="16" t="s">
        <v>22968</v>
      </c>
      <c r="B7535" s="17" t="s">
        <v>22969</v>
      </c>
      <c r="C7535" s="17" t="s">
        <v>11</v>
      </c>
      <c r="D7535" s="17" t="s">
        <v>32</v>
      </c>
      <c r="E7535" s="17" t="s">
        <v>20</v>
      </c>
      <c r="F7535" s="16" t="s">
        <v>22970</v>
      </c>
    </row>
    <row r="7536" spans="1:6" x14ac:dyDescent="0.25">
      <c r="A7536" s="16" t="s">
        <v>22971</v>
      </c>
      <c r="B7536" s="17" t="s">
        <v>22972</v>
      </c>
      <c r="C7536" s="17" t="s">
        <v>11</v>
      </c>
      <c r="D7536" s="17" t="s">
        <v>83</v>
      </c>
      <c r="E7536" s="17" t="s">
        <v>20</v>
      </c>
      <c r="F7536" s="16" t="s">
        <v>22973</v>
      </c>
    </row>
    <row r="7537" spans="1:6" x14ac:dyDescent="0.25">
      <c r="A7537" s="16" t="s">
        <v>22974</v>
      </c>
      <c r="B7537" s="17" t="s">
        <v>22975</v>
      </c>
      <c r="C7537" s="17" t="s">
        <v>11</v>
      </c>
      <c r="D7537" s="17" t="s">
        <v>83</v>
      </c>
      <c r="E7537" s="17" t="s">
        <v>20</v>
      </c>
      <c r="F7537" s="16" t="s">
        <v>22976</v>
      </c>
    </row>
    <row r="7538" spans="1:6" x14ac:dyDescent="0.25">
      <c r="A7538" s="16" t="s">
        <v>22977</v>
      </c>
      <c r="B7538" s="17" t="s">
        <v>22978</v>
      </c>
      <c r="C7538" s="17" t="s">
        <v>11</v>
      </c>
      <c r="D7538" s="17" t="s">
        <v>32</v>
      </c>
      <c r="E7538" s="17" t="s">
        <v>20</v>
      </c>
      <c r="F7538" s="16" t="s">
        <v>22979</v>
      </c>
    </row>
    <row r="7539" spans="1:6" x14ac:dyDescent="0.25">
      <c r="A7539" s="16" t="s">
        <v>22980</v>
      </c>
      <c r="B7539" s="17" t="s">
        <v>22981</v>
      </c>
      <c r="C7539" s="17" t="s">
        <v>11</v>
      </c>
      <c r="D7539" s="17" t="s">
        <v>32</v>
      </c>
      <c r="E7539" s="17" t="s">
        <v>20</v>
      </c>
      <c r="F7539" s="16" t="s">
        <v>22982</v>
      </c>
    </row>
    <row r="7540" spans="1:6" x14ac:dyDescent="0.25">
      <c r="A7540" s="16" t="s">
        <v>22983</v>
      </c>
      <c r="B7540" s="17" t="s">
        <v>22984</v>
      </c>
      <c r="C7540" s="17" t="s">
        <v>359</v>
      </c>
      <c r="D7540" s="17" t="s">
        <v>32</v>
      </c>
      <c r="E7540" s="17" t="s">
        <v>20</v>
      </c>
      <c r="F7540" s="16" t="s">
        <v>22985</v>
      </c>
    </row>
    <row r="7541" spans="1:6" x14ac:dyDescent="0.25">
      <c r="A7541" s="16" t="s">
        <v>22986</v>
      </c>
      <c r="B7541" s="17" t="s">
        <v>22987</v>
      </c>
      <c r="C7541" s="17" t="s">
        <v>11</v>
      </c>
      <c r="D7541" s="17" t="s">
        <v>32</v>
      </c>
      <c r="E7541" s="17" t="s">
        <v>20</v>
      </c>
      <c r="F7541" s="16" t="s">
        <v>22988</v>
      </c>
    </row>
    <row r="7542" spans="1:6" x14ac:dyDescent="0.25">
      <c r="A7542" s="16" t="s">
        <v>22989</v>
      </c>
      <c r="B7542" s="17" t="s">
        <v>22990</v>
      </c>
      <c r="C7542" s="17" t="s">
        <v>11</v>
      </c>
      <c r="D7542" s="17" t="s">
        <v>32</v>
      </c>
      <c r="E7542" s="17" t="s">
        <v>20</v>
      </c>
      <c r="F7542" s="16" t="s">
        <v>22991</v>
      </c>
    </row>
    <row r="7543" spans="1:6" x14ac:dyDescent="0.25">
      <c r="A7543" s="16" t="s">
        <v>22992</v>
      </c>
      <c r="B7543" s="17" t="s">
        <v>22993</v>
      </c>
      <c r="C7543" s="17" t="s">
        <v>11</v>
      </c>
      <c r="D7543" s="17" t="s">
        <v>32</v>
      </c>
      <c r="E7543" s="17" t="s">
        <v>20</v>
      </c>
      <c r="F7543" s="16" t="s">
        <v>22994</v>
      </c>
    </row>
    <row r="7544" spans="1:6" x14ac:dyDescent="0.25">
      <c r="A7544" s="16" t="s">
        <v>22995</v>
      </c>
      <c r="B7544" s="17" t="s">
        <v>22996</v>
      </c>
      <c r="C7544" s="17" t="s">
        <v>11</v>
      </c>
      <c r="D7544" s="17" t="s">
        <v>32</v>
      </c>
      <c r="E7544" s="17" t="s">
        <v>20</v>
      </c>
      <c r="F7544" s="16" t="s">
        <v>22997</v>
      </c>
    </row>
    <row r="7545" spans="1:6" x14ac:dyDescent="0.25">
      <c r="A7545" s="16" t="s">
        <v>22998</v>
      </c>
      <c r="B7545" s="17" t="s">
        <v>22999</v>
      </c>
      <c r="C7545" s="17" t="s">
        <v>11</v>
      </c>
      <c r="D7545" s="17" t="s">
        <v>148</v>
      </c>
      <c r="E7545" s="17" t="s">
        <v>20</v>
      </c>
      <c r="F7545" s="16" t="s">
        <v>23000</v>
      </c>
    </row>
    <row r="7546" spans="1:6" x14ac:dyDescent="0.25">
      <c r="A7546" s="16" t="s">
        <v>23001</v>
      </c>
      <c r="B7546" s="17" t="s">
        <v>23002</v>
      </c>
      <c r="C7546" s="17" t="s">
        <v>11</v>
      </c>
      <c r="D7546" s="17" t="s">
        <v>32</v>
      </c>
      <c r="E7546" s="17" t="s">
        <v>20</v>
      </c>
      <c r="F7546" s="16" t="s">
        <v>23003</v>
      </c>
    </row>
    <row r="7547" spans="1:6" x14ac:dyDescent="0.25">
      <c r="A7547" s="16" t="s">
        <v>23004</v>
      </c>
      <c r="B7547" s="17" t="s">
        <v>23005</v>
      </c>
      <c r="C7547" s="17" t="s">
        <v>11</v>
      </c>
      <c r="D7547" s="17" t="s">
        <v>32</v>
      </c>
      <c r="E7547" s="17" t="s">
        <v>20</v>
      </c>
      <c r="F7547" s="16" t="s">
        <v>23006</v>
      </c>
    </row>
    <row r="7548" spans="1:6" x14ac:dyDescent="0.25">
      <c r="A7548" s="16" t="s">
        <v>23007</v>
      </c>
      <c r="B7548" s="17" t="s">
        <v>23008</v>
      </c>
      <c r="C7548" s="17" t="s">
        <v>11</v>
      </c>
      <c r="D7548" s="17" t="s">
        <v>83</v>
      </c>
      <c r="E7548" s="17" t="s">
        <v>20</v>
      </c>
      <c r="F7548" s="16" t="s">
        <v>23009</v>
      </c>
    </row>
    <row r="7549" spans="1:6" x14ac:dyDescent="0.25">
      <c r="A7549" s="16" t="s">
        <v>23010</v>
      </c>
      <c r="B7549" s="17" t="s">
        <v>23011</v>
      </c>
      <c r="C7549" s="17" t="s">
        <v>11</v>
      </c>
      <c r="D7549" s="17" t="s">
        <v>32</v>
      </c>
      <c r="E7549" s="17" t="s">
        <v>20</v>
      </c>
      <c r="F7549" s="16" t="s">
        <v>23012</v>
      </c>
    </row>
    <row r="7550" spans="1:6" x14ac:dyDescent="0.25">
      <c r="A7550" s="16" t="s">
        <v>23013</v>
      </c>
      <c r="B7550" s="17" t="s">
        <v>23014</v>
      </c>
      <c r="C7550" s="17" t="s">
        <v>11</v>
      </c>
      <c r="D7550" s="17" t="s">
        <v>32</v>
      </c>
      <c r="E7550" s="17" t="s">
        <v>20</v>
      </c>
      <c r="F7550" s="16" t="s">
        <v>23015</v>
      </c>
    </row>
    <row r="7551" spans="1:6" x14ac:dyDescent="0.25">
      <c r="A7551" s="16" t="s">
        <v>23016</v>
      </c>
      <c r="B7551" s="17" t="s">
        <v>23017</v>
      </c>
      <c r="C7551" s="17" t="s">
        <v>11</v>
      </c>
      <c r="D7551" s="17" t="s">
        <v>32</v>
      </c>
      <c r="E7551" s="17" t="s">
        <v>20</v>
      </c>
      <c r="F7551" s="16" t="s">
        <v>23018</v>
      </c>
    </row>
    <row r="7552" spans="1:6" x14ac:dyDescent="0.25">
      <c r="A7552" s="16" t="s">
        <v>23019</v>
      </c>
      <c r="B7552" s="17" t="s">
        <v>23020</v>
      </c>
      <c r="C7552" s="17" t="s">
        <v>11</v>
      </c>
      <c r="D7552" s="17" t="s">
        <v>148</v>
      </c>
      <c r="E7552" s="17" t="s">
        <v>20</v>
      </c>
      <c r="F7552" s="16" t="s">
        <v>23021</v>
      </c>
    </row>
    <row r="7553" spans="1:6" x14ac:dyDescent="0.25">
      <c r="A7553" s="16" t="s">
        <v>23022</v>
      </c>
      <c r="B7553" s="17" t="s">
        <v>23023</v>
      </c>
      <c r="C7553" s="17" t="s">
        <v>11</v>
      </c>
      <c r="D7553" s="17" t="s">
        <v>32</v>
      </c>
      <c r="E7553" s="17" t="s">
        <v>20</v>
      </c>
      <c r="F7553" s="16" t="s">
        <v>23024</v>
      </c>
    </row>
    <row r="7554" spans="1:6" x14ac:dyDescent="0.25">
      <c r="A7554" s="16" t="s">
        <v>23025</v>
      </c>
      <c r="B7554" s="17" t="s">
        <v>23026</v>
      </c>
      <c r="C7554" s="17" t="s">
        <v>11</v>
      </c>
      <c r="D7554" s="17" t="s">
        <v>83</v>
      </c>
      <c r="E7554" s="17" t="s">
        <v>20</v>
      </c>
      <c r="F7554" s="16" t="s">
        <v>23027</v>
      </c>
    </row>
    <row r="7555" spans="1:6" x14ac:dyDescent="0.25">
      <c r="A7555" s="16" t="s">
        <v>23028</v>
      </c>
      <c r="B7555" s="17" t="s">
        <v>23029</v>
      </c>
      <c r="C7555" s="17" t="s">
        <v>11</v>
      </c>
      <c r="D7555" s="17" t="s">
        <v>148</v>
      </c>
      <c r="E7555" s="17" t="s">
        <v>20</v>
      </c>
      <c r="F7555" s="16" t="s">
        <v>23030</v>
      </c>
    </row>
    <row r="7556" spans="1:6" x14ac:dyDescent="0.25">
      <c r="A7556" s="16" t="s">
        <v>23031</v>
      </c>
      <c r="B7556" s="17" t="s">
        <v>23032</v>
      </c>
      <c r="C7556" s="17" t="s">
        <v>11</v>
      </c>
      <c r="D7556" s="17" t="s">
        <v>544</v>
      </c>
      <c r="E7556" s="17" t="s">
        <v>20</v>
      </c>
      <c r="F7556" s="16" t="s">
        <v>23033</v>
      </c>
    </row>
    <row r="7557" spans="1:6" x14ac:dyDescent="0.25">
      <c r="A7557" s="16" t="s">
        <v>23034</v>
      </c>
      <c r="B7557" s="17" t="s">
        <v>23035</v>
      </c>
      <c r="C7557" s="17" t="s">
        <v>11</v>
      </c>
      <c r="D7557" s="17" t="s">
        <v>32</v>
      </c>
      <c r="E7557" s="17" t="s">
        <v>20</v>
      </c>
      <c r="F7557" s="16" t="s">
        <v>23036</v>
      </c>
    </row>
    <row r="7558" spans="1:6" x14ac:dyDescent="0.25">
      <c r="A7558" s="16" t="s">
        <v>23037</v>
      </c>
      <c r="B7558" s="17" t="s">
        <v>23038</v>
      </c>
      <c r="C7558" s="17" t="s">
        <v>11</v>
      </c>
      <c r="D7558" s="17" t="s">
        <v>32</v>
      </c>
      <c r="E7558" s="17" t="s">
        <v>20</v>
      </c>
      <c r="F7558" s="16" t="s">
        <v>23039</v>
      </c>
    </row>
    <row r="7559" spans="1:6" x14ac:dyDescent="0.25">
      <c r="A7559" s="16" t="s">
        <v>23040</v>
      </c>
      <c r="B7559" s="17" t="s">
        <v>23041</v>
      </c>
      <c r="C7559" s="17" t="s">
        <v>11</v>
      </c>
      <c r="D7559" s="17" t="s">
        <v>32</v>
      </c>
      <c r="E7559" s="17" t="s">
        <v>20</v>
      </c>
      <c r="F7559" s="16" t="s">
        <v>23042</v>
      </c>
    </row>
    <row r="7560" spans="1:6" x14ac:dyDescent="0.25">
      <c r="A7560" s="16" t="s">
        <v>23043</v>
      </c>
      <c r="B7560" s="17" t="s">
        <v>23044</v>
      </c>
      <c r="C7560" s="17" t="s">
        <v>11</v>
      </c>
      <c r="D7560" s="17" t="s">
        <v>32</v>
      </c>
      <c r="E7560" s="17" t="s">
        <v>20</v>
      </c>
      <c r="F7560" s="16" t="s">
        <v>23045</v>
      </c>
    </row>
    <row r="7561" spans="1:6" x14ac:dyDescent="0.25">
      <c r="A7561" s="16" t="s">
        <v>23046</v>
      </c>
      <c r="B7561" s="17" t="s">
        <v>23047</v>
      </c>
      <c r="C7561" s="17" t="s">
        <v>11</v>
      </c>
      <c r="D7561" s="17" t="s">
        <v>32</v>
      </c>
      <c r="E7561" s="17" t="s">
        <v>20</v>
      </c>
      <c r="F7561" s="16" t="s">
        <v>23048</v>
      </c>
    </row>
    <row r="7562" spans="1:6" x14ac:dyDescent="0.25">
      <c r="A7562" s="16" t="s">
        <v>23049</v>
      </c>
      <c r="B7562" s="17" t="s">
        <v>23050</v>
      </c>
      <c r="C7562" s="17" t="s">
        <v>11</v>
      </c>
      <c r="D7562" s="17" t="s">
        <v>32</v>
      </c>
      <c r="E7562" s="17" t="s">
        <v>20</v>
      </c>
      <c r="F7562" s="16" t="s">
        <v>23051</v>
      </c>
    </row>
    <row r="7563" spans="1:6" x14ac:dyDescent="0.25">
      <c r="A7563" s="16" t="s">
        <v>23052</v>
      </c>
      <c r="B7563" s="17" t="s">
        <v>23053</v>
      </c>
      <c r="C7563" s="17" t="s">
        <v>11</v>
      </c>
      <c r="D7563" s="17" t="s">
        <v>32</v>
      </c>
      <c r="E7563" s="17" t="s">
        <v>20</v>
      </c>
      <c r="F7563" s="16" t="s">
        <v>23054</v>
      </c>
    </row>
    <row r="7564" spans="1:6" x14ac:dyDescent="0.25">
      <c r="A7564" s="16" t="s">
        <v>23055</v>
      </c>
      <c r="B7564" s="17" t="s">
        <v>23056</v>
      </c>
      <c r="C7564" s="17" t="s">
        <v>11</v>
      </c>
      <c r="D7564" s="17" t="s">
        <v>32</v>
      </c>
      <c r="E7564" s="17" t="s">
        <v>20</v>
      </c>
      <c r="F7564" s="16" t="s">
        <v>23057</v>
      </c>
    </row>
    <row r="7565" spans="1:6" x14ac:dyDescent="0.25">
      <c r="A7565" s="16" t="s">
        <v>23058</v>
      </c>
      <c r="B7565" s="17" t="s">
        <v>23059</v>
      </c>
      <c r="C7565" s="17" t="s">
        <v>11</v>
      </c>
      <c r="D7565" s="17" t="s">
        <v>83</v>
      </c>
      <c r="E7565" s="17" t="s">
        <v>20</v>
      </c>
      <c r="F7565" s="16" t="s">
        <v>23060</v>
      </c>
    </row>
    <row r="7566" spans="1:6" x14ac:dyDescent="0.25">
      <c r="A7566" s="16" t="s">
        <v>23061</v>
      </c>
      <c r="B7566" s="17" t="s">
        <v>23062</v>
      </c>
      <c r="C7566" s="17" t="s">
        <v>11</v>
      </c>
      <c r="D7566" s="17" t="s">
        <v>32</v>
      </c>
      <c r="E7566" s="17" t="s">
        <v>20</v>
      </c>
      <c r="F7566" s="16" t="s">
        <v>23063</v>
      </c>
    </row>
    <row r="7567" spans="1:6" x14ac:dyDescent="0.25">
      <c r="A7567" s="16" t="s">
        <v>23064</v>
      </c>
      <c r="B7567" s="17" t="s">
        <v>23065</v>
      </c>
      <c r="C7567" s="17" t="s">
        <v>11</v>
      </c>
      <c r="D7567" s="17" t="s">
        <v>32</v>
      </c>
      <c r="E7567" s="17" t="s">
        <v>20</v>
      </c>
      <c r="F7567" s="16" t="s">
        <v>23066</v>
      </c>
    </row>
  </sheetData>
  <pageMargins left="0.75" right="0.75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4"/>
  <sheetViews>
    <sheetView zoomScaleNormal="100" workbookViewId="0"/>
  </sheetViews>
  <sheetFormatPr baseColWidth="10" defaultColWidth="8.7109375" defaultRowHeight="15" x14ac:dyDescent="0.25"/>
  <cols>
    <col min="1" max="1" width="6" customWidth="1"/>
    <col min="2" max="2" width="24" customWidth="1"/>
    <col min="3" max="3" width="48" customWidth="1"/>
    <col min="4" max="4" width="11" customWidth="1"/>
    <col min="5" max="5" width="16" customWidth="1"/>
    <col min="6" max="7" width="13" customWidth="1"/>
    <col min="8" max="8" width="11" customWidth="1"/>
    <col min="10" max="10" width="24" customWidth="1"/>
    <col min="12" max="12" width="48" customWidth="1"/>
    <col min="13" max="13" width="8" customWidth="1"/>
    <col min="14" max="14" width="50" customWidth="1"/>
  </cols>
  <sheetData>
    <row r="1" spans="1:14" x14ac:dyDescent="0.25">
      <c r="A1" s="15" t="s">
        <v>23067</v>
      </c>
      <c r="B1" s="15" t="s">
        <v>23068</v>
      </c>
      <c r="C1" s="15" t="s">
        <v>23069</v>
      </c>
      <c r="D1" s="15" t="s">
        <v>23070</v>
      </c>
      <c r="E1" s="15" t="s">
        <v>23071</v>
      </c>
      <c r="F1" s="15" t="s">
        <v>23072</v>
      </c>
      <c r="G1" s="15" t="s">
        <v>23073</v>
      </c>
      <c r="H1" s="15" t="s">
        <v>23074</v>
      </c>
      <c r="J1" s="15" t="s">
        <v>23075</v>
      </c>
      <c r="L1" s="18" t="s">
        <v>23076</v>
      </c>
      <c r="M1" s="18" t="s">
        <v>23077</v>
      </c>
      <c r="N1" s="18" t="s">
        <v>23078</v>
      </c>
    </row>
    <row r="2" spans="1:14" x14ac:dyDescent="0.25">
      <c r="A2">
        <v>1</v>
      </c>
      <c r="B2" t="s">
        <v>23079</v>
      </c>
      <c r="C2" t="s">
        <v>23080</v>
      </c>
      <c r="D2">
        <v>9</v>
      </c>
      <c r="E2">
        <v>116</v>
      </c>
      <c r="F2">
        <v>75</v>
      </c>
      <c r="G2">
        <v>40</v>
      </c>
      <c r="H2">
        <v>240</v>
      </c>
      <c r="J2" t="s">
        <v>23079</v>
      </c>
      <c r="L2" t="str">
        <f t="shared" ref="L2:L33" si="0">IFERROR(INDEX($C$2:$C$154,MATCH(ROW()-1,$M$2:$M$154,0)),"")</f>
        <v>INSTITUCION EDUCATIVA DEPARTAMENTAL ALGARROBO</v>
      </c>
      <c r="M2">
        <f>IF($B2=REPORTE!$C$9,COUNTIF($B$2:$B2,REPORTE!$C$9),"")</f>
        <v>1</v>
      </c>
      <c r="N2" t="str">
        <f t="shared" ref="N2:N33" si="1">$B2&amp;"||"&amp;$C2</f>
        <v>ALGARROBO||INSTITUCION EDUCATIVA DEPARTAMENTAL ALGARROBO</v>
      </c>
    </row>
    <row r="3" spans="1:14" x14ac:dyDescent="0.25">
      <c r="A3">
        <v>2</v>
      </c>
      <c r="B3" t="s">
        <v>23079</v>
      </c>
      <c r="C3" t="s">
        <v>23081</v>
      </c>
      <c r="D3">
        <v>18</v>
      </c>
      <c r="E3">
        <v>191</v>
      </c>
      <c r="F3">
        <v>220</v>
      </c>
      <c r="G3">
        <v>120</v>
      </c>
      <c r="H3">
        <v>549</v>
      </c>
      <c r="J3" t="s">
        <v>23082</v>
      </c>
      <c r="L3" t="str">
        <f t="shared" si="0"/>
        <v>INSTITUCION EDUCATIVA DEPARTAMENTAL LOMA DEL BALSAMO</v>
      </c>
      <c r="M3">
        <f>IF($B3=REPORTE!$C$9,COUNTIF($B$2:$B3,REPORTE!$C$9),"")</f>
        <v>2</v>
      </c>
      <c r="N3" t="str">
        <f t="shared" si="1"/>
        <v>ALGARROBO||INSTITUCION EDUCATIVA DEPARTAMENTAL LOMA DEL BALSAMO</v>
      </c>
    </row>
    <row r="4" spans="1:14" x14ac:dyDescent="0.25">
      <c r="A4">
        <v>3</v>
      </c>
      <c r="B4" t="s">
        <v>23079</v>
      </c>
      <c r="C4" t="s">
        <v>23083</v>
      </c>
      <c r="D4">
        <v>6</v>
      </c>
      <c r="E4">
        <v>170</v>
      </c>
      <c r="F4">
        <v>0</v>
      </c>
      <c r="G4">
        <v>200</v>
      </c>
      <c r="H4">
        <v>376</v>
      </c>
      <c r="J4" t="s">
        <v>23084</v>
      </c>
      <c r="L4" t="str">
        <f t="shared" si="0"/>
        <v>INSTITUCION EDUCATIVA DEPARTAMENTAL RAFAEL NUÑEZ</v>
      </c>
      <c r="M4">
        <f>IF($B4=REPORTE!$C$9,COUNTIF($B$2:$B4,REPORTE!$C$9),"")</f>
        <v>3</v>
      </c>
      <c r="N4" t="str">
        <f t="shared" si="1"/>
        <v>ALGARROBO||INSTITUCION EDUCATIVA DEPARTAMENTAL RAFAEL NUÑEZ</v>
      </c>
    </row>
    <row r="5" spans="1:14" x14ac:dyDescent="0.25">
      <c r="A5">
        <v>4</v>
      </c>
      <c r="B5" t="s">
        <v>23082</v>
      </c>
      <c r="C5" t="s">
        <v>23085</v>
      </c>
      <c r="D5">
        <v>8</v>
      </c>
      <c r="E5">
        <v>507</v>
      </c>
      <c r="F5">
        <v>0</v>
      </c>
      <c r="G5">
        <v>300</v>
      </c>
      <c r="H5">
        <v>815</v>
      </c>
      <c r="J5" t="s">
        <v>23086</v>
      </c>
      <c r="L5" t="str">
        <f t="shared" si="0"/>
        <v/>
      </c>
      <c r="M5" t="str">
        <f>IF($B5=REPORTE!$C$9,COUNTIF($B$2:$B5,REPORTE!$C$9),"")</f>
        <v/>
      </c>
      <c r="N5" t="str">
        <f t="shared" si="1"/>
        <v>ARACATACA||INSTITUCION EDUCATIVA DEPARTAMENTAL ELVIA VIZCAINO DE TODARO</v>
      </c>
    </row>
    <row r="6" spans="1:14" x14ac:dyDescent="0.25">
      <c r="A6">
        <v>5</v>
      </c>
      <c r="B6" t="s">
        <v>23082</v>
      </c>
      <c r="C6" t="s">
        <v>23087</v>
      </c>
      <c r="D6">
        <v>0</v>
      </c>
      <c r="E6">
        <v>160</v>
      </c>
      <c r="F6">
        <v>140</v>
      </c>
      <c r="G6">
        <v>0</v>
      </c>
      <c r="H6">
        <v>300</v>
      </c>
      <c r="J6" t="s">
        <v>23088</v>
      </c>
      <c r="L6" t="str">
        <f t="shared" si="0"/>
        <v/>
      </c>
      <c r="M6" t="str">
        <f>IF($B6=REPORTE!$C$9,COUNTIF($B$2:$B6,REPORTE!$C$9),"")</f>
        <v/>
      </c>
      <c r="N6" t="str">
        <f t="shared" si="1"/>
        <v>ARACATACA||INSTITUCION EDUCATIVA DEPARTAMENTAL ETNOEDUCATIVO Y PLURICULTURAL GUMMAKU</v>
      </c>
    </row>
    <row r="7" spans="1:14" x14ac:dyDescent="0.25">
      <c r="A7">
        <v>6</v>
      </c>
      <c r="B7" t="s">
        <v>23082</v>
      </c>
      <c r="C7" t="s">
        <v>23089</v>
      </c>
      <c r="D7">
        <v>20</v>
      </c>
      <c r="E7">
        <v>169</v>
      </c>
      <c r="F7">
        <v>70</v>
      </c>
      <c r="G7">
        <v>200</v>
      </c>
      <c r="H7">
        <v>459</v>
      </c>
      <c r="J7" t="s">
        <v>23090</v>
      </c>
      <c r="L7" t="str">
        <f t="shared" si="0"/>
        <v/>
      </c>
      <c r="M7" t="str">
        <f>IF($B7=REPORTE!$C$9,COUNTIF($B$2:$B7,REPORTE!$C$9),"")</f>
        <v/>
      </c>
      <c r="N7" t="str">
        <f t="shared" si="1"/>
        <v>ARACATACA||INSTITUCION EDUCATIVA DEPARTAMENTAL FOSSY MARCOS MARIA</v>
      </c>
    </row>
    <row r="8" spans="1:14" x14ac:dyDescent="0.25">
      <c r="A8">
        <v>8</v>
      </c>
      <c r="B8" t="s">
        <v>23082</v>
      </c>
      <c r="C8" t="s">
        <v>23091</v>
      </c>
      <c r="D8">
        <v>10</v>
      </c>
      <c r="E8">
        <v>116</v>
      </c>
      <c r="F8">
        <v>0</v>
      </c>
      <c r="G8">
        <v>40</v>
      </c>
      <c r="H8">
        <v>166</v>
      </c>
      <c r="J8" t="s">
        <v>23092</v>
      </c>
      <c r="L8" t="str">
        <f t="shared" si="0"/>
        <v/>
      </c>
      <c r="M8" t="str">
        <f>IF($B8=REPORTE!$C$9,COUNTIF($B$2:$B8,REPORTE!$C$9),"")</f>
        <v/>
      </c>
      <c r="N8" t="str">
        <f t="shared" si="1"/>
        <v>ARACATACA||INSTITUCION EDUCATIVA DEPARTAMENTAL GABRIEL GARCIA MARQUEZ DE ARACATACA</v>
      </c>
    </row>
    <row r="9" spans="1:14" x14ac:dyDescent="0.25">
      <c r="A9">
        <v>9</v>
      </c>
      <c r="B9" t="s">
        <v>23082</v>
      </c>
      <c r="C9" t="s">
        <v>23093</v>
      </c>
      <c r="D9">
        <v>16</v>
      </c>
      <c r="E9">
        <v>179</v>
      </c>
      <c r="F9">
        <v>110</v>
      </c>
      <c r="G9">
        <v>280</v>
      </c>
      <c r="H9">
        <v>585</v>
      </c>
      <c r="J9" t="s">
        <v>23094</v>
      </c>
      <c r="L9" t="str">
        <f t="shared" si="0"/>
        <v/>
      </c>
      <c r="M9" t="str">
        <f>IF($B9=REPORTE!$C$9,COUNTIF($B$2:$B9,REPORTE!$C$9),"")</f>
        <v/>
      </c>
      <c r="N9" t="str">
        <f t="shared" si="1"/>
        <v>ARACATACA||INSTITUCION EDUCATIVA DEPARTAMENTAL JOHN F. KENNEDY</v>
      </c>
    </row>
    <row r="10" spans="1:14" x14ac:dyDescent="0.25">
      <c r="A10">
        <v>7</v>
      </c>
      <c r="B10" t="s">
        <v>23082</v>
      </c>
      <c r="C10" t="s">
        <v>23095</v>
      </c>
      <c r="D10">
        <v>10</v>
      </c>
      <c r="E10">
        <v>55</v>
      </c>
      <c r="F10">
        <v>0</v>
      </c>
      <c r="G10">
        <v>300</v>
      </c>
      <c r="H10">
        <v>365</v>
      </c>
      <c r="J10" t="s">
        <v>23096</v>
      </c>
      <c r="L10" t="str">
        <f t="shared" si="0"/>
        <v/>
      </c>
      <c r="M10" t="str">
        <f>IF($B10=REPORTE!$C$9,COUNTIF($B$2:$B10,REPORTE!$C$9),"")</f>
        <v/>
      </c>
      <c r="N10" t="str">
        <f t="shared" si="1"/>
        <v>ARACATACA||INSTITUCION EDUCATIVA DEPARTAMENTAL RURAL DE BUENOS AIRES</v>
      </c>
    </row>
    <row r="11" spans="1:14" x14ac:dyDescent="0.25">
      <c r="A11">
        <v>10</v>
      </c>
      <c r="B11" t="s">
        <v>23084</v>
      </c>
      <c r="C11" t="s">
        <v>23097</v>
      </c>
      <c r="D11">
        <v>22</v>
      </c>
      <c r="E11">
        <v>110</v>
      </c>
      <c r="F11">
        <v>257</v>
      </c>
      <c r="G11">
        <v>160</v>
      </c>
      <c r="H11">
        <v>549</v>
      </c>
      <c r="J11" t="s">
        <v>23098</v>
      </c>
      <c r="L11" t="str">
        <f t="shared" si="0"/>
        <v/>
      </c>
      <c r="M11" t="str">
        <f>IF($B11=REPORTE!$C$9,COUNTIF($B$2:$B11,REPORTE!$C$9),"")</f>
        <v/>
      </c>
      <c r="N11" t="str">
        <f t="shared" si="1"/>
        <v>ARIGUANÍ||INSTITUCION EDUCATIVA DEPARTAMENTAL LICEO ARIGUANI</v>
      </c>
    </row>
    <row r="12" spans="1:14" x14ac:dyDescent="0.25">
      <c r="A12">
        <v>11</v>
      </c>
      <c r="B12" t="s">
        <v>23084</v>
      </c>
      <c r="C12" t="s">
        <v>23099</v>
      </c>
      <c r="D12">
        <v>10</v>
      </c>
      <c r="E12">
        <v>468</v>
      </c>
      <c r="F12">
        <v>299</v>
      </c>
      <c r="G12">
        <v>60</v>
      </c>
      <c r="H12">
        <v>837</v>
      </c>
      <c r="J12" t="s">
        <v>23100</v>
      </c>
      <c r="L12" t="str">
        <f t="shared" si="0"/>
        <v/>
      </c>
      <c r="M12" t="str">
        <f>IF($B12=REPORTE!$C$9,COUNTIF($B$2:$B12,REPORTE!$C$9),"")</f>
        <v/>
      </c>
      <c r="N12" t="str">
        <f t="shared" si="1"/>
        <v>ARIGUANÍ||INSTITUCION EDUCATIVA DEPARTAMENTAL SIMON BOLIVAR</v>
      </c>
    </row>
    <row r="13" spans="1:14" x14ac:dyDescent="0.25">
      <c r="A13">
        <v>12</v>
      </c>
      <c r="B13" t="s">
        <v>23084</v>
      </c>
      <c r="C13" t="s">
        <v>23101</v>
      </c>
      <c r="D13">
        <v>12</v>
      </c>
      <c r="E13">
        <v>217</v>
      </c>
      <c r="F13">
        <v>132</v>
      </c>
      <c r="G13">
        <v>160</v>
      </c>
      <c r="H13">
        <v>521</v>
      </c>
      <c r="J13" t="s">
        <v>23102</v>
      </c>
      <c r="L13" t="str">
        <f t="shared" si="0"/>
        <v/>
      </c>
      <c r="M13" t="str">
        <f>IF($B13=REPORTE!$C$9,COUNTIF($B$2:$B13,REPORTE!$C$9),"")</f>
        <v/>
      </c>
      <c r="N13" t="str">
        <f t="shared" si="1"/>
        <v>ARIGUANÍ||INSTITUCION EDUCATIVA DEPARTAMENTAL TECNICA AGROPECUARIA BENJAMIN HERRERA</v>
      </c>
    </row>
    <row r="14" spans="1:14" x14ac:dyDescent="0.25">
      <c r="A14">
        <v>13</v>
      </c>
      <c r="B14" t="s">
        <v>23084</v>
      </c>
      <c r="C14" t="s">
        <v>23103</v>
      </c>
      <c r="D14">
        <v>0</v>
      </c>
      <c r="E14">
        <v>72</v>
      </c>
      <c r="F14">
        <v>35</v>
      </c>
      <c r="G14">
        <v>20</v>
      </c>
      <c r="H14">
        <v>127</v>
      </c>
      <c r="J14" t="s">
        <v>23104</v>
      </c>
      <c r="L14" t="str">
        <f t="shared" si="0"/>
        <v/>
      </c>
      <c r="M14" t="str">
        <f>IF($B14=REPORTE!$C$9,COUNTIF($B$2:$B14,REPORTE!$C$9),"")</f>
        <v/>
      </c>
      <c r="N14" t="str">
        <f t="shared" si="1"/>
        <v>ARIGUANÍ||INSTITUCION EDUCATIVA DEPARTAMENTAL TECNICA AGROPECUARIA CARMEN DE ARIGUANI</v>
      </c>
    </row>
    <row r="15" spans="1:14" x14ac:dyDescent="0.25">
      <c r="A15">
        <v>14</v>
      </c>
      <c r="B15" t="s">
        <v>23086</v>
      </c>
      <c r="C15" t="s">
        <v>23105</v>
      </c>
      <c r="D15">
        <v>18</v>
      </c>
      <c r="E15">
        <v>0</v>
      </c>
      <c r="F15">
        <v>0</v>
      </c>
      <c r="G15">
        <v>20</v>
      </c>
      <c r="H15">
        <v>38</v>
      </c>
      <c r="J15" t="s">
        <v>23106</v>
      </c>
      <c r="L15" t="str">
        <f t="shared" si="0"/>
        <v/>
      </c>
      <c r="M15" t="str">
        <f>IF($B15=REPORTE!$C$9,COUNTIF($B$2:$B15,REPORTE!$C$9),"")</f>
        <v/>
      </c>
      <c r="N15" t="str">
        <f t="shared" si="1"/>
        <v>CERRO SAN ANTONIO||CENTRO EDUCATIVO DEPARTAMENTAL SAN ANTONIO</v>
      </c>
    </row>
    <row r="16" spans="1:14" x14ac:dyDescent="0.25">
      <c r="A16">
        <v>15</v>
      </c>
      <c r="B16" t="s">
        <v>23086</v>
      </c>
      <c r="C16" t="s">
        <v>23107</v>
      </c>
      <c r="D16">
        <v>18</v>
      </c>
      <c r="E16">
        <v>179</v>
      </c>
      <c r="F16">
        <v>0</v>
      </c>
      <c r="G16">
        <v>0</v>
      </c>
      <c r="H16">
        <v>197</v>
      </c>
      <c r="J16" t="s">
        <v>23108</v>
      </c>
      <c r="L16" t="str">
        <f t="shared" si="0"/>
        <v/>
      </c>
      <c r="M16" t="str">
        <f>IF($B16=REPORTE!$C$9,COUNTIF($B$2:$B16,REPORTE!$C$9),"")</f>
        <v/>
      </c>
      <c r="N16" t="str">
        <f t="shared" si="1"/>
        <v>CERRO SAN ANTONIO||INSTITUCION EDUCATIVA DEPARTAMENTAL DE BASICA Y MEDIA SAN ANTONIO</v>
      </c>
    </row>
    <row r="17" spans="1:14" x14ac:dyDescent="0.25">
      <c r="A17">
        <v>16</v>
      </c>
      <c r="B17" t="s">
        <v>23088</v>
      </c>
      <c r="C17" t="s">
        <v>23109</v>
      </c>
      <c r="D17">
        <v>0</v>
      </c>
      <c r="E17">
        <v>0</v>
      </c>
      <c r="F17">
        <v>0</v>
      </c>
      <c r="G17">
        <v>0</v>
      </c>
      <c r="H17">
        <v>0</v>
      </c>
      <c r="J17" t="s">
        <v>23110</v>
      </c>
      <c r="L17" t="str">
        <f t="shared" si="0"/>
        <v/>
      </c>
      <c r="M17" t="str">
        <f>IF($B17=REPORTE!$C$9,COUNTIF($B$2:$B17,REPORTE!$C$9),"")</f>
        <v/>
      </c>
      <c r="N17" t="str">
        <f t="shared" si="1"/>
        <v>CHIVOLO||INSTITUCION EDUCATIVA DEPARTAMENTAL SANTA ROSA DE LIMA</v>
      </c>
    </row>
    <row r="18" spans="1:14" x14ac:dyDescent="0.25">
      <c r="A18">
        <v>17</v>
      </c>
      <c r="B18" t="s">
        <v>23088</v>
      </c>
      <c r="C18" t="s">
        <v>23111</v>
      </c>
      <c r="D18">
        <v>2</v>
      </c>
      <c r="E18">
        <v>224</v>
      </c>
      <c r="F18">
        <v>180</v>
      </c>
      <c r="G18">
        <v>100</v>
      </c>
      <c r="H18">
        <v>506</v>
      </c>
      <c r="J18" t="s">
        <v>23112</v>
      </c>
      <c r="L18" t="str">
        <f t="shared" si="0"/>
        <v/>
      </c>
      <c r="M18" t="str">
        <f>IF($B18=REPORTE!$C$9,COUNTIF($B$2:$B18,REPORTE!$C$9),"")</f>
        <v/>
      </c>
      <c r="N18" t="str">
        <f t="shared" si="1"/>
        <v>CHIVOLO||INSTITUCION EDUCATIVA DEPARTAMENTAL TECNICA FRANCISCO JOSE DE CALDAS</v>
      </c>
    </row>
    <row r="19" spans="1:14" x14ac:dyDescent="0.25">
      <c r="A19">
        <v>18</v>
      </c>
      <c r="B19" t="s">
        <v>23088</v>
      </c>
      <c r="C19" t="s">
        <v>23113</v>
      </c>
      <c r="D19">
        <v>4</v>
      </c>
      <c r="E19">
        <v>271</v>
      </c>
      <c r="F19">
        <v>45</v>
      </c>
      <c r="G19">
        <v>120</v>
      </c>
      <c r="H19">
        <v>440</v>
      </c>
      <c r="J19" t="s">
        <v>23114</v>
      </c>
      <c r="L19" t="str">
        <f t="shared" si="0"/>
        <v/>
      </c>
      <c r="M19" t="str">
        <f>IF($B19=REPORTE!$C$9,COUNTIF($B$2:$B19,REPORTE!$C$9),"")</f>
        <v/>
      </c>
      <c r="N19" t="str">
        <f t="shared" si="1"/>
        <v>CHIVOLO||INSTITUCION EDUCATIVA TECNICA DEPARTAMENTAL LICEO SANTANDER</v>
      </c>
    </row>
    <row r="20" spans="1:14" x14ac:dyDescent="0.25">
      <c r="A20">
        <v>19</v>
      </c>
      <c r="B20" t="s">
        <v>23088</v>
      </c>
      <c r="C20" t="s">
        <v>23115</v>
      </c>
      <c r="D20">
        <v>1</v>
      </c>
      <c r="E20">
        <v>538</v>
      </c>
      <c r="F20">
        <v>0</v>
      </c>
      <c r="G20">
        <v>180</v>
      </c>
      <c r="H20">
        <v>719</v>
      </c>
      <c r="J20" t="s">
        <v>23116</v>
      </c>
      <c r="L20" t="str">
        <f t="shared" si="0"/>
        <v/>
      </c>
      <c r="M20" t="str">
        <f>IF($B20=REPORTE!$C$9,COUNTIF($B$2:$B20,REPORTE!$C$9),"")</f>
        <v/>
      </c>
      <c r="N20" t="str">
        <f t="shared" si="1"/>
        <v>CHIVOLO||INSTITUCION EDUCATIVA TECNICA DEPARTAMENTAL SAN JUDAS TADEO</v>
      </c>
    </row>
    <row r="21" spans="1:14" x14ac:dyDescent="0.25">
      <c r="A21">
        <v>20</v>
      </c>
      <c r="B21" t="s">
        <v>23090</v>
      </c>
      <c r="C21" t="s">
        <v>23117</v>
      </c>
      <c r="D21">
        <v>6</v>
      </c>
      <c r="E21">
        <v>44</v>
      </c>
      <c r="F21">
        <v>0</v>
      </c>
      <c r="G21">
        <v>120</v>
      </c>
      <c r="H21">
        <v>170</v>
      </c>
      <c r="J21" t="s">
        <v>23118</v>
      </c>
      <c r="L21" t="str">
        <f t="shared" si="0"/>
        <v/>
      </c>
      <c r="M21" t="str">
        <f>IF($B21=REPORTE!$C$9,COUNTIF($B$2:$B21,REPORTE!$C$9),"")</f>
        <v/>
      </c>
      <c r="N21" t="str">
        <f t="shared" si="1"/>
        <v>CONCORDIA||INSTITUCION EDUCATIVA DEPARTAMENTAL DE BASICA Y MEDIA DE CONCORDIA</v>
      </c>
    </row>
    <row r="22" spans="1:14" x14ac:dyDescent="0.25">
      <c r="A22">
        <v>21</v>
      </c>
      <c r="B22" t="s">
        <v>23090</v>
      </c>
      <c r="C22" t="s">
        <v>23119</v>
      </c>
      <c r="D22">
        <v>12</v>
      </c>
      <c r="E22">
        <v>0</v>
      </c>
      <c r="F22">
        <v>0</v>
      </c>
      <c r="G22">
        <v>0</v>
      </c>
      <c r="H22">
        <v>12</v>
      </c>
      <c r="J22" t="s">
        <v>23120</v>
      </c>
      <c r="L22" t="str">
        <f t="shared" si="0"/>
        <v/>
      </c>
      <c r="M22" t="str">
        <f>IF($B22=REPORTE!$C$9,COUNTIF($B$2:$B22,REPORTE!$C$9),"")</f>
        <v/>
      </c>
      <c r="N22" t="str">
        <f t="shared" si="1"/>
        <v>CONCORDIA||INSTITUCION EDUCATIVA DEPARTAMENTAL DE BASICA Y MEDIA SANTA CRUZ DE BALSAMO</v>
      </c>
    </row>
    <row r="23" spans="1:14" x14ac:dyDescent="0.25">
      <c r="A23">
        <v>22</v>
      </c>
      <c r="B23" t="s">
        <v>23090</v>
      </c>
      <c r="C23" t="s">
        <v>23121</v>
      </c>
      <c r="D23">
        <v>8</v>
      </c>
      <c r="E23">
        <v>64</v>
      </c>
      <c r="F23">
        <v>0</v>
      </c>
      <c r="G23">
        <v>20</v>
      </c>
      <c r="H23">
        <v>92</v>
      </c>
      <c r="J23" t="s">
        <v>23122</v>
      </c>
      <c r="L23" t="str">
        <f t="shared" si="0"/>
        <v/>
      </c>
      <c r="M23" t="str">
        <f>IF($B23=REPORTE!$C$9,COUNTIF($B$2:$B23,REPORTE!$C$9),"")</f>
        <v/>
      </c>
      <c r="N23" t="str">
        <f t="shared" si="1"/>
        <v>CONCORDIA||INSTITUCION EDUCATIVA DEPARTAMENTAL JOSEFA MARIA ROMERO DE LA CRUZ</v>
      </c>
    </row>
    <row r="24" spans="1:14" x14ac:dyDescent="0.25">
      <c r="A24">
        <v>23</v>
      </c>
      <c r="B24" t="s">
        <v>23090</v>
      </c>
      <c r="C24" t="s">
        <v>23123</v>
      </c>
      <c r="D24">
        <v>8</v>
      </c>
      <c r="E24">
        <v>22</v>
      </c>
      <c r="F24">
        <v>0</v>
      </c>
      <c r="G24">
        <v>60</v>
      </c>
      <c r="H24">
        <v>90</v>
      </c>
      <c r="J24" t="s">
        <v>23124</v>
      </c>
      <c r="L24" t="str">
        <f t="shared" si="0"/>
        <v/>
      </c>
      <c r="M24" t="str">
        <f>IF($B24=REPORTE!$C$9,COUNTIF($B$2:$B24,REPORTE!$C$9),"")</f>
        <v/>
      </c>
      <c r="N24" t="str">
        <f t="shared" si="1"/>
        <v>CONCORDIA||INSTITUCION EDUCATIVA DEPARTAMENTAL LUZ MARINA CABALLERO</v>
      </c>
    </row>
    <row r="25" spans="1:14" x14ac:dyDescent="0.25">
      <c r="A25">
        <v>24</v>
      </c>
      <c r="B25" t="s">
        <v>23092</v>
      </c>
      <c r="C25" t="s">
        <v>23125</v>
      </c>
      <c r="D25">
        <v>0</v>
      </c>
      <c r="E25">
        <v>179</v>
      </c>
      <c r="F25">
        <v>0</v>
      </c>
      <c r="G25">
        <v>140</v>
      </c>
      <c r="H25">
        <v>319</v>
      </c>
      <c r="J25" t="s">
        <v>23126</v>
      </c>
      <c r="L25" t="str">
        <f t="shared" si="0"/>
        <v/>
      </c>
      <c r="M25" t="str">
        <f>IF($B25=REPORTE!$C$9,COUNTIF($B$2:$B25,REPORTE!$C$9),"")</f>
        <v/>
      </c>
      <c r="N25" t="str">
        <f t="shared" si="1"/>
        <v>EL BANCO||INSTITUCION EDUCATIVA DEPARTAMENTAL ANAXIMENES TORRES OSPINO</v>
      </c>
    </row>
    <row r="26" spans="1:14" x14ac:dyDescent="0.25">
      <c r="A26">
        <v>25</v>
      </c>
      <c r="B26" t="s">
        <v>23092</v>
      </c>
      <c r="C26" t="s">
        <v>23127</v>
      </c>
      <c r="D26">
        <v>2</v>
      </c>
      <c r="E26">
        <v>423</v>
      </c>
      <c r="F26">
        <v>0</v>
      </c>
      <c r="G26">
        <v>40</v>
      </c>
      <c r="H26">
        <v>465</v>
      </c>
      <c r="J26" t="s">
        <v>23128</v>
      </c>
      <c r="L26" t="str">
        <f t="shared" si="0"/>
        <v/>
      </c>
      <c r="M26" t="str">
        <f>IF($B26=REPORTE!$C$9,COUNTIF($B$2:$B26,REPORTE!$C$9),"")</f>
        <v/>
      </c>
      <c r="N26" t="str">
        <f t="shared" si="1"/>
        <v>EL BANCO||INSTITUCION EDUCATIVA DEPARTAMENTAL ARCESIO CALIZ AMADOR</v>
      </c>
    </row>
    <row r="27" spans="1:14" x14ac:dyDescent="0.25">
      <c r="A27">
        <v>26</v>
      </c>
      <c r="B27" t="s">
        <v>23092</v>
      </c>
      <c r="C27" t="s">
        <v>23129</v>
      </c>
      <c r="D27">
        <v>4</v>
      </c>
      <c r="E27">
        <v>89</v>
      </c>
      <c r="F27">
        <v>0</v>
      </c>
      <c r="G27">
        <v>40</v>
      </c>
      <c r="H27">
        <v>133</v>
      </c>
      <c r="J27" t="s">
        <v>23130</v>
      </c>
      <c r="L27" t="str">
        <f t="shared" si="0"/>
        <v/>
      </c>
      <c r="M27" t="str">
        <f>IF($B27=REPORTE!$C$9,COUNTIF($B$2:$B27,REPORTE!$C$9),"")</f>
        <v/>
      </c>
      <c r="N27" t="str">
        <f t="shared" si="1"/>
        <v>EL BANCO||INSTITUCION EDUCATIVA DEPARTAMENTAL ELECTO CALIZ MARTINEZ</v>
      </c>
    </row>
    <row r="28" spans="1:14" x14ac:dyDescent="0.25">
      <c r="A28">
        <v>27</v>
      </c>
      <c r="B28" t="s">
        <v>23092</v>
      </c>
      <c r="C28" t="s">
        <v>23131</v>
      </c>
      <c r="D28">
        <v>4</v>
      </c>
      <c r="E28">
        <v>116</v>
      </c>
      <c r="F28">
        <v>0</v>
      </c>
      <c r="G28">
        <v>20</v>
      </c>
      <c r="H28">
        <v>140</v>
      </c>
      <c r="J28" t="s">
        <v>23132</v>
      </c>
      <c r="L28" t="str">
        <f t="shared" si="0"/>
        <v/>
      </c>
      <c r="M28" t="str">
        <f>IF($B28=REPORTE!$C$9,COUNTIF($B$2:$B28,REPORTE!$C$9),"")</f>
        <v/>
      </c>
      <c r="N28" t="str">
        <f t="shared" si="1"/>
        <v>EL BANCO||INSTITUCION EDUCATIVA DEPARTAMENTAL GILBERTO ACUÑA RANGEL</v>
      </c>
    </row>
    <row r="29" spans="1:14" x14ac:dyDescent="0.25">
      <c r="A29">
        <v>28</v>
      </c>
      <c r="B29" t="s">
        <v>23092</v>
      </c>
      <c r="C29" t="s">
        <v>23133</v>
      </c>
      <c r="D29">
        <v>18</v>
      </c>
      <c r="E29">
        <v>210</v>
      </c>
      <c r="F29">
        <v>10</v>
      </c>
      <c r="G29">
        <v>0</v>
      </c>
      <c r="H29">
        <v>238</v>
      </c>
      <c r="J29" t="s">
        <v>23134</v>
      </c>
      <c r="L29" t="str">
        <f t="shared" si="0"/>
        <v/>
      </c>
      <c r="M29" t="str">
        <f>IF($B29=REPORTE!$C$9,COUNTIF($B$2:$B29,REPORTE!$C$9),"")</f>
        <v/>
      </c>
      <c r="N29" t="str">
        <f t="shared" si="1"/>
        <v>EL BANCO||INSTITUCION EDUCATIVA DEPARTAMENTAL JOSE BENITO BARROS PALOMINO</v>
      </c>
    </row>
    <row r="30" spans="1:14" x14ac:dyDescent="0.25">
      <c r="A30">
        <v>29</v>
      </c>
      <c r="B30" t="s">
        <v>23092</v>
      </c>
      <c r="C30" t="s">
        <v>23135</v>
      </c>
      <c r="D30">
        <v>12</v>
      </c>
      <c r="E30">
        <v>90</v>
      </c>
      <c r="F30">
        <v>0</v>
      </c>
      <c r="G30">
        <v>40</v>
      </c>
      <c r="H30">
        <v>142</v>
      </c>
      <c r="L30" t="str">
        <f t="shared" si="0"/>
        <v/>
      </c>
      <c r="M30" t="str">
        <f>IF($B30=REPORTE!$C$9,COUNTIF($B$2:$B30,REPORTE!$C$9),"")</f>
        <v/>
      </c>
      <c r="N30" t="str">
        <f t="shared" si="1"/>
        <v>EL BANCO||INSTITUCION EDUCATIVA DEPARTAMENTAL JOSE DE LA PAZ VANEGAS ORTIZ</v>
      </c>
    </row>
    <row r="31" spans="1:14" x14ac:dyDescent="0.25">
      <c r="A31">
        <v>30</v>
      </c>
      <c r="B31" t="s">
        <v>23092</v>
      </c>
      <c r="C31" t="s">
        <v>23136</v>
      </c>
      <c r="D31">
        <v>4</v>
      </c>
      <c r="E31">
        <v>894</v>
      </c>
      <c r="F31">
        <v>385</v>
      </c>
      <c r="G31">
        <v>760</v>
      </c>
      <c r="H31">
        <v>2043</v>
      </c>
      <c r="L31" t="str">
        <f t="shared" si="0"/>
        <v/>
      </c>
      <c r="M31" t="str">
        <f>IF($B31=REPORTE!$C$9,COUNTIF($B$2:$B31,REPORTE!$C$9),"")</f>
        <v/>
      </c>
      <c r="N31" t="str">
        <f t="shared" si="1"/>
        <v>EL BANCO||INSTITUCION EDUCATIVA TECNICA DEPARTAMENTAL LORENCITA VILLEGAS DE SANTOS</v>
      </c>
    </row>
    <row r="32" spans="1:14" x14ac:dyDescent="0.25">
      <c r="A32">
        <v>31</v>
      </c>
      <c r="B32" t="s">
        <v>23092</v>
      </c>
      <c r="C32" t="s">
        <v>23137</v>
      </c>
      <c r="D32">
        <v>21</v>
      </c>
      <c r="E32">
        <v>155</v>
      </c>
      <c r="F32">
        <v>0</v>
      </c>
      <c r="G32">
        <v>80</v>
      </c>
      <c r="H32">
        <v>256</v>
      </c>
      <c r="L32" t="str">
        <f t="shared" si="0"/>
        <v/>
      </c>
      <c r="M32" t="str">
        <f>IF($B32=REPORTE!$C$9,COUNTIF($B$2:$B32,REPORTE!$C$9),"")</f>
        <v/>
      </c>
      <c r="N32" t="str">
        <f t="shared" si="1"/>
        <v>EL BANCO||INSTITUCION EDUCATIVA DEPARTAMENTAL OSCAR PISCIOTTI NUMA</v>
      </c>
    </row>
    <row r="33" spans="1:14" x14ac:dyDescent="0.25">
      <c r="A33">
        <v>32</v>
      </c>
      <c r="B33" t="s">
        <v>23092</v>
      </c>
      <c r="C33" t="s">
        <v>23138</v>
      </c>
      <c r="D33">
        <v>18</v>
      </c>
      <c r="E33">
        <v>44</v>
      </c>
      <c r="F33">
        <v>0</v>
      </c>
      <c r="G33">
        <v>60</v>
      </c>
      <c r="H33">
        <v>122</v>
      </c>
      <c r="L33" t="str">
        <f t="shared" si="0"/>
        <v/>
      </c>
      <c r="M33" t="str">
        <f>IF($B33=REPORTE!$C$9,COUNTIF($B$2:$B33,REPORTE!$C$9),"")</f>
        <v/>
      </c>
      <c r="N33" t="str">
        <f t="shared" si="1"/>
        <v>EL BANCO||INSTITUCION EDUCATIVA DEPARTAMENTAL PABLO NIEBLES DE GUAYABAL</v>
      </c>
    </row>
    <row r="34" spans="1:14" x14ac:dyDescent="0.25">
      <c r="A34">
        <v>33</v>
      </c>
      <c r="B34" t="s">
        <v>23092</v>
      </c>
      <c r="C34" t="s">
        <v>23139</v>
      </c>
      <c r="D34">
        <v>12</v>
      </c>
      <c r="E34">
        <v>69</v>
      </c>
      <c r="F34">
        <v>0</v>
      </c>
      <c r="G34">
        <v>40</v>
      </c>
      <c r="H34">
        <v>121</v>
      </c>
      <c r="L34" t="str">
        <f t="shared" ref="L34:L65" si="2">IFERROR(INDEX($C$2:$C$154,MATCH(ROW()-1,$M$2:$M$154,0)),"")</f>
        <v/>
      </c>
      <c r="M34" t="str">
        <f>IF($B34=REPORTE!$C$9,COUNTIF($B$2:$B34,REPORTE!$C$9),"")</f>
        <v/>
      </c>
      <c r="N34" t="str">
        <f t="shared" ref="N34:N65" si="3">$B34&amp;"||"&amp;$C34</f>
        <v>EL BANCO||INSTITUCION EDUCATIVA DEPARTAMENTAL ROBERTO ROBLES DE ALGARROBAL</v>
      </c>
    </row>
    <row r="35" spans="1:14" x14ac:dyDescent="0.25">
      <c r="A35">
        <v>34</v>
      </c>
      <c r="B35" t="s">
        <v>23092</v>
      </c>
      <c r="C35" t="s">
        <v>23140</v>
      </c>
      <c r="D35">
        <v>6</v>
      </c>
      <c r="E35">
        <v>50</v>
      </c>
      <c r="F35">
        <v>154</v>
      </c>
      <c r="G35">
        <v>40</v>
      </c>
      <c r="H35">
        <v>250</v>
      </c>
      <c r="L35" t="str">
        <f t="shared" si="2"/>
        <v/>
      </c>
      <c r="M35" t="str">
        <f>IF($B35=REPORTE!$C$9,COUNTIF($B$2:$B35,REPORTE!$C$9),"")</f>
        <v/>
      </c>
      <c r="N35" t="str">
        <f t="shared" si="3"/>
        <v>EL BANCO||INSTITUCION EDUCATIVA DEPARTAMENTAL RURAL ENRIQUE QUINTERO JAIMES</v>
      </c>
    </row>
    <row r="36" spans="1:14" x14ac:dyDescent="0.25">
      <c r="A36">
        <v>35</v>
      </c>
      <c r="B36" t="s">
        <v>23092</v>
      </c>
      <c r="C36" t="s">
        <v>23141</v>
      </c>
      <c r="D36">
        <v>18</v>
      </c>
      <c r="E36">
        <v>85</v>
      </c>
      <c r="F36">
        <v>0</v>
      </c>
      <c r="G36">
        <v>0</v>
      </c>
      <c r="H36">
        <v>103</v>
      </c>
      <c r="L36" t="str">
        <f t="shared" si="2"/>
        <v/>
      </c>
      <c r="M36" t="str">
        <f>IF($B36=REPORTE!$C$9,COUNTIF($B$2:$B36,REPORTE!$C$9),"")</f>
        <v/>
      </c>
      <c r="N36" t="str">
        <f t="shared" si="3"/>
        <v>EL BANCO||INSTITUCION EDUCATIVA DEPARTAMENTAL RURAL RITA CUELLO DE VANEGAS</v>
      </c>
    </row>
    <row r="37" spans="1:14" x14ac:dyDescent="0.25">
      <c r="A37">
        <v>36</v>
      </c>
      <c r="B37" t="s">
        <v>23092</v>
      </c>
      <c r="C37" t="s">
        <v>23142</v>
      </c>
      <c r="D37">
        <v>9</v>
      </c>
      <c r="E37">
        <v>45</v>
      </c>
      <c r="F37">
        <v>0</v>
      </c>
      <c r="G37">
        <v>100</v>
      </c>
      <c r="H37">
        <v>154</v>
      </c>
      <c r="L37" t="str">
        <f t="shared" si="2"/>
        <v/>
      </c>
      <c r="M37" t="str">
        <f>IF($B37=REPORTE!$C$9,COUNTIF($B$2:$B37,REPORTE!$C$9),"")</f>
        <v/>
      </c>
      <c r="N37" t="str">
        <f t="shared" si="3"/>
        <v>EL BANCO||INSTITUCION EDUCATIVA DEPARTAMENTAL RURAL SILVIA COTES DE BISWELL</v>
      </c>
    </row>
    <row r="38" spans="1:14" x14ac:dyDescent="0.25">
      <c r="A38">
        <v>37</v>
      </c>
      <c r="B38" t="s">
        <v>23092</v>
      </c>
      <c r="C38" t="s">
        <v>23143</v>
      </c>
      <c r="D38">
        <v>14</v>
      </c>
      <c r="E38">
        <v>444</v>
      </c>
      <c r="F38">
        <v>0</v>
      </c>
      <c r="G38">
        <v>120</v>
      </c>
      <c r="H38">
        <v>578</v>
      </c>
      <c r="L38" t="str">
        <f t="shared" si="2"/>
        <v/>
      </c>
      <c r="M38" t="str">
        <f>IF($B38=REPORTE!$C$9,COUNTIF($B$2:$B38,REPORTE!$C$9),"")</f>
        <v/>
      </c>
      <c r="N38" t="str">
        <f t="shared" si="3"/>
        <v>EL BANCO||INSTITUCION EDUCATIVA DEPARTAMENTAL SANTA TERESA DE JESUS</v>
      </c>
    </row>
    <row r="39" spans="1:14" x14ac:dyDescent="0.25">
      <c r="A39">
        <v>38</v>
      </c>
      <c r="B39" t="s">
        <v>23092</v>
      </c>
      <c r="C39" t="s">
        <v>23144</v>
      </c>
      <c r="D39">
        <v>12</v>
      </c>
      <c r="E39">
        <v>100</v>
      </c>
      <c r="F39">
        <v>223</v>
      </c>
      <c r="G39">
        <v>140</v>
      </c>
      <c r="H39">
        <v>475</v>
      </c>
      <c r="L39" t="str">
        <f t="shared" si="2"/>
        <v/>
      </c>
      <c r="M39" t="str">
        <f>IF($B39=REPORTE!$C$9,COUNTIF($B$2:$B39,REPORTE!$C$9),"")</f>
        <v/>
      </c>
      <c r="N39" t="str">
        <f t="shared" si="3"/>
        <v>EL BANCO||INSTITUCION ETNOEDUCATIVA DEPARTAMENTAL MITSILOU CAMPBELL</v>
      </c>
    </row>
    <row r="40" spans="1:14" x14ac:dyDescent="0.25">
      <c r="A40">
        <v>41</v>
      </c>
      <c r="B40" t="s">
        <v>23094</v>
      </c>
      <c r="C40" t="s">
        <v>23145</v>
      </c>
      <c r="D40">
        <v>8</v>
      </c>
      <c r="E40">
        <v>185</v>
      </c>
      <c r="F40">
        <v>0</v>
      </c>
      <c r="G40">
        <v>60</v>
      </c>
      <c r="H40">
        <v>253</v>
      </c>
      <c r="L40" t="str">
        <f t="shared" si="2"/>
        <v/>
      </c>
      <c r="M40" t="str">
        <f>IF($B40=REPORTE!$C$9,COUNTIF($B$2:$B40,REPORTE!$C$9),"")</f>
        <v/>
      </c>
      <c r="N40" t="str">
        <f t="shared" si="3"/>
        <v>EL PIÑON||INSTITUCION EDUCATIVA DEPARTAMENTAL AGRICOLA DEL PIÑON</v>
      </c>
    </row>
    <row r="41" spans="1:14" x14ac:dyDescent="0.25">
      <c r="A41">
        <v>39</v>
      </c>
      <c r="B41" t="s">
        <v>23094</v>
      </c>
      <c r="C41" t="s">
        <v>23146</v>
      </c>
      <c r="D41">
        <v>2</v>
      </c>
      <c r="E41">
        <v>110</v>
      </c>
      <c r="F41">
        <v>0</v>
      </c>
      <c r="G41">
        <v>0</v>
      </c>
      <c r="H41">
        <v>112</v>
      </c>
      <c r="L41" t="str">
        <f t="shared" si="2"/>
        <v/>
      </c>
      <c r="M41" t="str">
        <f>IF($B41=REPORTE!$C$9,COUNTIF($B$2:$B41,REPORTE!$C$9),"")</f>
        <v/>
      </c>
      <c r="N41" t="str">
        <f t="shared" si="3"/>
        <v>EL PIÑON||INSTITUCION EDUCATIVA DEPARTAMENTAL DE CARRETO</v>
      </c>
    </row>
    <row r="42" spans="1:14" x14ac:dyDescent="0.25">
      <c r="A42">
        <v>40</v>
      </c>
      <c r="B42" t="s">
        <v>23094</v>
      </c>
      <c r="C42" t="s">
        <v>23147</v>
      </c>
      <c r="D42">
        <v>18</v>
      </c>
      <c r="E42">
        <v>25</v>
      </c>
      <c r="F42">
        <v>10</v>
      </c>
      <c r="G42">
        <v>40</v>
      </c>
      <c r="H42">
        <v>93</v>
      </c>
      <c r="L42" t="str">
        <f t="shared" si="2"/>
        <v/>
      </c>
      <c r="M42" t="str">
        <f>IF($B42=REPORTE!$C$9,COUNTIF($B$2:$B42,REPORTE!$C$9),"")</f>
        <v/>
      </c>
      <c r="N42" t="str">
        <f t="shared" si="3"/>
        <v>EL PIÑON||INSTITUCION EDUCATIVA DEPARTAMENTAL RURAL CANTAGALLAR</v>
      </c>
    </row>
    <row r="43" spans="1:14" x14ac:dyDescent="0.25">
      <c r="A43">
        <v>42</v>
      </c>
      <c r="B43" t="s">
        <v>23094</v>
      </c>
      <c r="C43" t="s">
        <v>23148</v>
      </c>
      <c r="D43">
        <v>14</v>
      </c>
      <c r="E43">
        <v>22</v>
      </c>
      <c r="F43">
        <v>45</v>
      </c>
      <c r="G43">
        <v>0</v>
      </c>
      <c r="H43">
        <v>81</v>
      </c>
      <c r="L43" t="str">
        <f t="shared" si="2"/>
        <v/>
      </c>
      <c r="M43" t="str">
        <f>IF($B43=REPORTE!$C$9,COUNTIF($B$2:$B43,REPORTE!$C$9),"")</f>
        <v/>
      </c>
      <c r="N43" t="str">
        <f t="shared" si="3"/>
        <v>EL PIÑON||INSTITUCION EDUCATIVA DEPARTAMENTAL SABANAS</v>
      </c>
    </row>
    <row r="44" spans="1:14" x14ac:dyDescent="0.25">
      <c r="A44">
        <v>43</v>
      </c>
      <c r="B44" t="s">
        <v>23096</v>
      </c>
      <c r="C44" t="s">
        <v>23149</v>
      </c>
      <c r="D44">
        <v>0</v>
      </c>
      <c r="E44">
        <v>88</v>
      </c>
      <c r="F44">
        <v>35</v>
      </c>
      <c r="G44">
        <v>160</v>
      </c>
      <c r="H44">
        <v>283</v>
      </c>
      <c r="L44" t="str">
        <f t="shared" si="2"/>
        <v/>
      </c>
      <c r="M44" t="str">
        <f>IF($B44=REPORTE!$C$9,COUNTIF($B$2:$B44,REPORTE!$C$9),"")</f>
        <v/>
      </c>
      <c r="N44" t="str">
        <f t="shared" si="3"/>
        <v>EL RETÉN||INSTITUCION EDUCATIVA DEPARTAMENTAL EUCLIDES LIZARAZO</v>
      </c>
    </row>
    <row r="45" spans="1:14" x14ac:dyDescent="0.25">
      <c r="A45">
        <v>44</v>
      </c>
      <c r="B45" t="s">
        <v>23096</v>
      </c>
      <c r="C45" t="s">
        <v>23150</v>
      </c>
      <c r="D45">
        <v>10</v>
      </c>
      <c r="E45">
        <v>274</v>
      </c>
      <c r="F45">
        <v>200</v>
      </c>
      <c r="G45">
        <v>220</v>
      </c>
      <c r="H45">
        <v>704</v>
      </c>
      <c r="L45" t="str">
        <f t="shared" si="2"/>
        <v/>
      </c>
      <c r="M45" t="str">
        <f>IF($B45=REPORTE!$C$9,COUNTIF($B$2:$B45,REPORTE!$C$9),"")</f>
        <v/>
      </c>
      <c r="N45" t="str">
        <f t="shared" si="3"/>
        <v>EL RETÉN||INSTITUCION EDUCATIVA DEPARTAMENTAL ROQUE DE LOS RIOS VALLE</v>
      </c>
    </row>
    <row r="46" spans="1:14" x14ac:dyDescent="0.25">
      <c r="A46">
        <v>45</v>
      </c>
      <c r="B46" t="s">
        <v>23096</v>
      </c>
      <c r="C46" t="s">
        <v>23151</v>
      </c>
      <c r="D46">
        <v>14</v>
      </c>
      <c r="E46">
        <v>72</v>
      </c>
      <c r="F46">
        <v>153</v>
      </c>
      <c r="G46">
        <v>60</v>
      </c>
      <c r="H46">
        <v>299</v>
      </c>
      <c r="L46" t="str">
        <f t="shared" si="2"/>
        <v/>
      </c>
      <c r="M46" t="str">
        <f>IF($B46=REPORTE!$C$9,COUNTIF($B$2:$B46,REPORTE!$C$9),"")</f>
        <v/>
      </c>
      <c r="N46" t="str">
        <f t="shared" si="3"/>
        <v>EL RETÉN||INSTITUCION EDUCATIVA DEPARTAMENTAL SAN JUAN BAUTISTA</v>
      </c>
    </row>
    <row r="47" spans="1:14" x14ac:dyDescent="0.25">
      <c r="A47">
        <v>46</v>
      </c>
      <c r="B47" t="s">
        <v>23098</v>
      </c>
      <c r="C47" t="s">
        <v>23152</v>
      </c>
      <c r="D47">
        <v>0</v>
      </c>
      <c r="E47">
        <v>159</v>
      </c>
      <c r="F47">
        <v>35</v>
      </c>
      <c r="G47">
        <v>200</v>
      </c>
      <c r="H47">
        <v>394</v>
      </c>
      <c r="L47" t="str">
        <f t="shared" si="2"/>
        <v/>
      </c>
      <c r="M47" t="str">
        <f>IF($B47=REPORTE!$C$9,COUNTIF($B$2:$B47,REPORTE!$C$9),"")</f>
        <v/>
      </c>
      <c r="N47" t="str">
        <f t="shared" si="3"/>
        <v>FUNDACIÓN||INSTITUCION EDUCATIVA DEPARTAMENTAL 23 DE FEBRERO</v>
      </c>
    </row>
    <row r="48" spans="1:14" x14ac:dyDescent="0.25">
      <c r="A48">
        <v>47</v>
      </c>
      <c r="B48" t="s">
        <v>23098</v>
      </c>
      <c r="C48" t="s">
        <v>23153</v>
      </c>
      <c r="D48">
        <v>14</v>
      </c>
      <c r="E48">
        <v>212</v>
      </c>
      <c r="F48">
        <v>85</v>
      </c>
      <c r="G48">
        <v>260</v>
      </c>
      <c r="H48">
        <v>571</v>
      </c>
      <c r="L48" t="str">
        <f t="shared" si="2"/>
        <v/>
      </c>
      <c r="M48" t="str">
        <f>IF($B48=REPORTE!$C$9,COUNTIF($B$2:$B48,REPORTE!$C$9),"")</f>
        <v/>
      </c>
      <c r="N48" t="str">
        <f t="shared" si="3"/>
        <v>FUNDACIÓN||INSTITUCION EDUCATIVA DEPARTAMENTAL TECNICA AGROAMBIENTAL JUAN FRANCISCO OSPINA</v>
      </c>
    </row>
    <row r="49" spans="1:14" x14ac:dyDescent="0.25">
      <c r="A49">
        <v>48</v>
      </c>
      <c r="B49" t="s">
        <v>23098</v>
      </c>
      <c r="C49" t="s">
        <v>23154</v>
      </c>
      <c r="D49">
        <v>6</v>
      </c>
      <c r="E49">
        <v>289</v>
      </c>
      <c r="F49">
        <v>0</v>
      </c>
      <c r="G49">
        <v>0</v>
      </c>
      <c r="H49">
        <v>295</v>
      </c>
      <c r="L49" t="str">
        <f t="shared" si="2"/>
        <v/>
      </c>
      <c r="M49" t="str">
        <f>IF($B49=REPORTE!$C$9,COUNTIF($B$2:$B49,REPORTE!$C$9),"")</f>
        <v/>
      </c>
      <c r="N49" t="str">
        <f t="shared" si="3"/>
        <v>FUNDACIÓN||INSTITUCION EDUCATIVA DEPARTAMENTAL COLOMBIA</v>
      </c>
    </row>
    <row r="50" spans="1:14" x14ac:dyDescent="0.25">
      <c r="A50">
        <v>49</v>
      </c>
      <c r="B50" t="s">
        <v>23098</v>
      </c>
      <c r="C50" t="s">
        <v>23155</v>
      </c>
      <c r="D50">
        <v>12</v>
      </c>
      <c r="E50">
        <v>138</v>
      </c>
      <c r="F50">
        <v>65</v>
      </c>
      <c r="G50">
        <v>200</v>
      </c>
      <c r="H50">
        <v>415</v>
      </c>
      <c r="L50" t="str">
        <f t="shared" si="2"/>
        <v/>
      </c>
      <c r="M50" t="str">
        <f>IF($B50=REPORTE!$C$9,COUNTIF($B$2:$B50,REPORTE!$C$9),"")</f>
        <v/>
      </c>
      <c r="N50" t="str">
        <f t="shared" si="3"/>
        <v>FUNDACIÓN||INSTITUCION EDUCATIVA DEPARTAMENTAL FRANCISCO DE PAULA SANTANDER</v>
      </c>
    </row>
    <row r="51" spans="1:14" x14ac:dyDescent="0.25">
      <c r="A51">
        <v>50</v>
      </c>
      <c r="B51" t="s">
        <v>23098</v>
      </c>
      <c r="C51" t="s">
        <v>23156</v>
      </c>
      <c r="D51">
        <v>2</v>
      </c>
      <c r="E51">
        <v>69</v>
      </c>
      <c r="F51">
        <v>55</v>
      </c>
      <c r="G51">
        <v>100</v>
      </c>
      <c r="H51">
        <v>226</v>
      </c>
      <c r="L51" t="str">
        <f t="shared" si="2"/>
        <v/>
      </c>
      <c r="M51" t="str">
        <f>IF($B51=REPORTE!$C$9,COUNTIF($B$2:$B51,REPORTE!$C$9),"")</f>
        <v/>
      </c>
      <c r="N51" t="str">
        <f t="shared" si="3"/>
        <v>FUNDACIÓN||INSTITUCION EDUCATIVA DEPARTAMENTAL FUNDACION</v>
      </c>
    </row>
    <row r="52" spans="1:14" x14ac:dyDescent="0.25">
      <c r="A52">
        <v>51</v>
      </c>
      <c r="B52" t="s">
        <v>23098</v>
      </c>
      <c r="C52" t="s">
        <v>23157</v>
      </c>
      <c r="D52">
        <v>2</v>
      </c>
      <c r="E52">
        <v>253</v>
      </c>
      <c r="F52">
        <v>0</v>
      </c>
      <c r="G52">
        <v>60</v>
      </c>
      <c r="H52">
        <v>315</v>
      </c>
      <c r="L52" t="str">
        <f t="shared" si="2"/>
        <v/>
      </c>
      <c r="M52" t="str">
        <f>IF($B52=REPORTE!$C$9,COUNTIF($B$2:$B52,REPORTE!$C$9),"")</f>
        <v/>
      </c>
      <c r="N52" t="str">
        <f t="shared" si="3"/>
        <v>FUNDACIÓN||INSTITUCION EDUCATIVA DEPARTAMENTAL JHON F. KENNEDY</v>
      </c>
    </row>
    <row r="53" spans="1:14" x14ac:dyDescent="0.25">
      <c r="A53">
        <v>52</v>
      </c>
      <c r="B53" t="s">
        <v>23098</v>
      </c>
      <c r="C53" t="s">
        <v>23158</v>
      </c>
      <c r="D53">
        <v>9</v>
      </c>
      <c r="E53">
        <v>178</v>
      </c>
      <c r="F53">
        <v>0</v>
      </c>
      <c r="G53">
        <v>240</v>
      </c>
      <c r="H53">
        <v>427</v>
      </c>
      <c r="L53" t="str">
        <f t="shared" si="2"/>
        <v/>
      </c>
      <c r="M53" t="str">
        <f>IF($B53=REPORTE!$C$9,COUNTIF($B$2:$B53,REPORTE!$C$9),"")</f>
        <v/>
      </c>
      <c r="N53" t="str">
        <f t="shared" si="3"/>
        <v>FUNDACIÓN||INSTITUCION EDUCATIVA DEPARTAMENTAL SIERRA NEVADA DE SANTA MARTA</v>
      </c>
    </row>
    <row r="54" spans="1:14" x14ac:dyDescent="0.25">
      <c r="A54">
        <v>53</v>
      </c>
      <c r="B54" t="s">
        <v>23098</v>
      </c>
      <c r="C54" t="s">
        <v>23159</v>
      </c>
      <c r="D54">
        <v>7</v>
      </c>
      <c r="E54">
        <v>322</v>
      </c>
      <c r="F54">
        <v>136</v>
      </c>
      <c r="G54">
        <v>280</v>
      </c>
      <c r="H54">
        <v>745</v>
      </c>
      <c r="L54" t="str">
        <f t="shared" si="2"/>
        <v/>
      </c>
      <c r="M54" t="str">
        <f>IF($B54=REPORTE!$C$9,COUNTIF($B$2:$B54,REPORTE!$C$9),"")</f>
        <v/>
      </c>
      <c r="N54" t="str">
        <f t="shared" si="3"/>
        <v>FUNDACIÓN||INSTITUCION EDUCATIVA DEPARTAMENTAL TERCERA MIXTA</v>
      </c>
    </row>
    <row r="55" spans="1:14" x14ac:dyDescent="0.25">
      <c r="A55">
        <v>54</v>
      </c>
      <c r="B55" t="s">
        <v>23098</v>
      </c>
      <c r="C55" t="s">
        <v>23160</v>
      </c>
      <c r="D55">
        <v>6</v>
      </c>
      <c r="E55">
        <v>219</v>
      </c>
      <c r="F55">
        <v>220</v>
      </c>
      <c r="G55">
        <v>0</v>
      </c>
      <c r="H55">
        <v>445</v>
      </c>
      <c r="L55" t="str">
        <f t="shared" si="2"/>
        <v/>
      </c>
      <c r="M55" t="str">
        <f>IF($B55=REPORTE!$C$9,COUNTIF($B$2:$B55,REPORTE!$C$9),"")</f>
        <v/>
      </c>
      <c r="N55" t="str">
        <f t="shared" si="3"/>
        <v>FUNDACIÓN||INSTITUCION EDUCATIVA INDIGENA Y PLURICULTURAL KANKAWARWA</v>
      </c>
    </row>
    <row r="56" spans="1:14" x14ac:dyDescent="0.25">
      <c r="A56">
        <v>55</v>
      </c>
      <c r="B56" t="s">
        <v>23100</v>
      </c>
      <c r="C56" t="s">
        <v>23161</v>
      </c>
      <c r="D56">
        <v>9</v>
      </c>
      <c r="E56">
        <v>242</v>
      </c>
      <c r="F56">
        <v>0</v>
      </c>
      <c r="G56">
        <v>0</v>
      </c>
      <c r="H56">
        <v>251</v>
      </c>
      <c r="L56" t="str">
        <f t="shared" si="2"/>
        <v/>
      </c>
      <c r="M56" t="str">
        <f>IF($B56=REPORTE!$C$9,COUNTIF($B$2:$B56,REPORTE!$C$9),"")</f>
        <v/>
      </c>
      <c r="N56" t="str">
        <f t="shared" si="3"/>
        <v>GUAMAL||INSTITUCION EDUCATIVA DEPARTAMENTAL BIENVENIDO RODRIGUEZ</v>
      </c>
    </row>
    <row r="57" spans="1:14" x14ac:dyDescent="0.25">
      <c r="A57">
        <v>56</v>
      </c>
      <c r="B57" t="s">
        <v>23100</v>
      </c>
      <c r="C57" t="s">
        <v>23162</v>
      </c>
      <c r="D57">
        <v>5</v>
      </c>
      <c r="E57">
        <v>47</v>
      </c>
      <c r="F57">
        <v>0</v>
      </c>
      <c r="G57">
        <v>0</v>
      </c>
      <c r="H57">
        <v>52</v>
      </c>
      <c r="L57" t="str">
        <f t="shared" si="2"/>
        <v/>
      </c>
      <c r="M57" t="str">
        <f>IF($B57=REPORTE!$C$9,COUNTIF($B$2:$B57,REPORTE!$C$9),"")</f>
        <v/>
      </c>
      <c r="N57" t="str">
        <f t="shared" si="3"/>
        <v>GUAMAL||INSTITUCION EDUCATIVA DEPARTAMENTAL DE RICAURTE</v>
      </c>
    </row>
    <row r="58" spans="1:14" x14ac:dyDescent="0.25">
      <c r="A58">
        <v>57</v>
      </c>
      <c r="B58" t="s">
        <v>23100</v>
      </c>
      <c r="C58" t="s">
        <v>23163</v>
      </c>
      <c r="D58">
        <v>1</v>
      </c>
      <c r="E58">
        <v>144</v>
      </c>
      <c r="F58">
        <v>0</v>
      </c>
      <c r="G58">
        <v>100</v>
      </c>
      <c r="H58">
        <v>245</v>
      </c>
      <c r="L58" t="str">
        <f t="shared" si="2"/>
        <v/>
      </c>
      <c r="M58" t="str">
        <f>IF($B58=REPORTE!$C$9,COUNTIF($B$2:$B58,REPORTE!$C$9),"")</f>
        <v/>
      </c>
      <c r="N58" t="str">
        <f t="shared" si="3"/>
        <v>GUAMAL||INSTITUCION EDUCATIVA DEPARTAMENTAL NESTOR RANGEL ALFARO</v>
      </c>
    </row>
    <row r="59" spans="1:14" x14ac:dyDescent="0.25">
      <c r="A59">
        <v>58</v>
      </c>
      <c r="B59" t="s">
        <v>23100</v>
      </c>
      <c r="C59" t="s">
        <v>23164</v>
      </c>
      <c r="D59">
        <v>12</v>
      </c>
      <c r="E59">
        <v>306</v>
      </c>
      <c r="F59">
        <v>0</v>
      </c>
      <c r="G59">
        <v>0</v>
      </c>
      <c r="H59">
        <v>318</v>
      </c>
      <c r="L59" t="str">
        <f t="shared" si="2"/>
        <v/>
      </c>
      <c r="M59" t="str">
        <f>IF($B59=REPORTE!$C$9,COUNTIF($B$2:$B59,REPORTE!$C$9),"")</f>
        <v/>
      </c>
      <c r="N59" t="str">
        <f t="shared" si="3"/>
        <v>GUAMAL||INSTITUCION EDUCATIVA DEPARTAMENTAL NICOLAS MEJIA MENDEZ</v>
      </c>
    </row>
    <row r="60" spans="1:14" x14ac:dyDescent="0.25">
      <c r="A60">
        <v>59</v>
      </c>
      <c r="B60" t="s">
        <v>23100</v>
      </c>
      <c r="C60" t="s">
        <v>23165</v>
      </c>
      <c r="D60">
        <v>9</v>
      </c>
      <c r="E60">
        <v>182</v>
      </c>
      <c r="F60">
        <v>0</v>
      </c>
      <c r="G60">
        <v>0</v>
      </c>
      <c r="H60">
        <v>191</v>
      </c>
      <c r="L60" t="str">
        <f t="shared" si="2"/>
        <v/>
      </c>
      <c r="M60" t="str">
        <f>IF($B60=REPORTE!$C$9,COUNTIF($B$2:$B60,REPORTE!$C$9),"")</f>
        <v/>
      </c>
      <c r="N60" t="str">
        <f t="shared" si="3"/>
        <v>GUAMAL||INSTITUCION EDUCATIVA DEPARTAMENTAL NUESTRA SEÑORA DEL CARMEN</v>
      </c>
    </row>
    <row r="61" spans="1:14" x14ac:dyDescent="0.25">
      <c r="A61">
        <v>60</v>
      </c>
      <c r="B61" t="s">
        <v>23100</v>
      </c>
      <c r="C61" t="s">
        <v>23166</v>
      </c>
      <c r="D61">
        <v>4</v>
      </c>
      <c r="E61">
        <v>22</v>
      </c>
      <c r="F61">
        <v>0</v>
      </c>
      <c r="G61">
        <v>0</v>
      </c>
      <c r="H61">
        <v>26</v>
      </c>
      <c r="L61" t="str">
        <f t="shared" si="2"/>
        <v/>
      </c>
      <c r="M61" t="str">
        <f>IF($B61=REPORTE!$C$9,COUNTIF($B$2:$B61,REPORTE!$C$9),"")</f>
        <v/>
      </c>
      <c r="N61" t="str">
        <f t="shared" si="3"/>
        <v>GUAMAL||INSTITUCION EDUCATIVA DEPARTAMENTAL RURAL LA RINCONADA</v>
      </c>
    </row>
    <row r="62" spans="1:14" x14ac:dyDescent="0.25">
      <c r="A62">
        <v>61</v>
      </c>
      <c r="B62" t="s">
        <v>23100</v>
      </c>
      <c r="C62" t="s">
        <v>23167</v>
      </c>
      <c r="D62">
        <v>1</v>
      </c>
      <c r="E62">
        <v>183</v>
      </c>
      <c r="F62">
        <v>0</v>
      </c>
      <c r="G62">
        <v>0</v>
      </c>
      <c r="H62">
        <v>184</v>
      </c>
      <c r="L62" t="str">
        <f t="shared" si="2"/>
        <v/>
      </c>
      <c r="M62" t="str">
        <f>IF($B62=REPORTE!$C$9,COUNTIF($B$2:$B62,REPORTE!$C$9),"")</f>
        <v/>
      </c>
      <c r="N62" t="str">
        <f t="shared" si="3"/>
        <v>GUAMAL||INSTITUCION EDUCATIVA DEPARTAMENTAL RURAL MARIA AUXILIADORA</v>
      </c>
    </row>
    <row r="63" spans="1:14" x14ac:dyDescent="0.25">
      <c r="A63">
        <v>62</v>
      </c>
      <c r="B63" t="s">
        <v>23100</v>
      </c>
      <c r="C63" t="s">
        <v>23168</v>
      </c>
      <c r="D63">
        <v>13</v>
      </c>
      <c r="E63">
        <v>0</v>
      </c>
      <c r="F63">
        <v>0</v>
      </c>
      <c r="G63">
        <v>0</v>
      </c>
      <c r="H63">
        <v>13</v>
      </c>
      <c r="L63" t="str">
        <f t="shared" si="2"/>
        <v/>
      </c>
      <c r="M63" t="str">
        <f>IF($B63=REPORTE!$C$9,COUNTIF($B$2:$B63,REPORTE!$C$9),"")</f>
        <v/>
      </c>
      <c r="N63" t="str">
        <f t="shared" si="3"/>
        <v>GUAMAL||INSTITUCION EDUCATIVA DEPARTAMENTAL RURAL SAGRADO CORAZON DE JESUS</v>
      </c>
    </row>
    <row r="64" spans="1:14" x14ac:dyDescent="0.25">
      <c r="A64">
        <v>63</v>
      </c>
      <c r="B64" t="s">
        <v>23100</v>
      </c>
      <c r="C64" t="s">
        <v>23169</v>
      </c>
      <c r="D64">
        <v>13</v>
      </c>
      <c r="E64">
        <v>72</v>
      </c>
      <c r="F64">
        <v>0</v>
      </c>
      <c r="G64">
        <v>0</v>
      </c>
      <c r="H64">
        <v>85</v>
      </c>
      <c r="L64" t="str">
        <f t="shared" si="2"/>
        <v/>
      </c>
      <c r="M64" t="str">
        <f>IF($B64=REPORTE!$C$9,COUNTIF($B$2:$B64,REPORTE!$C$9),"")</f>
        <v/>
      </c>
      <c r="N64" t="str">
        <f t="shared" si="3"/>
        <v>GUAMAL||INSTITUCION EDUCATIVA DEPARTAMENTAL RURAL SAN PEDRO APOSTOL LAS FLORES</v>
      </c>
    </row>
    <row r="65" spans="1:14" x14ac:dyDescent="0.25">
      <c r="A65">
        <v>64</v>
      </c>
      <c r="B65" t="s">
        <v>23102</v>
      </c>
      <c r="C65" t="s">
        <v>23170</v>
      </c>
      <c r="D65">
        <v>18</v>
      </c>
      <c r="E65">
        <v>405</v>
      </c>
      <c r="F65">
        <v>0</v>
      </c>
      <c r="G65">
        <v>160</v>
      </c>
      <c r="H65">
        <v>583</v>
      </c>
      <c r="L65" t="str">
        <f t="shared" si="2"/>
        <v/>
      </c>
      <c r="M65" t="str">
        <f>IF($B65=REPORTE!$C$9,COUNTIF($B$2:$B65,REPORTE!$C$9),"")</f>
        <v/>
      </c>
      <c r="N65" t="str">
        <f t="shared" si="3"/>
        <v>NUEVA GRANADA||INSTITUCION EDUCATIVA DEPARTAMENTAL AGROPECUARIA URBANO MOLINA CASTRO</v>
      </c>
    </row>
    <row r="66" spans="1:14" x14ac:dyDescent="0.25">
      <c r="A66">
        <v>65</v>
      </c>
      <c r="B66" t="s">
        <v>23102</v>
      </c>
      <c r="C66" t="s">
        <v>23171</v>
      </c>
      <c r="D66">
        <v>8</v>
      </c>
      <c r="E66">
        <v>315</v>
      </c>
      <c r="F66">
        <v>0</v>
      </c>
      <c r="G66">
        <v>160</v>
      </c>
      <c r="H66">
        <v>483</v>
      </c>
      <c r="L66" t="str">
        <f t="shared" ref="L66:L97" si="4">IFERROR(INDEX($C$2:$C$154,MATCH(ROW()-1,$M$2:$M$154,0)),"")</f>
        <v/>
      </c>
      <c r="M66" t="str">
        <f>IF($B66=REPORTE!$C$9,COUNTIF($B$2:$B66,REPORTE!$C$9),"")</f>
        <v/>
      </c>
      <c r="N66" t="str">
        <f t="shared" ref="N66:N97" si="5">$B66&amp;"||"&amp;$C66</f>
        <v>NUEVA GRANADA||INSTITUCION EDUCATIVA DEPARTAMENTAL PESTALOZZI</v>
      </c>
    </row>
    <row r="67" spans="1:14" x14ac:dyDescent="0.25">
      <c r="A67">
        <v>66</v>
      </c>
      <c r="B67" t="s">
        <v>23102</v>
      </c>
      <c r="C67" t="s">
        <v>23172</v>
      </c>
      <c r="D67">
        <v>12</v>
      </c>
      <c r="E67">
        <v>511</v>
      </c>
      <c r="F67">
        <v>0</v>
      </c>
      <c r="G67">
        <v>0</v>
      </c>
      <c r="H67">
        <v>523</v>
      </c>
      <c r="L67" t="str">
        <f t="shared" si="4"/>
        <v/>
      </c>
      <c r="M67" t="str">
        <f>IF($B67=REPORTE!$C$9,COUNTIF($B$2:$B67,REPORTE!$C$9),"")</f>
        <v/>
      </c>
      <c r="N67" t="str">
        <f t="shared" si="5"/>
        <v>NUEVA GRANADA||INSTITUCION EDUCATIVA DEPARTAMENTAL TECNICA NUEVA GRANADA</v>
      </c>
    </row>
    <row r="68" spans="1:14" x14ac:dyDescent="0.25">
      <c r="A68">
        <v>67</v>
      </c>
      <c r="B68" t="s">
        <v>23104</v>
      </c>
      <c r="C68" t="s">
        <v>23173</v>
      </c>
      <c r="D68">
        <v>18</v>
      </c>
      <c r="E68">
        <v>64</v>
      </c>
      <c r="F68">
        <v>0</v>
      </c>
      <c r="G68">
        <v>40</v>
      </c>
      <c r="H68">
        <v>122</v>
      </c>
      <c r="L68" t="str">
        <f t="shared" si="4"/>
        <v/>
      </c>
      <c r="M68" t="str">
        <f>IF($B68=REPORTE!$C$9,COUNTIF($B$2:$B68,REPORTE!$C$9),"")</f>
        <v/>
      </c>
      <c r="N68" t="str">
        <f t="shared" si="5"/>
        <v>PEDRAZA||INSTITUCION EDUCATIVA DEPARTAMENTAL DE BOMBA</v>
      </c>
    </row>
    <row r="69" spans="1:14" x14ac:dyDescent="0.25">
      <c r="A69">
        <v>68</v>
      </c>
      <c r="B69" t="s">
        <v>23104</v>
      </c>
      <c r="C69" t="s">
        <v>23174</v>
      </c>
      <c r="D69">
        <v>18</v>
      </c>
      <c r="E69">
        <v>44</v>
      </c>
      <c r="F69">
        <v>0</v>
      </c>
      <c r="G69">
        <v>20</v>
      </c>
      <c r="H69">
        <v>82</v>
      </c>
      <c r="L69" t="str">
        <f t="shared" si="4"/>
        <v/>
      </c>
      <c r="M69" t="str">
        <f>IF($B69=REPORTE!$C$9,COUNTIF($B$2:$B69,REPORTE!$C$9),"")</f>
        <v/>
      </c>
      <c r="N69" t="str">
        <f t="shared" si="5"/>
        <v>PEDRAZA||INSTITUCION EDUCATIVA DEPARTAMENTAL PEDRO DE HEREDIA</v>
      </c>
    </row>
    <row r="70" spans="1:14" x14ac:dyDescent="0.25">
      <c r="A70">
        <v>69</v>
      </c>
      <c r="B70" t="s">
        <v>23104</v>
      </c>
      <c r="C70" t="s">
        <v>23175</v>
      </c>
      <c r="D70">
        <v>14</v>
      </c>
      <c r="E70">
        <v>44</v>
      </c>
      <c r="F70">
        <v>0</v>
      </c>
      <c r="G70">
        <v>0</v>
      </c>
      <c r="H70">
        <v>58</v>
      </c>
      <c r="L70" t="str">
        <f t="shared" si="4"/>
        <v/>
      </c>
      <c r="M70" t="str">
        <f>IF($B70=REPORTE!$C$9,COUNTIF($B$2:$B70,REPORTE!$C$9),"")</f>
        <v/>
      </c>
      <c r="N70" t="str">
        <f t="shared" si="5"/>
        <v>PEDRAZA||INSTITUCION EDUCATIVA DEPARTAMENTAL SAN PABLO</v>
      </c>
    </row>
    <row r="71" spans="1:14" x14ac:dyDescent="0.25">
      <c r="A71">
        <v>70</v>
      </c>
      <c r="B71" t="s">
        <v>23104</v>
      </c>
      <c r="C71" t="s">
        <v>23176</v>
      </c>
      <c r="D71">
        <v>10</v>
      </c>
      <c r="E71">
        <v>66</v>
      </c>
      <c r="F71">
        <v>0</v>
      </c>
      <c r="G71">
        <v>80</v>
      </c>
      <c r="H71">
        <v>156</v>
      </c>
      <c r="L71" t="str">
        <f t="shared" si="4"/>
        <v/>
      </c>
      <c r="M71" t="str">
        <f>IF($B71=REPORTE!$C$9,COUNTIF($B$2:$B71,REPORTE!$C$9),"")</f>
        <v/>
      </c>
      <c r="N71" t="str">
        <f t="shared" si="5"/>
        <v>PEDRAZA||INSTITUCION ETNOEDUCATIVA DEPARTAMENTAL TECNICA AGROECOLOGICA JOSE DADUL</v>
      </c>
    </row>
    <row r="72" spans="1:14" x14ac:dyDescent="0.25">
      <c r="A72">
        <v>71</v>
      </c>
      <c r="B72" t="s">
        <v>23106</v>
      </c>
      <c r="C72" t="s">
        <v>23177</v>
      </c>
      <c r="D72">
        <v>0</v>
      </c>
      <c r="E72">
        <v>242</v>
      </c>
      <c r="F72">
        <v>0</v>
      </c>
      <c r="G72">
        <v>100</v>
      </c>
      <c r="H72">
        <v>342</v>
      </c>
      <c r="L72" t="str">
        <f t="shared" si="4"/>
        <v/>
      </c>
      <c r="M72" t="str">
        <f>IF($B72=REPORTE!$C$9,COUNTIF($B$2:$B72,REPORTE!$C$9),"")</f>
        <v/>
      </c>
      <c r="N72" t="str">
        <f t="shared" si="5"/>
        <v>PIJIÑO DEL CARMEN||INSTITUCION EDUCATIVA DEPARTAMENTAL PIJIÑO DEL CARMEN</v>
      </c>
    </row>
    <row r="73" spans="1:14" x14ac:dyDescent="0.25">
      <c r="A73">
        <v>72</v>
      </c>
      <c r="B73" t="s">
        <v>23106</v>
      </c>
      <c r="C73" t="s">
        <v>23178</v>
      </c>
      <c r="D73">
        <v>2</v>
      </c>
      <c r="E73">
        <v>242</v>
      </c>
      <c r="F73">
        <v>0</v>
      </c>
      <c r="G73">
        <v>40</v>
      </c>
      <c r="H73">
        <v>284</v>
      </c>
      <c r="L73" t="str">
        <f t="shared" si="4"/>
        <v/>
      </c>
      <c r="M73" t="str">
        <f>IF($B73=REPORTE!$C$9,COUNTIF($B$2:$B73,REPORTE!$C$9),"")</f>
        <v/>
      </c>
      <c r="N73" t="str">
        <f t="shared" si="5"/>
        <v>PIJIÑO DEL CARMEN||INSTITUCION EDUCATIVA DEPARTAMENTAL TÉCNICA AGROPECUARIA EL BRILLANTE</v>
      </c>
    </row>
    <row r="74" spans="1:14" x14ac:dyDescent="0.25">
      <c r="A74">
        <v>73</v>
      </c>
      <c r="B74" t="s">
        <v>23106</v>
      </c>
      <c r="C74" t="s">
        <v>23179</v>
      </c>
      <c r="D74">
        <v>0</v>
      </c>
      <c r="E74">
        <v>217</v>
      </c>
      <c r="F74">
        <v>20</v>
      </c>
      <c r="G74">
        <v>0</v>
      </c>
      <c r="H74">
        <v>237</v>
      </c>
      <c r="L74" t="str">
        <f t="shared" si="4"/>
        <v/>
      </c>
      <c r="M74" t="str">
        <f>IF($B74=REPORTE!$C$9,COUNTIF($B$2:$B74,REPORTE!$C$9),"")</f>
        <v/>
      </c>
      <c r="N74" t="str">
        <f t="shared" si="5"/>
        <v>PIJIÑO DEL CARMEN||INSTITUCION EDUCATIVA DEPARTAMENTAL RURAL SANTA MARIA</v>
      </c>
    </row>
    <row r="75" spans="1:14" x14ac:dyDescent="0.25">
      <c r="A75">
        <v>74</v>
      </c>
      <c r="B75" t="s">
        <v>23106</v>
      </c>
      <c r="C75" t="s">
        <v>23180</v>
      </c>
      <c r="D75">
        <v>9</v>
      </c>
      <c r="E75">
        <v>165</v>
      </c>
      <c r="F75">
        <v>82</v>
      </c>
      <c r="G75">
        <v>20</v>
      </c>
      <c r="H75">
        <v>276</v>
      </c>
      <c r="L75" t="str">
        <f t="shared" si="4"/>
        <v/>
      </c>
      <c r="M75" t="str">
        <f>IF($B75=REPORTE!$C$9,COUNTIF($B$2:$B75,REPORTE!$C$9),"")</f>
        <v/>
      </c>
      <c r="N75" t="str">
        <f t="shared" si="5"/>
        <v>PIJIÑO DEL CARMEN||INSTITUCION EDUCATIVA TECNICA DEPARTAMENTAL AGROAMBIENTAL SAN JOSE</v>
      </c>
    </row>
    <row r="76" spans="1:14" x14ac:dyDescent="0.25">
      <c r="A76">
        <v>75</v>
      </c>
      <c r="B76" t="s">
        <v>23106</v>
      </c>
      <c r="C76" t="s">
        <v>23181</v>
      </c>
      <c r="D76">
        <v>4</v>
      </c>
      <c r="E76">
        <v>0</v>
      </c>
      <c r="F76">
        <v>0</v>
      </c>
      <c r="G76">
        <v>40</v>
      </c>
      <c r="H76">
        <v>44</v>
      </c>
      <c r="L76" t="str">
        <f t="shared" si="4"/>
        <v/>
      </c>
      <c r="M76" t="str">
        <f>IF($B76=REPORTE!$C$9,COUNTIF($B$2:$B76,REPORTE!$C$9),"")</f>
        <v/>
      </c>
      <c r="N76" t="str">
        <f t="shared" si="5"/>
        <v>PIJIÑO DEL CARMEN||INSTITUCION EDUCATIVA TECNICO DEPARTAMENTAL DE CABRERA</v>
      </c>
    </row>
    <row r="77" spans="1:14" x14ac:dyDescent="0.25">
      <c r="A77">
        <v>76</v>
      </c>
      <c r="B77" t="s">
        <v>23108</v>
      </c>
      <c r="C77" t="s">
        <v>23182</v>
      </c>
      <c r="D77">
        <v>0</v>
      </c>
      <c r="E77">
        <v>72</v>
      </c>
      <c r="F77">
        <v>17</v>
      </c>
      <c r="G77">
        <v>0</v>
      </c>
      <c r="H77">
        <v>89</v>
      </c>
      <c r="L77" t="str">
        <f t="shared" si="4"/>
        <v/>
      </c>
      <c r="M77" t="str">
        <f>IF($B77=REPORTE!$C$9,COUNTIF($B$2:$B77,REPORTE!$C$9),"")</f>
        <v/>
      </c>
      <c r="N77" t="str">
        <f t="shared" si="5"/>
        <v>PIVIJAY||INSTITUCION EDUCATIVA DEPARTAMENTAL AGROPECUARIA JOSE MARIA HERRERA</v>
      </c>
    </row>
    <row r="78" spans="1:14" x14ac:dyDescent="0.25">
      <c r="A78">
        <v>77</v>
      </c>
      <c r="B78" t="s">
        <v>23108</v>
      </c>
      <c r="C78" t="s">
        <v>23183</v>
      </c>
      <c r="D78">
        <v>4</v>
      </c>
      <c r="E78">
        <v>229</v>
      </c>
      <c r="F78">
        <v>0</v>
      </c>
      <c r="G78">
        <v>80</v>
      </c>
      <c r="H78">
        <v>313</v>
      </c>
      <c r="L78" t="str">
        <f t="shared" si="4"/>
        <v/>
      </c>
      <c r="M78" t="str">
        <f>IF($B78=REPORTE!$C$9,COUNTIF($B$2:$B78,REPORTE!$C$9),"")</f>
        <v/>
      </c>
      <c r="N78" t="str">
        <f t="shared" si="5"/>
        <v>PIVIJAY||INSTITUCION EDUCATIVA DEPARTAMENTAL AGROPECUARIA NUESTRA SEÑORA DE LAS MERCEDES</v>
      </c>
    </row>
    <row r="79" spans="1:14" x14ac:dyDescent="0.25">
      <c r="A79">
        <v>78</v>
      </c>
      <c r="B79" t="s">
        <v>23108</v>
      </c>
      <c r="C79" t="s">
        <v>23184</v>
      </c>
      <c r="D79">
        <v>21</v>
      </c>
      <c r="E79">
        <v>66</v>
      </c>
      <c r="F79">
        <v>0</v>
      </c>
      <c r="G79">
        <v>60</v>
      </c>
      <c r="H79">
        <v>147</v>
      </c>
      <c r="L79" t="str">
        <f t="shared" si="4"/>
        <v/>
      </c>
      <c r="M79" t="str">
        <f>IF($B79=REPORTE!$C$9,COUNTIF($B$2:$B79,REPORTE!$C$9),"")</f>
        <v/>
      </c>
      <c r="N79" t="str">
        <f t="shared" si="5"/>
        <v>PIVIJAY||INSTITUCION EDUCATIVA DEPARTAMENTAL AGROPECUARIA OTILIA MENA ALVAREZ</v>
      </c>
    </row>
    <row r="80" spans="1:14" x14ac:dyDescent="0.25">
      <c r="A80">
        <v>79</v>
      </c>
      <c r="B80" t="s">
        <v>23108</v>
      </c>
      <c r="C80" t="s">
        <v>23185</v>
      </c>
      <c r="D80">
        <v>12</v>
      </c>
      <c r="E80">
        <v>245</v>
      </c>
      <c r="F80">
        <v>0</v>
      </c>
      <c r="G80">
        <v>0</v>
      </c>
      <c r="H80">
        <v>257</v>
      </c>
      <c r="L80" t="str">
        <f t="shared" si="4"/>
        <v/>
      </c>
      <c r="M80" t="str">
        <f>IF($B80=REPORTE!$C$9,COUNTIF($B$2:$B80,REPORTE!$C$9),"")</f>
        <v/>
      </c>
      <c r="N80" t="str">
        <f t="shared" si="5"/>
        <v>PIVIJAY||INSTITUCION EDUCATIVA DEPARTAMENTAL LICEO PIVIJAY</v>
      </c>
    </row>
    <row r="81" spans="1:14" x14ac:dyDescent="0.25">
      <c r="A81">
        <v>80</v>
      </c>
      <c r="B81" t="s">
        <v>23108</v>
      </c>
      <c r="C81" t="s">
        <v>23186</v>
      </c>
      <c r="D81">
        <v>14</v>
      </c>
      <c r="E81">
        <v>47</v>
      </c>
      <c r="F81">
        <v>50</v>
      </c>
      <c r="G81">
        <v>80</v>
      </c>
      <c r="H81">
        <v>191</v>
      </c>
      <c r="L81" t="str">
        <f t="shared" si="4"/>
        <v/>
      </c>
      <c r="M81" t="str">
        <f>IF($B81=REPORTE!$C$9,COUNTIF($B$2:$B81,REPORTE!$C$9),"")</f>
        <v/>
      </c>
      <c r="N81" t="str">
        <f t="shared" si="5"/>
        <v>PIVIJAY||INSTITUCION EDUCATIVA DEPARTAMENTAL MARIA INMACULADA</v>
      </c>
    </row>
    <row r="82" spans="1:14" x14ac:dyDescent="0.25">
      <c r="A82">
        <v>81</v>
      </c>
      <c r="B82" t="s">
        <v>23108</v>
      </c>
      <c r="C82" t="s">
        <v>23187</v>
      </c>
      <c r="D82">
        <v>10</v>
      </c>
      <c r="E82">
        <v>47</v>
      </c>
      <c r="F82">
        <v>197</v>
      </c>
      <c r="G82">
        <v>120</v>
      </c>
      <c r="H82">
        <v>374</v>
      </c>
      <c r="L82" t="str">
        <f t="shared" si="4"/>
        <v/>
      </c>
      <c r="M82" t="str">
        <f>IF($B82=REPORTE!$C$9,COUNTIF($B$2:$B82,REPORTE!$C$9),"")</f>
        <v/>
      </c>
      <c r="N82" t="str">
        <f t="shared" si="5"/>
        <v>PIVIJAY||INSTITUCION EDUCATIVA DEPARTAMENTAL RURAL DE MEDIA LUNA</v>
      </c>
    </row>
    <row r="83" spans="1:14" x14ac:dyDescent="0.25">
      <c r="A83">
        <v>82</v>
      </c>
      <c r="B83" t="s">
        <v>23108</v>
      </c>
      <c r="C83" t="s">
        <v>23188</v>
      </c>
      <c r="D83">
        <v>19</v>
      </c>
      <c r="E83">
        <v>507</v>
      </c>
      <c r="F83">
        <v>0</v>
      </c>
      <c r="G83">
        <v>140</v>
      </c>
      <c r="H83">
        <v>666</v>
      </c>
      <c r="L83" t="str">
        <f t="shared" si="4"/>
        <v/>
      </c>
      <c r="M83" t="str">
        <f>IF($B83=REPORTE!$C$9,COUNTIF($B$2:$B83,REPORTE!$C$9),"")</f>
        <v/>
      </c>
      <c r="N83" t="str">
        <f t="shared" si="5"/>
        <v>PIVIJAY||INSTITUCION EDUCATIVA DEPARTAMENTAL RURAL SAN MARTIN DE LOBA</v>
      </c>
    </row>
    <row r="84" spans="1:14" x14ac:dyDescent="0.25">
      <c r="A84">
        <v>83</v>
      </c>
      <c r="B84" t="s">
        <v>23108</v>
      </c>
      <c r="C84" t="s">
        <v>23189</v>
      </c>
      <c r="D84">
        <v>4</v>
      </c>
      <c r="E84">
        <v>132</v>
      </c>
      <c r="F84">
        <v>0</v>
      </c>
      <c r="G84">
        <v>0</v>
      </c>
      <c r="H84">
        <v>136</v>
      </c>
      <c r="L84" t="str">
        <f t="shared" si="4"/>
        <v/>
      </c>
      <c r="M84" t="str">
        <f>IF($B84=REPORTE!$C$9,COUNTIF($B$2:$B84,REPORTE!$C$9),"")</f>
        <v/>
      </c>
      <c r="N84" t="str">
        <f t="shared" si="5"/>
        <v>PIVIJAY||INSTITUCION EDUCATIVA DEPARTAMENTAL SAGRADO CORAZON DE JESUS</v>
      </c>
    </row>
    <row r="85" spans="1:14" x14ac:dyDescent="0.25">
      <c r="A85">
        <v>84</v>
      </c>
      <c r="B85" t="s">
        <v>23110</v>
      </c>
      <c r="C85" t="s">
        <v>23190</v>
      </c>
      <c r="D85">
        <v>20</v>
      </c>
      <c r="E85">
        <v>66</v>
      </c>
      <c r="F85">
        <v>10</v>
      </c>
      <c r="G85">
        <v>240</v>
      </c>
      <c r="H85">
        <v>336</v>
      </c>
      <c r="L85" t="str">
        <f t="shared" si="4"/>
        <v/>
      </c>
      <c r="M85" t="str">
        <f>IF($B85=REPORTE!$C$9,COUNTIF($B$2:$B85,REPORTE!$C$9),"")</f>
        <v/>
      </c>
      <c r="N85" t="str">
        <f t="shared" si="5"/>
        <v>PLATO||INSTITUCION EDUCATIVA DEPARTAMENTAL LUIS CARLOS GALAN SARMIENTO</v>
      </c>
    </row>
    <row r="86" spans="1:14" x14ac:dyDescent="0.25">
      <c r="A86">
        <v>85</v>
      </c>
      <c r="B86" t="s">
        <v>23110</v>
      </c>
      <c r="C86" t="s">
        <v>23191</v>
      </c>
      <c r="D86">
        <v>0</v>
      </c>
      <c r="E86">
        <v>179</v>
      </c>
      <c r="F86">
        <v>0</v>
      </c>
      <c r="G86">
        <v>0</v>
      </c>
      <c r="H86">
        <v>179</v>
      </c>
      <c r="L86" t="str">
        <f t="shared" si="4"/>
        <v/>
      </c>
      <c r="M86" t="str">
        <f>IF($B86=REPORTE!$C$9,COUNTIF($B$2:$B86,REPORTE!$C$9),"")</f>
        <v/>
      </c>
      <c r="N86" t="str">
        <f t="shared" si="5"/>
        <v>PLATO||INSTITUCION EDUCATIVA TECNICA DEPARTAMENTAL VICTOR CAMARGO ALVAREZ</v>
      </c>
    </row>
    <row r="87" spans="1:14" x14ac:dyDescent="0.25">
      <c r="A87">
        <v>86</v>
      </c>
      <c r="B87" t="s">
        <v>23110</v>
      </c>
      <c r="C87" t="s">
        <v>23192</v>
      </c>
      <c r="D87">
        <v>20</v>
      </c>
      <c r="E87">
        <v>0</v>
      </c>
      <c r="F87">
        <v>0</v>
      </c>
      <c r="G87">
        <v>280</v>
      </c>
      <c r="H87">
        <v>300</v>
      </c>
      <c r="L87" t="str">
        <f t="shared" si="4"/>
        <v/>
      </c>
      <c r="M87" t="str">
        <f>IF($B87=REPORTE!$C$9,COUNTIF($B$2:$B87,REPORTE!$C$9),"")</f>
        <v/>
      </c>
      <c r="N87" t="str">
        <f t="shared" si="5"/>
        <v>PLATO||INSTITUCION EDUCATIVA TECNICA DEPARTAMENTAL JUANA ARIAS DE BENAVIDES</v>
      </c>
    </row>
    <row r="88" spans="1:14" x14ac:dyDescent="0.25">
      <c r="A88">
        <v>87</v>
      </c>
      <c r="B88" t="s">
        <v>23110</v>
      </c>
      <c r="C88" t="s">
        <v>23193</v>
      </c>
      <c r="D88">
        <v>14</v>
      </c>
      <c r="E88">
        <v>22</v>
      </c>
      <c r="F88">
        <v>30</v>
      </c>
      <c r="G88">
        <v>360</v>
      </c>
      <c r="H88">
        <v>426</v>
      </c>
      <c r="L88" t="str">
        <f t="shared" si="4"/>
        <v/>
      </c>
      <c r="M88" t="str">
        <f>IF($B88=REPORTE!$C$9,COUNTIF($B$2:$B88,REPORTE!$C$9),"")</f>
        <v/>
      </c>
      <c r="N88" t="str">
        <f t="shared" si="5"/>
        <v>PLATO||INSTITUCION EDUCATIVA TECNICA DEPARTAMENTAL MARIA ALFARO DE OSPINO</v>
      </c>
    </row>
    <row r="89" spans="1:14" x14ac:dyDescent="0.25">
      <c r="A89">
        <v>88</v>
      </c>
      <c r="B89" t="s">
        <v>23110</v>
      </c>
      <c r="C89" t="s">
        <v>23194</v>
      </c>
      <c r="D89">
        <v>0</v>
      </c>
      <c r="E89">
        <v>332</v>
      </c>
      <c r="F89">
        <v>0</v>
      </c>
      <c r="G89">
        <v>200</v>
      </c>
      <c r="H89">
        <v>532</v>
      </c>
      <c r="L89" t="str">
        <f t="shared" si="4"/>
        <v/>
      </c>
      <c r="M89" t="str">
        <f>IF($B89=REPORTE!$C$9,COUNTIF($B$2:$B89,REPORTE!$C$9),"")</f>
        <v/>
      </c>
      <c r="N89" t="str">
        <f t="shared" si="5"/>
        <v>PLATO||INSTITUCION EDUCATIVA TECNICO DEPARTAMENTAL GABRIEL ESCOBAR BALLESTAS</v>
      </c>
    </row>
    <row r="90" spans="1:14" x14ac:dyDescent="0.25">
      <c r="A90">
        <v>89</v>
      </c>
      <c r="B90" t="s">
        <v>23110</v>
      </c>
      <c r="C90" t="s">
        <v>23195</v>
      </c>
      <c r="D90">
        <v>16</v>
      </c>
      <c r="E90">
        <v>110</v>
      </c>
      <c r="F90">
        <v>110</v>
      </c>
      <c r="G90">
        <v>100</v>
      </c>
      <c r="H90">
        <v>336</v>
      </c>
      <c r="L90" t="str">
        <f t="shared" si="4"/>
        <v/>
      </c>
      <c r="M90" t="str">
        <f>IF($B90=REPORTE!$C$9,COUNTIF($B$2:$B90,REPORTE!$C$9),"")</f>
        <v/>
      </c>
      <c r="N90" t="str">
        <f t="shared" si="5"/>
        <v>PLATO||INSTITUCION ETNOEDUCATIVA DEPARTAMENTAL AGROPECUARIA ROSA CORTINA HERNANDEZ</v>
      </c>
    </row>
    <row r="91" spans="1:14" x14ac:dyDescent="0.25">
      <c r="A91">
        <v>90</v>
      </c>
      <c r="B91" t="s">
        <v>23112</v>
      </c>
      <c r="C91" t="s">
        <v>23196</v>
      </c>
      <c r="D91">
        <v>16</v>
      </c>
      <c r="E91">
        <v>22</v>
      </c>
      <c r="F91">
        <v>0</v>
      </c>
      <c r="G91">
        <v>240</v>
      </c>
      <c r="H91">
        <v>278</v>
      </c>
      <c r="L91" t="str">
        <f t="shared" si="4"/>
        <v/>
      </c>
      <c r="M91" t="str">
        <f>IF($B91=REPORTE!$C$9,COUNTIF($B$2:$B91,REPORTE!$C$9),"")</f>
        <v/>
      </c>
      <c r="N91" t="str">
        <f t="shared" si="5"/>
        <v>PUEBLOVIEJO||INSTITUCION EDUCATIVA DEPARTAMENTAL RURAL DE NIÑAS ISLA DEL ROSARIO</v>
      </c>
    </row>
    <row r="92" spans="1:14" x14ac:dyDescent="0.25">
      <c r="A92">
        <v>91</v>
      </c>
      <c r="B92" t="s">
        <v>23112</v>
      </c>
      <c r="C92" t="s">
        <v>23197</v>
      </c>
      <c r="D92">
        <v>0</v>
      </c>
      <c r="E92">
        <v>22</v>
      </c>
      <c r="F92">
        <v>0</v>
      </c>
      <c r="G92">
        <v>0</v>
      </c>
      <c r="H92">
        <v>22</v>
      </c>
      <c r="L92" t="str">
        <f t="shared" si="4"/>
        <v/>
      </c>
      <c r="M92" t="str">
        <f>IF($B92=REPORTE!$C$9,COUNTIF($B$2:$B92,REPORTE!$C$9),"")</f>
        <v/>
      </c>
      <c r="N92" t="str">
        <f t="shared" si="5"/>
        <v>PUEBLOVIEJO||INSTITUCION EDUCATIVA DEPARTAMENTAL RURAL DE PALMIRA</v>
      </c>
    </row>
    <row r="93" spans="1:14" x14ac:dyDescent="0.25">
      <c r="A93">
        <v>92</v>
      </c>
      <c r="B93" t="s">
        <v>23112</v>
      </c>
      <c r="C93" t="s">
        <v>23198</v>
      </c>
      <c r="D93">
        <v>14</v>
      </c>
      <c r="E93">
        <v>91</v>
      </c>
      <c r="F93">
        <v>6</v>
      </c>
      <c r="G93">
        <v>240</v>
      </c>
      <c r="H93">
        <v>351</v>
      </c>
      <c r="L93" t="str">
        <f t="shared" si="4"/>
        <v/>
      </c>
      <c r="M93" t="str">
        <f>IF($B93=REPORTE!$C$9,COUNTIF($B$2:$B93,REPORTE!$C$9),"")</f>
        <v/>
      </c>
      <c r="N93" t="str">
        <f t="shared" si="5"/>
        <v>PUEBLOVIEJO||INSTITUCION EDUCATIVA DEPARTAMENTAL RURAL TASAJERA</v>
      </c>
    </row>
    <row r="94" spans="1:14" x14ac:dyDescent="0.25">
      <c r="A94">
        <v>93</v>
      </c>
      <c r="B94" t="s">
        <v>23112</v>
      </c>
      <c r="C94" t="s">
        <v>23199</v>
      </c>
      <c r="D94">
        <v>8</v>
      </c>
      <c r="E94">
        <v>20</v>
      </c>
      <c r="F94">
        <v>36</v>
      </c>
      <c r="G94">
        <v>100</v>
      </c>
      <c r="H94">
        <v>164</v>
      </c>
      <c r="L94" t="str">
        <f t="shared" si="4"/>
        <v/>
      </c>
      <c r="M94" t="str">
        <f>IF($B94=REPORTE!$C$9,COUNTIF($B$2:$B94,REPORTE!$C$9),"")</f>
        <v/>
      </c>
      <c r="N94" t="str">
        <f t="shared" si="5"/>
        <v>PUEBLOVIEJO||INSTITUCION EDUCATIVA DEPARTAMENTAL SAN JOSE DE PUEBLO VIEJO</v>
      </c>
    </row>
    <row r="95" spans="1:14" x14ac:dyDescent="0.25">
      <c r="A95">
        <v>94</v>
      </c>
      <c r="B95" t="s">
        <v>23112</v>
      </c>
      <c r="C95" t="s">
        <v>23200</v>
      </c>
      <c r="D95">
        <v>4</v>
      </c>
      <c r="E95">
        <v>47</v>
      </c>
      <c r="F95">
        <v>0</v>
      </c>
      <c r="G95">
        <v>20</v>
      </c>
      <c r="H95">
        <v>71</v>
      </c>
      <c r="L95" t="str">
        <f t="shared" si="4"/>
        <v/>
      </c>
      <c r="M95" t="str">
        <f>IF($B95=REPORTE!$C$9,COUNTIF($B$2:$B95,REPORTE!$C$9),"")</f>
        <v/>
      </c>
      <c r="N95" t="str">
        <f t="shared" si="5"/>
        <v>PUEBLOVIEJO||INSTITUCION ETNOEDUCATIVA DEPARTAMENTAL RURAL SAN JUAN DE PALOS PRIETOS</v>
      </c>
    </row>
    <row r="96" spans="1:14" x14ac:dyDescent="0.25">
      <c r="A96">
        <v>95</v>
      </c>
      <c r="B96" t="s">
        <v>23114</v>
      </c>
      <c r="C96" t="s">
        <v>23201</v>
      </c>
      <c r="D96">
        <v>0</v>
      </c>
      <c r="E96">
        <v>113</v>
      </c>
      <c r="F96">
        <v>15</v>
      </c>
      <c r="G96">
        <v>80</v>
      </c>
      <c r="H96">
        <v>208</v>
      </c>
      <c r="L96" t="str">
        <f t="shared" si="4"/>
        <v/>
      </c>
      <c r="M96" t="str">
        <f>IF($B96=REPORTE!$C$9,COUNTIF($B$2:$B96,REPORTE!$C$9),"")</f>
        <v/>
      </c>
      <c r="N96" t="str">
        <f t="shared" si="5"/>
        <v>REMOLINO||INSTITUCION EDUCATIVA DEPARTAMENTAL BALDOMERO SANIN CANO</v>
      </c>
    </row>
    <row r="97" spans="1:14" x14ac:dyDescent="0.25">
      <c r="A97">
        <v>96</v>
      </c>
      <c r="B97" t="s">
        <v>23114</v>
      </c>
      <c r="C97" t="s">
        <v>23202</v>
      </c>
      <c r="D97">
        <v>12</v>
      </c>
      <c r="E97">
        <v>166</v>
      </c>
      <c r="F97">
        <v>0</v>
      </c>
      <c r="G97">
        <v>40</v>
      </c>
      <c r="H97">
        <v>218</v>
      </c>
      <c r="L97" t="str">
        <f t="shared" si="4"/>
        <v/>
      </c>
      <c r="M97" t="str">
        <f>IF($B97=REPORTE!$C$9,COUNTIF($B$2:$B97,REPORTE!$C$9),"")</f>
        <v/>
      </c>
      <c r="N97" t="str">
        <f t="shared" si="5"/>
        <v>REMOLINO||INSTITUCION EDUCATIVA DEPARTAMENTAL JUAN MANUEL RUDAS</v>
      </c>
    </row>
    <row r="98" spans="1:14" x14ac:dyDescent="0.25">
      <c r="A98">
        <v>97</v>
      </c>
      <c r="B98" t="s">
        <v>23116</v>
      </c>
      <c r="C98" t="s">
        <v>23203</v>
      </c>
      <c r="D98">
        <v>8</v>
      </c>
      <c r="E98">
        <v>309</v>
      </c>
      <c r="F98">
        <v>20</v>
      </c>
      <c r="G98">
        <v>180</v>
      </c>
      <c r="H98">
        <v>517</v>
      </c>
      <c r="L98" t="str">
        <f t="shared" ref="L98:L129" si="6">IFERROR(INDEX($C$2:$C$154,MATCH(ROW()-1,$M$2:$M$154,0)),"")</f>
        <v/>
      </c>
      <c r="M98" t="str">
        <f>IF($B98=REPORTE!$C$9,COUNTIF($B$2:$B98,REPORTE!$C$9),"")</f>
        <v/>
      </c>
      <c r="N98" t="str">
        <f t="shared" ref="N98:N129" si="7">$B98&amp;"||"&amp;$C98</f>
        <v>SABANAS DE SAN ANGEL||INSTITUCION EDUCATIVA DEPARTAMENTAL ALBERTO CABALLERO DE MONTE RUBIO</v>
      </c>
    </row>
    <row r="99" spans="1:14" x14ac:dyDescent="0.25">
      <c r="A99">
        <v>98</v>
      </c>
      <c r="B99" t="s">
        <v>23116</v>
      </c>
      <c r="C99" t="s">
        <v>23204</v>
      </c>
      <c r="D99">
        <v>4</v>
      </c>
      <c r="E99">
        <v>92</v>
      </c>
      <c r="F99">
        <v>0</v>
      </c>
      <c r="G99">
        <v>40</v>
      </c>
      <c r="H99">
        <v>136</v>
      </c>
      <c r="L99" t="str">
        <f t="shared" si="6"/>
        <v/>
      </c>
      <c r="M99" t="str">
        <f>IF($B99=REPORTE!$C$9,COUNTIF($B$2:$B99,REPORTE!$C$9),"")</f>
        <v/>
      </c>
      <c r="N99" t="str">
        <f t="shared" si="7"/>
        <v>SABANAS DE SAN ANGEL||INSTITUCION EDUCATIVA DEPARTAMENTAL FLORES DE MARIA</v>
      </c>
    </row>
    <row r="100" spans="1:14" x14ac:dyDescent="0.25">
      <c r="A100">
        <v>99</v>
      </c>
      <c r="B100" t="s">
        <v>23116</v>
      </c>
      <c r="C100" t="s">
        <v>23205</v>
      </c>
      <c r="D100">
        <v>18</v>
      </c>
      <c r="E100">
        <v>66</v>
      </c>
      <c r="F100">
        <v>0</v>
      </c>
      <c r="G100">
        <v>220</v>
      </c>
      <c r="H100">
        <v>304</v>
      </c>
      <c r="L100" t="str">
        <f t="shared" si="6"/>
        <v/>
      </c>
      <c r="M100" t="str">
        <f>IF($B100=REPORTE!$C$9,COUNTIF($B$2:$B100,REPORTE!$C$9),"")</f>
        <v/>
      </c>
      <c r="N100" t="str">
        <f t="shared" si="7"/>
        <v>SABANAS DE SAN ANGEL||INSTITUCION EDUCATIVA DEPARTAMENTAL LA CANDELARIA</v>
      </c>
    </row>
    <row r="101" spans="1:14" x14ac:dyDescent="0.25">
      <c r="A101">
        <v>100</v>
      </c>
      <c r="B101" t="s">
        <v>23116</v>
      </c>
      <c r="C101" t="s">
        <v>23206</v>
      </c>
      <c r="D101">
        <v>0</v>
      </c>
      <c r="E101">
        <v>608</v>
      </c>
      <c r="F101">
        <v>0</v>
      </c>
      <c r="G101">
        <v>380</v>
      </c>
      <c r="H101">
        <v>988</v>
      </c>
      <c r="L101" t="str">
        <f t="shared" si="6"/>
        <v/>
      </c>
      <c r="M101" t="str">
        <f>IF($B101=REPORTE!$C$9,COUNTIF($B$2:$B101,REPORTE!$C$9),"")</f>
        <v/>
      </c>
      <c r="N101" t="str">
        <f t="shared" si="7"/>
        <v>SABANAS DE SAN ANGEL||INSTITUCION EDUCATIVA DEPARTAMENTAL MANUEL SALVADOR MEZA CAMARGO</v>
      </c>
    </row>
    <row r="102" spans="1:14" x14ac:dyDescent="0.25">
      <c r="A102">
        <v>101</v>
      </c>
      <c r="B102" t="s">
        <v>23116</v>
      </c>
      <c r="C102" t="s">
        <v>23207</v>
      </c>
      <c r="D102">
        <v>4</v>
      </c>
      <c r="E102">
        <v>0</v>
      </c>
      <c r="F102">
        <v>45</v>
      </c>
      <c r="G102">
        <v>60</v>
      </c>
      <c r="H102">
        <v>109</v>
      </c>
      <c r="L102" t="str">
        <f t="shared" si="6"/>
        <v/>
      </c>
      <c r="M102" t="str">
        <f>IF($B102=REPORTE!$C$9,COUNTIF($B$2:$B102,REPORTE!$C$9),"")</f>
        <v/>
      </c>
      <c r="N102" t="str">
        <f t="shared" si="7"/>
        <v>SABANAS DE SAN ANGEL||INSTITUCION ETNOEDUCATIVA DEPARTAMENTAL ETTE ENNAKA</v>
      </c>
    </row>
    <row r="103" spans="1:14" x14ac:dyDescent="0.25">
      <c r="A103">
        <v>102</v>
      </c>
      <c r="B103" t="s">
        <v>23118</v>
      </c>
      <c r="C103" t="s">
        <v>23208</v>
      </c>
      <c r="D103">
        <v>10</v>
      </c>
      <c r="E103">
        <v>66</v>
      </c>
      <c r="F103">
        <v>100</v>
      </c>
      <c r="G103">
        <v>60</v>
      </c>
      <c r="H103">
        <v>236</v>
      </c>
      <c r="L103" t="str">
        <f t="shared" si="6"/>
        <v/>
      </c>
      <c r="M103" t="str">
        <f>IF($B103=REPORTE!$C$9,COUNTIF($B$2:$B103,REPORTE!$C$9),"")</f>
        <v/>
      </c>
      <c r="N103" t="str">
        <f t="shared" si="7"/>
        <v>SALAMINA||INSTITUCION EDUCATIVA DEPARTAMENTAL DE SALAMINA</v>
      </c>
    </row>
    <row r="104" spans="1:14" x14ac:dyDescent="0.25">
      <c r="A104">
        <v>103</v>
      </c>
      <c r="B104" t="s">
        <v>23118</v>
      </c>
      <c r="C104" t="s">
        <v>23209</v>
      </c>
      <c r="D104">
        <v>18</v>
      </c>
      <c r="E104">
        <v>66</v>
      </c>
      <c r="F104">
        <v>122</v>
      </c>
      <c r="G104">
        <v>40</v>
      </c>
      <c r="H104">
        <v>246</v>
      </c>
      <c r="L104" t="str">
        <f t="shared" si="6"/>
        <v/>
      </c>
      <c r="M104" t="str">
        <f>IF($B104=REPORTE!$C$9,COUNTIF($B$2:$B104,REPORTE!$C$9),"")</f>
        <v/>
      </c>
      <c r="N104" t="str">
        <f t="shared" si="7"/>
        <v>SALAMINA||INSTITUCION EDUCATIVA TÉCNICA DEPARTAMENTAL DE GUAIMARO</v>
      </c>
    </row>
    <row r="105" spans="1:14" x14ac:dyDescent="0.25">
      <c r="A105">
        <v>104</v>
      </c>
      <c r="B105" t="s">
        <v>23120</v>
      </c>
      <c r="C105" t="s">
        <v>23210</v>
      </c>
      <c r="D105">
        <v>18</v>
      </c>
      <c r="E105">
        <v>160</v>
      </c>
      <c r="F105">
        <v>215</v>
      </c>
      <c r="G105">
        <v>100</v>
      </c>
      <c r="H105">
        <v>493</v>
      </c>
      <c r="L105" t="str">
        <f t="shared" si="6"/>
        <v/>
      </c>
      <c r="M105" t="str">
        <f>IF($B105=REPORTE!$C$9,COUNTIF($B$2:$B105,REPORTE!$C$9),"")</f>
        <v/>
      </c>
      <c r="N105" t="str">
        <f t="shared" si="7"/>
        <v>SAN SEBASTIÁN DE BUENAVISTA||INSTITUCION EDUCATIVA DEPARTAMENTAL ALFONSO LOPEZ</v>
      </c>
    </row>
    <row r="106" spans="1:14" x14ac:dyDescent="0.25">
      <c r="A106">
        <v>105</v>
      </c>
      <c r="B106" t="s">
        <v>23120</v>
      </c>
      <c r="C106" t="s">
        <v>23211</v>
      </c>
      <c r="D106">
        <v>4</v>
      </c>
      <c r="E106">
        <v>0</v>
      </c>
      <c r="F106">
        <v>0</v>
      </c>
      <c r="G106">
        <v>0</v>
      </c>
      <c r="H106">
        <v>4</v>
      </c>
      <c r="L106" t="str">
        <f t="shared" si="6"/>
        <v/>
      </c>
      <c r="M106" t="str">
        <f>IF($B106=REPORTE!$C$9,COUNTIF($B$2:$B106,REPORTE!$C$9),"")</f>
        <v/>
      </c>
      <c r="N106" t="str">
        <f t="shared" si="7"/>
        <v>SAN SEBASTIÁN DE BUENAVISTA||INSTITUCION EDUCATIVA DEPARTAMENTAL ANDRES DIAZ VENERO DE LEIVA</v>
      </c>
    </row>
    <row r="107" spans="1:14" x14ac:dyDescent="0.25">
      <c r="A107">
        <v>106</v>
      </c>
      <c r="B107" t="s">
        <v>23120</v>
      </c>
      <c r="C107" t="s">
        <v>23212</v>
      </c>
      <c r="D107">
        <v>6</v>
      </c>
      <c r="E107">
        <v>161</v>
      </c>
      <c r="F107">
        <v>140</v>
      </c>
      <c r="G107">
        <v>120</v>
      </c>
      <c r="H107">
        <v>427</v>
      </c>
      <c r="L107" t="str">
        <f t="shared" si="6"/>
        <v/>
      </c>
      <c r="M107" t="str">
        <f>IF($B107=REPORTE!$C$9,COUNTIF($B$2:$B107,REPORTE!$C$9),"")</f>
        <v/>
      </c>
      <c r="N107" t="str">
        <f t="shared" si="7"/>
        <v>SAN SEBASTIÁN DE BUENAVISTA||INSTITUCION EDUCATIVA DEPARTAMENTAL DE LA PACHA</v>
      </c>
    </row>
    <row r="108" spans="1:14" x14ac:dyDescent="0.25">
      <c r="A108">
        <v>107</v>
      </c>
      <c r="B108" t="s">
        <v>23120</v>
      </c>
      <c r="C108" t="s">
        <v>23213</v>
      </c>
      <c r="D108">
        <v>6</v>
      </c>
      <c r="E108">
        <v>69</v>
      </c>
      <c r="F108">
        <v>0</v>
      </c>
      <c r="G108">
        <v>60</v>
      </c>
      <c r="H108">
        <v>135</v>
      </c>
      <c r="L108" t="str">
        <f t="shared" si="6"/>
        <v/>
      </c>
      <c r="M108" t="str">
        <f>IF($B108=REPORTE!$C$9,COUNTIF($B$2:$B108,REPORTE!$C$9),"")</f>
        <v/>
      </c>
      <c r="N108" t="str">
        <f t="shared" si="7"/>
        <v>SAN SEBASTIÁN DE BUENAVISTA||INSTITUCION EDUCATIVA DEPARTAMENTAL DE TRONCOSO</v>
      </c>
    </row>
    <row r="109" spans="1:14" x14ac:dyDescent="0.25">
      <c r="A109">
        <v>108</v>
      </c>
      <c r="B109" t="s">
        <v>23120</v>
      </c>
      <c r="C109" t="s">
        <v>23214</v>
      </c>
      <c r="D109">
        <v>16</v>
      </c>
      <c r="E109">
        <v>22</v>
      </c>
      <c r="F109">
        <v>139</v>
      </c>
      <c r="G109">
        <v>60</v>
      </c>
      <c r="H109">
        <v>237</v>
      </c>
      <c r="L109" t="str">
        <f t="shared" si="6"/>
        <v/>
      </c>
      <c r="M109" t="str">
        <f>IF($B109=REPORTE!$C$9,COUNTIF($B$2:$B109,REPORTE!$C$9),"")</f>
        <v/>
      </c>
      <c r="N109" t="str">
        <f t="shared" si="7"/>
        <v>SAN SEBASTIÁN DE BUENAVISTA||INSTITUCION EDUCATIVA DEPARTAMENTAL EXTERNADO MIXTO</v>
      </c>
    </row>
    <row r="110" spans="1:14" x14ac:dyDescent="0.25">
      <c r="A110">
        <v>109</v>
      </c>
      <c r="B110" t="s">
        <v>23120</v>
      </c>
      <c r="C110" t="s">
        <v>23215</v>
      </c>
      <c r="D110">
        <v>18</v>
      </c>
      <c r="E110">
        <v>0</v>
      </c>
      <c r="F110">
        <v>30</v>
      </c>
      <c r="G110">
        <v>20</v>
      </c>
      <c r="H110">
        <v>68</v>
      </c>
      <c r="L110" t="str">
        <f t="shared" si="6"/>
        <v/>
      </c>
      <c r="M110" t="str">
        <f>IF($B110=REPORTE!$C$9,COUNTIF($B$2:$B110,REPORTE!$C$9),"")</f>
        <v/>
      </c>
      <c r="N110" t="str">
        <f t="shared" si="7"/>
        <v>SAN SEBASTIÁN DE BUENAVISTA||INSTITUCION EDUCATIVA DEPARTAMENTAL LAS MERCEDES</v>
      </c>
    </row>
    <row r="111" spans="1:14" x14ac:dyDescent="0.25">
      <c r="A111">
        <v>110</v>
      </c>
      <c r="B111" t="s">
        <v>23120</v>
      </c>
      <c r="C111" t="s">
        <v>23216</v>
      </c>
      <c r="D111">
        <v>6</v>
      </c>
      <c r="E111">
        <v>47</v>
      </c>
      <c r="F111">
        <v>25</v>
      </c>
      <c r="G111">
        <v>0</v>
      </c>
      <c r="H111">
        <v>78</v>
      </c>
      <c r="L111" t="str">
        <f t="shared" si="6"/>
        <v/>
      </c>
      <c r="M111" t="str">
        <f>IF($B111=REPORTE!$C$9,COUNTIF($B$2:$B111,REPORTE!$C$9),"")</f>
        <v/>
      </c>
      <c r="N111" t="str">
        <f t="shared" si="7"/>
        <v>SAN SEBASTIÁN DE BUENAVISTA||INSTITUCION EDUCATIVA DEPARTAMENTAL RURAL LUIS MILLAN VARGAS</v>
      </c>
    </row>
    <row r="112" spans="1:14" x14ac:dyDescent="0.25">
      <c r="A112">
        <v>111</v>
      </c>
      <c r="B112" t="s">
        <v>23120</v>
      </c>
      <c r="C112" t="s">
        <v>23217</v>
      </c>
      <c r="D112">
        <v>0</v>
      </c>
      <c r="E112">
        <v>122</v>
      </c>
      <c r="F112">
        <v>0</v>
      </c>
      <c r="G112">
        <v>140</v>
      </c>
      <c r="H112">
        <v>262</v>
      </c>
      <c r="L112" t="str">
        <f t="shared" si="6"/>
        <v/>
      </c>
      <c r="M112" t="str">
        <f>IF($B112=REPORTE!$C$9,COUNTIF($B$2:$B112,REPORTE!$C$9),"")</f>
        <v/>
      </c>
      <c r="N112" t="str">
        <f t="shared" si="7"/>
        <v>SAN SEBASTIÁN DE BUENAVISTA||INSTITUCION EDUCATIVA DEPARTAMENTAL RURAL SAN VALENTIN</v>
      </c>
    </row>
    <row r="113" spans="1:14" x14ac:dyDescent="0.25">
      <c r="A113">
        <v>112</v>
      </c>
      <c r="B113" t="s">
        <v>23122</v>
      </c>
      <c r="C113" t="s">
        <v>23218</v>
      </c>
      <c r="D113">
        <v>14</v>
      </c>
      <c r="E113">
        <v>66</v>
      </c>
      <c r="F113">
        <v>0</v>
      </c>
      <c r="G113">
        <v>40</v>
      </c>
      <c r="H113">
        <v>120</v>
      </c>
      <c r="L113" t="str">
        <f t="shared" si="6"/>
        <v/>
      </c>
      <c r="M113" t="str">
        <f>IF($B113=REPORTE!$C$9,COUNTIF($B$2:$B113,REPORTE!$C$9),"")</f>
        <v/>
      </c>
      <c r="N113" t="str">
        <f t="shared" si="7"/>
        <v>SAN ZENÓN||INSTITUCION EDUCATIVA DEPARTAMENTAL EL HORNO</v>
      </c>
    </row>
    <row r="114" spans="1:14" x14ac:dyDescent="0.25">
      <c r="A114">
        <v>113</v>
      </c>
      <c r="B114" t="s">
        <v>23122</v>
      </c>
      <c r="C114" t="s">
        <v>23219</v>
      </c>
      <c r="D114">
        <v>14</v>
      </c>
      <c r="E114">
        <v>66</v>
      </c>
      <c r="F114">
        <v>0</v>
      </c>
      <c r="G114">
        <v>20</v>
      </c>
      <c r="H114">
        <v>100</v>
      </c>
      <c r="L114" t="str">
        <f t="shared" si="6"/>
        <v/>
      </c>
      <c r="M114" t="str">
        <f>IF($B114=REPORTE!$C$9,COUNTIF($B$2:$B114,REPORTE!$C$9),"")</f>
        <v/>
      </c>
      <c r="N114" t="str">
        <f t="shared" si="7"/>
        <v>SAN ZENÓN||INSTITUCION EDUCATIVA DEPARTAMENTAL GERARDO VALENCIA CANO</v>
      </c>
    </row>
    <row r="115" spans="1:14" x14ac:dyDescent="0.25">
      <c r="A115">
        <v>114</v>
      </c>
      <c r="B115" t="s">
        <v>23122</v>
      </c>
      <c r="C115" t="s">
        <v>23220</v>
      </c>
      <c r="D115">
        <v>4</v>
      </c>
      <c r="E115">
        <v>284</v>
      </c>
      <c r="F115">
        <v>130</v>
      </c>
      <c r="G115">
        <v>60</v>
      </c>
      <c r="H115">
        <v>478</v>
      </c>
      <c r="L115" t="str">
        <f t="shared" si="6"/>
        <v/>
      </c>
      <c r="M115" t="str">
        <f>IF($B115=REPORTE!$C$9,COUNTIF($B$2:$B115,REPORTE!$C$9),"")</f>
        <v/>
      </c>
      <c r="N115" t="str">
        <f t="shared" si="7"/>
        <v>SAN ZENÓN||INSTITUCION EDUCATIVA DEPARTAMENTAL JOSE DE LA LUZ MARTINEZ</v>
      </c>
    </row>
    <row r="116" spans="1:14" x14ac:dyDescent="0.25">
      <c r="A116">
        <v>115</v>
      </c>
      <c r="B116" t="s">
        <v>23122</v>
      </c>
      <c r="C116" t="s">
        <v>23221</v>
      </c>
      <c r="D116">
        <v>8</v>
      </c>
      <c r="E116">
        <v>287</v>
      </c>
      <c r="F116">
        <v>0</v>
      </c>
      <c r="G116">
        <v>180</v>
      </c>
      <c r="H116">
        <v>475</v>
      </c>
      <c r="L116" t="str">
        <f t="shared" si="6"/>
        <v/>
      </c>
      <c r="M116" t="str">
        <f>IF($B116=REPORTE!$C$9,COUNTIF($B$2:$B116,REPORTE!$C$9),"")</f>
        <v/>
      </c>
      <c r="N116" t="str">
        <f t="shared" si="7"/>
        <v>SAN ZENÓN||INSTITUCION EDUCATIVA DEPARTAMENTAL RURAL DE JANEIRO</v>
      </c>
    </row>
    <row r="117" spans="1:14" x14ac:dyDescent="0.25">
      <c r="A117">
        <v>116</v>
      </c>
      <c r="B117" t="s">
        <v>23122</v>
      </c>
      <c r="C117" t="s">
        <v>23222</v>
      </c>
      <c r="D117">
        <v>4</v>
      </c>
      <c r="E117">
        <v>82</v>
      </c>
      <c r="F117">
        <v>100</v>
      </c>
      <c r="G117">
        <v>60</v>
      </c>
      <c r="H117">
        <v>246</v>
      </c>
      <c r="L117" t="str">
        <f t="shared" si="6"/>
        <v/>
      </c>
      <c r="M117" t="str">
        <f>IF($B117=REPORTE!$C$9,COUNTIF($B$2:$B117,REPORTE!$C$9),"")</f>
        <v/>
      </c>
      <c r="N117" t="str">
        <f t="shared" si="7"/>
        <v>SAN ZENÓN||INSTITUCION EDUCATIVA DEPARTAMENTAL TOMAS HERRERA CANTILLO</v>
      </c>
    </row>
    <row r="118" spans="1:14" x14ac:dyDescent="0.25">
      <c r="A118">
        <v>117</v>
      </c>
      <c r="B118" t="s">
        <v>23124</v>
      </c>
      <c r="C118" t="s">
        <v>23223</v>
      </c>
      <c r="D118">
        <v>18</v>
      </c>
      <c r="E118">
        <v>269</v>
      </c>
      <c r="F118">
        <v>0</v>
      </c>
      <c r="G118">
        <v>180</v>
      </c>
      <c r="H118">
        <v>467</v>
      </c>
      <c r="L118" t="str">
        <f t="shared" si="6"/>
        <v/>
      </c>
      <c r="M118" t="str">
        <f>IF($B118=REPORTE!$C$9,COUNTIF($B$2:$B118,REPORTE!$C$9),"")</f>
        <v/>
      </c>
      <c r="N118" t="str">
        <f t="shared" si="7"/>
        <v>SANTA ANA||INSTITUCION EDUCATIVA DEPARTAMENTAL ANTONIO BRUJES CARMONA</v>
      </c>
    </row>
    <row r="119" spans="1:14" x14ac:dyDescent="0.25">
      <c r="A119">
        <v>118</v>
      </c>
      <c r="B119" t="s">
        <v>23124</v>
      </c>
      <c r="C119" t="s">
        <v>23224</v>
      </c>
      <c r="D119">
        <v>0</v>
      </c>
      <c r="E119">
        <v>22</v>
      </c>
      <c r="F119">
        <v>0</v>
      </c>
      <c r="G119">
        <v>0</v>
      </c>
      <c r="H119">
        <v>22</v>
      </c>
      <c r="L119" t="str">
        <f t="shared" si="6"/>
        <v/>
      </c>
      <c r="M119" t="str">
        <f>IF($B119=REPORTE!$C$9,COUNTIF($B$2:$B119,REPORTE!$C$9),"")</f>
        <v/>
      </c>
      <c r="N119" t="str">
        <f t="shared" si="7"/>
        <v>SANTA ANA||INSTITUCION EDUCATIVA DEPARTAMENTAL CELINDA MEJIA LOPEZ</v>
      </c>
    </row>
    <row r="120" spans="1:14" x14ac:dyDescent="0.25">
      <c r="A120">
        <v>119</v>
      </c>
      <c r="B120" t="s">
        <v>23124</v>
      </c>
      <c r="C120" t="s">
        <v>23225</v>
      </c>
      <c r="D120">
        <v>16</v>
      </c>
      <c r="E120">
        <v>250</v>
      </c>
      <c r="F120">
        <v>70</v>
      </c>
      <c r="G120">
        <v>80</v>
      </c>
      <c r="H120">
        <v>416</v>
      </c>
      <c r="L120" t="str">
        <f t="shared" si="6"/>
        <v/>
      </c>
      <c r="M120" t="str">
        <f>IF($B120=REPORTE!$C$9,COUNTIF($B$2:$B120,REPORTE!$C$9),"")</f>
        <v/>
      </c>
      <c r="N120" t="str">
        <f t="shared" si="7"/>
        <v>SANTA ANA||INSTITUCION EDUCATIVA DEPARTAMENTAL MARIA AUXILIADORA</v>
      </c>
    </row>
    <row r="121" spans="1:14" x14ac:dyDescent="0.25">
      <c r="A121">
        <v>120</v>
      </c>
      <c r="B121" t="s">
        <v>23124</v>
      </c>
      <c r="C121" t="s">
        <v>23226</v>
      </c>
      <c r="D121">
        <v>8</v>
      </c>
      <c r="E121">
        <v>0</v>
      </c>
      <c r="F121">
        <v>0</v>
      </c>
      <c r="G121">
        <v>0</v>
      </c>
      <c r="H121">
        <v>8</v>
      </c>
      <c r="L121" t="str">
        <f t="shared" si="6"/>
        <v/>
      </c>
      <c r="M121" t="str">
        <f>IF($B121=REPORTE!$C$9,COUNTIF($B$2:$B121,REPORTE!$C$9),"")</f>
        <v/>
      </c>
      <c r="N121" t="str">
        <f t="shared" si="7"/>
        <v>SANTA ANA||INSTITUCION EDUCATIVA DEPARTAMENTAL SAN JOSE DE SAN FERNANDO</v>
      </c>
    </row>
    <row r="122" spans="1:14" x14ac:dyDescent="0.25">
      <c r="A122">
        <v>121</v>
      </c>
      <c r="B122" t="s">
        <v>23124</v>
      </c>
      <c r="C122" t="s">
        <v>23227</v>
      </c>
      <c r="D122">
        <v>2</v>
      </c>
      <c r="E122">
        <v>60</v>
      </c>
      <c r="F122">
        <v>0</v>
      </c>
      <c r="G122">
        <v>20</v>
      </c>
      <c r="H122">
        <v>82</v>
      </c>
      <c r="L122" t="str">
        <f t="shared" si="6"/>
        <v/>
      </c>
      <c r="M122" t="str">
        <f>IF($B122=REPORTE!$C$9,COUNTIF($B$2:$B122,REPORTE!$C$9),"")</f>
        <v/>
      </c>
      <c r="N122" t="str">
        <f t="shared" si="7"/>
        <v>SANTA ANA||INSTITUCION EDUCATIVA TECNICA DEPARTAMENTAL DE GERMANIA</v>
      </c>
    </row>
    <row r="123" spans="1:14" x14ac:dyDescent="0.25">
      <c r="A123">
        <v>122</v>
      </c>
      <c r="B123" t="s">
        <v>23124</v>
      </c>
      <c r="C123" t="s">
        <v>23228</v>
      </c>
      <c r="D123">
        <v>16</v>
      </c>
      <c r="E123">
        <v>210</v>
      </c>
      <c r="F123">
        <v>90</v>
      </c>
      <c r="G123">
        <v>60</v>
      </c>
      <c r="H123">
        <v>376</v>
      </c>
      <c r="L123" t="str">
        <f t="shared" si="6"/>
        <v/>
      </c>
      <c r="M123" t="str">
        <f>IF($B123=REPORTE!$C$9,COUNTIF($B$2:$B123,REPORTE!$C$9),"")</f>
        <v/>
      </c>
      <c r="N123" t="str">
        <f t="shared" si="7"/>
        <v>SANTA ANA||INSTITUCION EDUCATIVA TECNICA DEPARTAMENTAL RAFAEL JIMENEZ ALTAHONA</v>
      </c>
    </row>
    <row r="124" spans="1:14" x14ac:dyDescent="0.25">
      <c r="A124">
        <v>123</v>
      </c>
      <c r="B124" t="s">
        <v>23126</v>
      </c>
      <c r="C124" t="s">
        <v>23229</v>
      </c>
      <c r="D124">
        <v>10</v>
      </c>
      <c r="E124">
        <v>99</v>
      </c>
      <c r="F124">
        <v>0</v>
      </c>
      <c r="G124">
        <v>0</v>
      </c>
      <c r="H124">
        <v>109</v>
      </c>
      <c r="L124" t="str">
        <f t="shared" si="6"/>
        <v/>
      </c>
      <c r="M124" t="str">
        <f>IF($B124=REPORTE!$C$9,COUNTIF($B$2:$B124,REPORTE!$C$9),"")</f>
        <v/>
      </c>
      <c r="N124" t="str">
        <f t="shared" si="7"/>
        <v>SANTA BÁRBARA DE PINTO||INSTITUCION EDUCATIVA DEPARTAMENTAL CIENAGUETA</v>
      </c>
    </row>
    <row r="125" spans="1:14" x14ac:dyDescent="0.25">
      <c r="A125">
        <v>124</v>
      </c>
      <c r="B125" t="s">
        <v>23126</v>
      </c>
      <c r="C125" t="s">
        <v>23165</v>
      </c>
      <c r="D125">
        <v>18</v>
      </c>
      <c r="E125">
        <v>94</v>
      </c>
      <c r="F125">
        <v>0</v>
      </c>
      <c r="G125">
        <v>0</v>
      </c>
      <c r="H125">
        <v>112</v>
      </c>
      <c r="L125" t="str">
        <f t="shared" si="6"/>
        <v/>
      </c>
      <c r="M125" t="str">
        <f>IF($B125=REPORTE!$C$9,COUNTIF($B$2:$B125,REPORTE!$C$9),"")</f>
        <v/>
      </c>
      <c r="N125" t="str">
        <f t="shared" si="7"/>
        <v>SANTA BÁRBARA DE PINTO||INSTITUCION EDUCATIVA DEPARTAMENTAL NUESTRA SEÑORA DEL CARMEN</v>
      </c>
    </row>
    <row r="126" spans="1:14" x14ac:dyDescent="0.25">
      <c r="A126">
        <v>125</v>
      </c>
      <c r="B126" t="s">
        <v>23126</v>
      </c>
      <c r="C126" t="s">
        <v>23230</v>
      </c>
      <c r="D126">
        <v>4</v>
      </c>
      <c r="E126">
        <v>69</v>
      </c>
      <c r="F126">
        <v>0</v>
      </c>
      <c r="G126">
        <v>0</v>
      </c>
      <c r="H126">
        <v>73</v>
      </c>
      <c r="L126" t="str">
        <f t="shared" si="6"/>
        <v/>
      </c>
      <c r="M126" t="str">
        <f>IF($B126=REPORTE!$C$9,COUNTIF($B$2:$B126,REPORTE!$C$9),"")</f>
        <v/>
      </c>
      <c r="N126" t="str">
        <f t="shared" si="7"/>
        <v>SANTA BÁRBARA DE PINTO||INSTITUCION EDUCATIVA DEPARTAMENTAL RURAL NUESTRA SEÑORA DEL ROSARIO</v>
      </c>
    </row>
    <row r="127" spans="1:14" x14ac:dyDescent="0.25">
      <c r="A127">
        <v>126</v>
      </c>
      <c r="B127" t="s">
        <v>23126</v>
      </c>
      <c r="C127" t="s">
        <v>23189</v>
      </c>
      <c r="D127">
        <v>4</v>
      </c>
      <c r="E127">
        <v>25</v>
      </c>
      <c r="F127">
        <v>10</v>
      </c>
      <c r="G127">
        <v>140</v>
      </c>
      <c r="H127">
        <v>179</v>
      </c>
      <c r="L127" t="str">
        <f t="shared" si="6"/>
        <v/>
      </c>
      <c r="M127" t="str">
        <f>IF($B127=REPORTE!$C$9,COUNTIF($B$2:$B127,REPORTE!$C$9),"")</f>
        <v/>
      </c>
      <c r="N127" t="str">
        <f t="shared" si="7"/>
        <v>SANTA BÁRBARA DE PINTO||INSTITUCION EDUCATIVA DEPARTAMENTAL SAGRADO CORAZON DE JESUS</v>
      </c>
    </row>
    <row r="128" spans="1:14" x14ac:dyDescent="0.25">
      <c r="A128">
        <v>127</v>
      </c>
      <c r="B128" t="s">
        <v>23126</v>
      </c>
      <c r="C128" t="s">
        <v>23231</v>
      </c>
      <c r="D128">
        <v>8</v>
      </c>
      <c r="E128">
        <v>155</v>
      </c>
      <c r="F128">
        <v>100</v>
      </c>
      <c r="G128">
        <v>60</v>
      </c>
      <c r="H128">
        <v>323</v>
      </c>
      <c r="L128" t="str">
        <f t="shared" si="6"/>
        <v/>
      </c>
      <c r="M128" t="str">
        <f>IF($B128=REPORTE!$C$9,COUNTIF($B$2:$B128,REPORTE!$C$9),"")</f>
        <v/>
      </c>
      <c r="N128" t="str">
        <f t="shared" si="7"/>
        <v>SANTA BÁRBARA DE PINTO||INSTITUCION EDUCATIVA TECNICA DEPARTAMENTAL DE PINTO GILMA ROYERO SOLANO</v>
      </c>
    </row>
    <row r="129" spans="1:14" x14ac:dyDescent="0.25">
      <c r="A129">
        <v>128</v>
      </c>
      <c r="B129" t="s">
        <v>23128</v>
      </c>
      <c r="C129" t="s">
        <v>23232</v>
      </c>
      <c r="D129">
        <v>11</v>
      </c>
      <c r="E129">
        <v>298</v>
      </c>
      <c r="F129">
        <v>25</v>
      </c>
      <c r="G129">
        <v>40</v>
      </c>
      <c r="H129">
        <v>374</v>
      </c>
      <c r="L129" t="str">
        <f t="shared" si="6"/>
        <v/>
      </c>
      <c r="M129" t="str">
        <f>IF($B129=REPORTE!$C$9,COUNTIF($B$2:$B129,REPORTE!$C$9),"")</f>
        <v/>
      </c>
      <c r="N129" t="str">
        <f t="shared" si="7"/>
        <v>SITIONUEVO||INSTITUCION EDUCATIVA DEPARTAMENTAL RURAL DE PALERMO</v>
      </c>
    </row>
    <row r="130" spans="1:14" x14ac:dyDescent="0.25">
      <c r="A130">
        <v>129</v>
      </c>
      <c r="B130" t="s">
        <v>23128</v>
      </c>
      <c r="C130" t="s">
        <v>23233</v>
      </c>
      <c r="D130">
        <v>18</v>
      </c>
      <c r="E130">
        <v>512</v>
      </c>
      <c r="F130">
        <v>0</v>
      </c>
      <c r="G130">
        <v>140</v>
      </c>
      <c r="H130">
        <v>670</v>
      </c>
      <c r="L130" t="str">
        <f t="shared" ref="L130:L154" si="8">IFERROR(INDEX($C$2:$C$154,MATCH(ROW()-1,$M$2:$M$154,0)),"")</f>
        <v/>
      </c>
      <c r="M130" t="str">
        <f>IF($B130=REPORTE!$C$9,COUNTIF($B$2:$B130,REPORTE!$C$9),"")</f>
        <v/>
      </c>
      <c r="N130" t="str">
        <f t="shared" ref="N130:N154" si="9">$B130&amp;"||"&amp;$C130</f>
        <v>SITIONUEVO||INSTITUCION EDUCATIVA TÉCNICA DEPARTAMENTAL SAN JOSE</v>
      </c>
    </row>
    <row r="131" spans="1:14" x14ac:dyDescent="0.25">
      <c r="A131">
        <v>130</v>
      </c>
      <c r="B131" t="s">
        <v>23130</v>
      </c>
      <c r="C131" t="s">
        <v>23234</v>
      </c>
      <c r="D131">
        <v>14</v>
      </c>
      <c r="E131">
        <v>110</v>
      </c>
      <c r="F131">
        <v>0</v>
      </c>
      <c r="G131">
        <v>160</v>
      </c>
      <c r="H131">
        <v>284</v>
      </c>
      <c r="L131" t="str">
        <f t="shared" si="8"/>
        <v/>
      </c>
      <c r="M131" t="str">
        <f>IF($B131=REPORTE!$C$9,COUNTIF($B$2:$B131,REPORTE!$C$9),"")</f>
        <v/>
      </c>
      <c r="N131" t="str">
        <f t="shared" si="9"/>
        <v>TENERIFE||INSTITUCION EDUCATIVA DEPARTAMENTAL ANUAR RIVERA JATTAR</v>
      </c>
    </row>
    <row r="132" spans="1:14" x14ac:dyDescent="0.25">
      <c r="A132">
        <v>131</v>
      </c>
      <c r="B132" t="s">
        <v>23130</v>
      </c>
      <c r="C132" t="s">
        <v>23235</v>
      </c>
      <c r="D132">
        <v>18</v>
      </c>
      <c r="E132">
        <v>428</v>
      </c>
      <c r="F132">
        <v>0</v>
      </c>
      <c r="G132">
        <v>840</v>
      </c>
      <c r="H132">
        <v>1286</v>
      </c>
      <c r="L132" t="str">
        <f t="shared" si="8"/>
        <v/>
      </c>
      <c r="M132" t="str">
        <f>IF($B132=REPORTE!$C$9,COUNTIF($B$2:$B132,REPORTE!$C$9),"")</f>
        <v/>
      </c>
      <c r="N132" t="str">
        <f t="shared" si="9"/>
        <v>TENERIFE||INSTITUCION EDUCATIVA DEPARTAMENTAL EL CONSUELO</v>
      </c>
    </row>
    <row r="133" spans="1:14" x14ac:dyDescent="0.25">
      <c r="A133">
        <v>132</v>
      </c>
      <c r="B133" t="s">
        <v>23130</v>
      </c>
      <c r="C133" t="s">
        <v>23225</v>
      </c>
      <c r="D133">
        <v>16</v>
      </c>
      <c r="E133">
        <v>91</v>
      </c>
      <c r="F133">
        <v>55</v>
      </c>
      <c r="G133">
        <v>140</v>
      </c>
      <c r="H133">
        <v>302</v>
      </c>
      <c r="L133" t="str">
        <f t="shared" si="8"/>
        <v/>
      </c>
      <c r="M133" t="str">
        <f>IF($B133=REPORTE!$C$9,COUNTIF($B$2:$B133,REPORTE!$C$9),"")</f>
        <v/>
      </c>
      <c r="N133" t="str">
        <f t="shared" si="9"/>
        <v>TENERIFE||INSTITUCION EDUCATIVA DEPARTAMENTAL MARIA AUXILIADORA</v>
      </c>
    </row>
    <row r="134" spans="1:14" x14ac:dyDescent="0.25">
      <c r="A134">
        <v>133</v>
      </c>
      <c r="B134" t="s">
        <v>23130</v>
      </c>
      <c r="C134" t="s">
        <v>23236</v>
      </c>
      <c r="D134">
        <v>12</v>
      </c>
      <c r="E134">
        <v>52</v>
      </c>
      <c r="F134">
        <v>0</v>
      </c>
      <c r="G134">
        <v>60</v>
      </c>
      <c r="H134">
        <v>124</v>
      </c>
      <c r="L134" t="str">
        <f t="shared" si="8"/>
        <v/>
      </c>
      <c r="M134" t="str">
        <f>IF($B134=REPORTE!$C$9,COUNTIF($B$2:$B134,REPORTE!$C$9),"")</f>
        <v/>
      </c>
      <c r="N134" t="str">
        <f t="shared" si="9"/>
        <v>TENERIFE||INSTITUCION EDUCATIVA DEPARTAMENTAL REAL DEL OBISPO</v>
      </c>
    </row>
    <row r="135" spans="1:14" x14ac:dyDescent="0.25">
      <c r="A135">
        <v>134</v>
      </c>
      <c r="B135" t="s">
        <v>23130</v>
      </c>
      <c r="C135" t="s">
        <v>23237</v>
      </c>
      <c r="D135">
        <v>12</v>
      </c>
      <c r="E135">
        <v>72</v>
      </c>
      <c r="F135">
        <v>0</v>
      </c>
      <c r="G135">
        <v>20</v>
      </c>
      <c r="H135">
        <v>104</v>
      </c>
      <c r="L135" t="str">
        <f t="shared" si="8"/>
        <v/>
      </c>
      <c r="M135" t="str">
        <f>IF($B135=REPORTE!$C$9,COUNTIF($B$2:$B135,REPORTE!$C$9),"")</f>
        <v/>
      </c>
      <c r="N135" t="str">
        <f t="shared" si="9"/>
        <v>TENERIFE||INSTITUCION EDUCATIVA DEPARTAMENTAL SANTA INES</v>
      </c>
    </row>
    <row r="136" spans="1:14" x14ac:dyDescent="0.25">
      <c r="A136">
        <v>135</v>
      </c>
      <c r="B136" t="s">
        <v>23130</v>
      </c>
      <c r="C136" t="s">
        <v>23238</v>
      </c>
      <c r="D136">
        <v>0</v>
      </c>
      <c r="E136">
        <v>179</v>
      </c>
      <c r="F136">
        <v>25</v>
      </c>
      <c r="G136">
        <v>60</v>
      </c>
      <c r="H136">
        <v>264</v>
      </c>
      <c r="L136" t="str">
        <f t="shared" si="8"/>
        <v/>
      </c>
      <c r="M136" t="str">
        <f>IF($B136=REPORTE!$C$9,COUNTIF($B$2:$B136,REPORTE!$C$9),"")</f>
        <v/>
      </c>
      <c r="N136" t="str">
        <f t="shared" si="9"/>
        <v>TENERIFE||INSTITUCION EDUCATIVA TECNICA DEPARTAMENTAL SIMON BOLIVAR</v>
      </c>
    </row>
    <row r="137" spans="1:14" x14ac:dyDescent="0.25">
      <c r="A137">
        <v>137</v>
      </c>
      <c r="B137" t="s">
        <v>23132</v>
      </c>
      <c r="C137" t="s">
        <v>23239</v>
      </c>
      <c r="D137">
        <v>4</v>
      </c>
      <c r="E137">
        <v>47</v>
      </c>
      <c r="F137">
        <v>0</v>
      </c>
      <c r="G137">
        <v>0</v>
      </c>
      <c r="H137">
        <v>51</v>
      </c>
      <c r="L137" t="str">
        <f t="shared" si="8"/>
        <v/>
      </c>
      <c r="M137" t="str">
        <f>IF($B137=REPORTE!$C$9,COUNTIF($B$2:$B137,REPORTE!$C$9),"")</f>
        <v/>
      </c>
      <c r="N137" t="str">
        <f t="shared" si="9"/>
        <v>ZAPAYÁN||INSTITUCION EDUCATIVA DEPARTAMENTAL CAÑO DE AGUAS</v>
      </c>
    </row>
    <row r="138" spans="1:14" x14ac:dyDescent="0.25">
      <c r="A138">
        <v>136</v>
      </c>
      <c r="B138" t="s">
        <v>23132</v>
      </c>
      <c r="C138" t="s">
        <v>23240</v>
      </c>
      <c r="D138">
        <v>12</v>
      </c>
      <c r="E138">
        <v>176</v>
      </c>
      <c r="F138">
        <v>0</v>
      </c>
      <c r="G138">
        <v>100</v>
      </c>
      <c r="H138">
        <v>288</v>
      </c>
      <c r="L138" t="str">
        <f t="shared" si="8"/>
        <v/>
      </c>
      <c r="M138" t="str">
        <f>IF($B138=REPORTE!$C$9,COUNTIF($B$2:$B138,REPORTE!$C$9),"")</f>
        <v/>
      </c>
      <c r="N138" t="str">
        <f t="shared" si="9"/>
        <v>ZAPAYÁN||INSTITUCION EDUCATIVA DEPARTAMENTAL DAGOBERTO OROZCO BORJA</v>
      </c>
    </row>
    <row r="139" spans="1:14" x14ac:dyDescent="0.25">
      <c r="A139">
        <v>138</v>
      </c>
      <c r="B139" t="s">
        <v>23132</v>
      </c>
      <c r="C139" t="s">
        <v>23241</v>
      </c>
      <c r="D139">
        <v>10</v>
      </c>
      <c r="E139">
        <v>91</v>
      </c>
      <c r="F139">
        <v>0</v>
      </c>
      <c r="G139">
        <v>0</v>
      </c>
      <c r="H139">
        <v>101</v>
      </c>
      <c r="L139" t="str">
        <f t="shared" si="8"/>
        <v/>
      </c>
      <c r="M139" t="str">
        <f>IF($B139=REPORTE!$C$9,COUNTIF($B$2:$B139,REPORTE!$C$9),"")</f>
        <v/>
      </c>
      <c r="N139" t="str">
        <f t="shared" si="9"/>
        <v>ZAPAYÁN||INSTITUCION EDUCATIVA DEPARTAMENTAL LICEO ZAPAYAN</v>
      </c>
    </row>
    <row r="140" spans="1:14" x14ac:dyDescent="0.25">
      <c r="A140">
        <v>139</v>
      </c>
      <c r="B140" t="s">
        <v>23134</v>
      </c>
      <c r="C140" t="s">
        <v>23242</v>
      </c>
      <c r="D140">
        <v>17</v>
      </c>
      <c r="E140">
        <v>570</v>
      </c>
      <c r="F140">
        <v>0</v>
      </c>
      <c r="G140">
        <v>260</v>
      </c>
      <c r="H140">
        <v>847</v>
      </c>
      <c r="L140" t="str">
        <f t="shared" si="8"/>
        <v/>
      </c>
      <c r="M140" t="str">
        <f>IF($B140=REPORTE!$C$9,COUNTIF($B$2:$B140,REPORTE!$C$9),"")</f>
        <v/>
      </c>
      <c r="N140" t="str">
        <f t="shared" si="9"/>
        <v>ZONA BANANERA||INSTITUCION EDUCATIVA DEPARTAMENTAL ARMANDO ESTRADA FLOREZ</v>
      </c>
    </row>
    <row r="141" spans="1:14" x14ac:dyDescent="0.25">
      <c r="A141">
        <v>140</v>
      </c>
      <c r="B141" t="s">
        <v>23134</v>
      </c>
      <c r="C141" t="s">
        <v>23243</v>
      </c>
      <c r="D141">
        <v>14</v>
      </c>
      <c r="E141">
        <v>231</v>
      </c>
      <c r="F141">
        <v>0</v>
      </c>
      <c r="G141">
        <v>100</v>
      </c>
      <c r="H141">
        <v>345</v>
      </c>
      <c r="L141" t="str">
        <f t="shared" si="8"/>
        <v/>
      </c>
      <c r="M141" t="str">
        <f>IF($B141=REPORTE!$C$9,COUNTIF($B$2:$B141,REPORTE!$C$9),"")</f>
        <v/>
      </c>
      <c r="N141" t="str">
        <f t="shared" si="9"/>
        <v>ZONA BANANERA||INSTITUCION EDUCATIVA DEPARTAMENTAL CANDELARIA</v>
      </c>
    </row>
    <row r="142" spans="1:14" x14ac:dyDescent="0.25">
      <c r="A142">
        <v>141</v>
      </c>
      <c r="B142" t="s">
        <v>23134</v>
      </c>
      <c r="C142" t="s">
        <v>23244</v>
      </c>
      <c r="D142">
        <v>6</v>
      </c>
      <c r="E142">
        <v>94</v>
      </c>
      <c r="F142">
        <v>0</v>
      </c>
      <c r="G142">
        <v>80</v>
      </c>
      <c r="H142">
        <v>180</v>
      </c>
      <c r="L142" t="str">
        <f t="shared" si="8"/>
        <v/>
      </c>
      <c r="M142" t="str">
        <f>IF($B142=REPORTE!$C$9,COUNTIF($B$2:$B142,REPORTE!$C$9),"")</f>
        <v/>
      </c>
      <c r="N142" t="str">
        <f t="shared" si="9"/>
        <v>ZONA BANANERA||INSTITUCION EDUCATIVA DEPARTAMENTAL CERRO BLANCO</v>
      </c>
    </row>
    <row r="143" spans="1:14" x14ac:dyDescent="0.25">
      <c r="A143">
        <v>142</v>
      </c>
      <c r="B143" t="s">
        <v>23134</v>
      </c>
      <c r="C143" t="s">
        <v>23245</v>
      </c>
      <c r="D143">
        <v>12</v>
      </c>
      <c r="E143">
        <v>100</v>
      </c>
      <c r="F143">
        <v>0</v>
      </c>
      <c r="G143">
        <v>40</v>
      </c>
      <c r="H143">
        <v>152</v>
      </c>
      <c r="L143" t="str">
        <f t="shared" si="8"/>
        <v/>
      </c>
      <c r="M143" t="str">
        <f>IF($B143=REPORTE!$C$9,COUNTIF($B$2:$B143,REPORTE!$C$9),"")</f>
        <v/>
      </c>
      <c r="N143" t="str">
        <f t="shared" si="9"/>
        <v>ZONA BANANERA||INSTITUCION ETNOEDUCATIVA DEPARTAMENTAL CIUDAD PERDIDA</v>
      </c>
    </row>
    <row r="144" spans="1:14" x14ac:dyDescent="0.25">
      <c r="A144">
        <v>143</v>
      </c>
      <c r="B144" t="s">
        <v>23134</v>
      </c>
      <c r="C144" t="s">
        <v>23246</v>
      </c>
      <c r="D144">
        <v>10</v>
      </c>
      <c r="E144">
        <v>159</v>
      </c>
      <c r="F144">
        <v>30</v>
      </c>
      <c r="G144">
        <v>80</v>
      </c>
      <c r="H144">
        <v>279</v>
      </c>
      <c r="L144" t="str">
        <f t="shared" si="8"/>
        <v/>
      </c>
      <c r="M144" t="str">
        <f>IF($B144=REPORTE!$C$9,COUNTIF($B$2:$B144,REPORTE!$C$9),"")</f>
        <v/>
      </c>
      <c r="N144" t="str">
        <f t="shared" si="9"/>
        <v>ZONA BANANERA||INSTITUCION EDUCATIVA DEPARTAMENTAL ETNOEDUCATIVA SANTA ROSALIA</v>
      </c>
    </row>
    <row r="145" spans="1:14" x14ac:dyDescent="0.25">
      <c r="A145">
        <v>144</v>
      </c>
      <c r="B145" t="s">
        <v>23134</v>
      </c>
      <c r="C145" t="s">
        <v>23215</v>
      </c>
      <c r="D145">
        <v>2</v>
      </c>
      <c r="E145">
        <v>69</v>
      </c>
      <c r="F145">
        <v>0</v>
      </c>
      <c r="G145">
        <v>160</v>
      </c>
      <c r="H145">
        <v>231</v>
      </c>
      <c r="L145" t="str">
        <f t="shared" si="8"/>
        <v/>
      </c>
      <c r="M145" t="str">
        <f>IF($B145=REPORTE!$C$9,COUNTIF($B$2:$B145,REPORTE!$C$9),"")</f>
        <v/>
      </c>
      <c r="N145" t="str">
        <f t="shared" si="9"/>
        <v>ZONA BANANERA||INSTITUCION EDUCATIVA DEPARTAMENTAL LAS MERCEDES</v>
      </c>
    </row>
    <row r="146" spans="1:14" x14ac:dyDescent="0.25">
      <c r="A146">
        <v>145</v>
      </c>
      <c r="B146" t="s">
        <v>23134</v>
      </c>
      <c r="C146" t="s">
        <v>23247</v>
      </c>
      <c r="D146">
        <v>10</v>
      </c>
      <c r="E146">
        <v>282</v>
      </c>
      <c r="F146">
        <v>0</v>
      </c>
      <c r="G146">
        <v>120</v>
      </c>
      <c r="H146">
        <v>412</v>
      </c>
      <c r="L146" t="str">
        <f t="shared" si="8"/>
        <v/>
      </c>
      <c r="M146" t="str">
        <f>IF($B146=REPORTE!$C$9,COUNTIF($B$2:$B146,REPORTE!$C$9),"")</f>
        <v/>
      </c>
      <c r="N146" t="str">
        <f t="shared" si="9"/>
        <v>ZONA BANANERA||INSTITUCION EDUCATIVA DEPARTAMENTAL RODRIGO VIVES DE ANDREIS</v>
      </c>
    </row>
    <row r="147" spans="1:14" x14ac:dyDescent="0.25">
      <c r="A147">
        <v>146</v>
      </c>
      <c r="B147" t="s">
        <v>23134</v>
      </c>
      <c r="C147" t="s">
        <v>23248</v>
      </c>
      <c r="D147">
        <v>10</v>
      </c>
      <c r="E147">
        <v>163</v>
      </c>
      <c r="F147">
        <v>0</v>
      </c>
      <c r="G147">
        <v>140</v>
      </c>
      <c r="H147">
        <v>313</v>
      </c>
      <c r="L147" t="str">
        <f t="shared" si="8"/>
        <v/>
      </c>
      <c r="M147" t="str">
        <f>IF($B147=REPORTE!$C$9,COUNTIF($B$2:$B147,REPORTE!$C$9),"")</f>
        <v/>
      </c>
      <c r="N147" t="str">
        <f t="shared" si="9"/>
        <v>ZONA BANANERA||INSTITUCION EDUCATIVA DEPARTAMENTAL SAN JOSE DE KENNEDY</v>
      </c>
    </row>
    <row r="148" spans="1:14" x14ac:dyDescent="0.25">
      <c r="A148">
        <v>147</v>
      </c>
      <c r="B148" t="s">
        <v>23134</v>
      </c>
      <c r="C148" t="s">
        <v>23249</v>
      </c>
      <c r="D148">
        <v>18</v>
      </c>
      <c r="E148">
        <v>22</v>
      </c>
      <c r="F148">
        <v>0</v>
      </c>
      <c r="G148">
        <v>260</v>
      </c>
      <c r="H148">
        <v>300</v>
      </c>
      <c r="L148" t="str">
        <f t="shared" si="8"/>
        <v/>
      </c>
      <c r="M148" t="str">
        <f>IF($B148=REPORTE!$C$9,COUNTIF($B$2:$B148,REPORTE!$C$9),"")</f>
        <v/>
      </c>
      <c r="N148" t="str">
        <f t="shared" si="9"/>
        <v>ZONA BANANERA||INSTITUCION EDUCATIVA DEPARTAMENTAL THELMA ROSA AREVALO</v>
      </c>
    </row>
    <row r="149" spans="1:14" x14ac:dyDescent="0.25">
      <c r="A149">
        <v>148</v>
      </c>
      <c r="B149" t="s">
        <v>23134</v>
      </c>
      <c r="C149" t="s">
        <v>23250</v>
      </c>
      <c r="D149">
        <v>6</v>
      </c>
      <c r="E149">
        <v>453</v>
      </c>
      <c r="F149">
        <v>0</v>
      </c>
      <c r="G149">
        <v>240</v>
      </c>
      <c r="H149">
        <v>699</v>
      </c>
      <c r="L149" t="str">
        <f t="shared" si="8"/>
        <v/>
      </c>
      <c r="M149" t="str">
        <f>IF($B149=REPORTE!$C$9,COUNTIF($B$2:$B149,REPORTE!$C$9),"")</f>
        <v/>
      </c>
      <c r="N149" t="str">
        <f t="shared" si="9"/>
        <v>ZONA BANANERA||INSTITUCION EDUCATIVA ETNOEDUCATIVA DEPARTAMENTAL MACONDO</v>
      </c>
    </row>
    <row r="150" spans="1:14" x14ac:dyDescent="0.25">
      <c r="A150">
        <v>149</v>
      </c>
      <c r="B150" t="s">
        <v>23134</v>
      </c>
      <c r="C150" t="s">
        <v>23251</v>
      </c>
      <c r="D150">
        <v>10</v>
      </c>
      <c r="E150">
        <v>298</v>
      </c>
      <c r="F150">
        <v>85</v>
      </c>
      <c r="G150">
        <v>160</v>
      </c>
      <c r="H150">
        <v>553</v>
      </c>
      <c r="L150" t="str">
        <f t="shared" si="8"/>
        <v/>
      </c>
      <c r="M150" t="str">
        <f>IF($B150=REPORTE!$C$9,COUNTIF($B$2:$B150,REPORTE!$C$9),"")</f>
        <v/>
      </c>
      <c r="N150" t="str">
        <f t="shared" si="9"/>
        <v>ZONA BANANERA||INSTITUCION EDUCATIVA ETNOEDUCATIVA DEPARTAMENTAL TUCURINCA</v>
      </c>
    </row>
    <row r="151" spans="1:14" x14ac:dyDescent="0.25">
      <c r="A151">
        <v>150</v>
      </c>
      <c r="B151" t="s">
        <v>23134</v>
      </c>
      <c r="C151" t="s">
        <v>23252</v>
      </c>
      <c r="D151">
        <v>21</v>
      </c>
      <c r="E151">
        <v>47</v>
      </c>
      <c r="F151">
        <v>0</v>
      </c>
      <c r="G151">
        <v>100</v>
      </c>
      <c r="H151">
        <v>168</v>
      </c>
      <c r="L151" t="str">
        <f t="shared" si="8"/>
        <v/>
      </c>
      <c r="M151" t="str">
        <f>IF($B151=REPORTE!$C$9,COUNTIF($B$2:$B151,REPORTE!$C$9),"")</f>
        <v/>
      </c>
      <c r="N151" t="str">
        <f t="shared" si="9"/>
        <v>ZONA BANANERA||INSTITUCION ETNOEDUCATIVA DEPARTAMENTAL DE SOPLADOR</v>
      </c>
    </row>
    <row r="152" spans="1:14" x14ac:dyDescent="0.25">
      <c r="A152">
        <v>151</v>
      </c>
      <c r="B152" t="s">
        <v>23134</v>
      </c>
      <c r="C152" t="s">
        <v>23253</v>
      </c>
      <c r="D152">
        <v>16</v>
      </c>
      <c r="E152">
        <v>338</v>
      </c>
      <c r="F152">
        <v>0</v>
      </c>
      <c r="G152">
        <v>280</v>
      </c>
      <c r="H152">
        <v>634</v>
      </c>
      <c r="L152" t="str">
        <f t="shared" si="8"/>
        <v/>
      </c>
      <c r="M152" t="str">
        <f>IF($B152=REPORTE!$C$9,COUNTIF($B$2:$B152,REPORTE!$C$9),"")</f>
        <v/>
      </c>
      <c r="N152" t="str">
        <f t="shared" si="9"/>
        <v>ZONA BANANERA||INSTITUCION ETNOEDUCATIVA DEPARTAMENTAL HUMBERTO VELAZQUEZ GARCIA</v>
      </c>
    </row>
    <row r="153" spans="1:14" x14ac:dyDescent="0.25">
      <c r="A153">
        <v>152</v>
      </c>
      <c r="B153" t="s">
        <v>23134</v>
      </c>
      <c r="C153" t="s">
        <v>23254</v>
      </c>
      <c r="D153">
        <v>21</v>
      </c>
      <c r="E153">
        <v>69</v>
      </c>
      <c r="F153">
        <v>0</v>
      </c>
      <c r="G153">
        <v>40</v>
      </c>
      <c r="H153">
        <v>130</v>
      </c>
      <c r="L153" t="str">
        <f t="shared" si="8"/>
        <v/>
      </c>
      <c r="M153" t="str">
        <f>IF($B153=REPORTE!$C$9,COUNTIF($B$2:$B153,REPORTE!$C$9),"")</f>
        <v/>
      </c>
      <c r="N153" t="str">
        <f t="shared" si="9"/>
        <v>ZONA BANANERA||INSTITUCION ETNOEDUCATIVA DEPARTAMENTAL JOSE BENITO VIVES DE ANDREIS</v>
      </c>
    </row>
    <row r="154" spans="1:14" x14ac:dyDescent="0.25">
      <c r="A154">
        <v>153</v>
      </c>
      <c r="B154" t="s">
        <v>23134</v>
      </c>
      <c r="C154" t="s">
        <v>23255</v>
      </c>
      <c r="D154">
        <v>21</v>
      </c>
      <c r="E154">
        <v>66</v>
      </c>
      <c r="F154">
        <v>0</v>
      </c>
      <c r="G154">
        <v>100</v>
      </c>
      <c r="H154">
        <v>187</v>
      </c>
      <c r="L154" t="str">
        <f t="shared" si="8"/>
        <v/>
      </c>
      <c r="M154" t="str">
        <f>IF($B154=REPORTE!$C$9,COUNTIF($B$2:$B154,REPORTE!$C$9),"")</f>
        <v/>
      </c>
      <c r="N154" t="str">
        <f t="shared" si="9"/>
        <v>ZONA BANANERA||INSTITUCION ETNOEDUCATIVA DEPARTAMENTAL RURAL GUILLERMO ALVAREZ</v>
      </c>
    </row>
  </sheetData>
  <sheetProtection password="DF7E" sheet="1"/>
  <pageMargins left="0.75" right="0.75" top="1" bottom="1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53"/>
  <sheetViews>
    <sheetView showGridLines="0" tabSelected="1" zoomScaleNormal="100" workbookViewId="0">
      <selection activeCell="M13" sqref="M13"/>
    </sheetView>
  </sheetViews>
  <sheetFormatPr baseColWidth="10" defaultColWidth="8.7109375" defaultRowHeight="15" x14ac:dyDescent="0.25"/>
  <cols>
    <col min="1" max="1" width="6" customWidth="1"/>
    <col min="2" max="2" width="16" customWidth="1"/>
    <col min="3" max="3" width="34" customWidth="1"/>
    <col min="4" max="4" width="30" customWidth="1"/>
    <col min="5" max="5" width="13" customWidth="1"/>
    <col min="6" max="7" width="11.42578125" customWidth="1"/>
    <col min="8" max="8" width="12" customWidth="1"/>
    <col min="9" max="9" width="11.42578125" customWidth="1"/>
    <col min="10" max="12" width="12" customWidth="1"/>
    <col min="14" max="14" width="13" hidden="1" customWidth="1"/>
  </cols>
  <sheetData>
    <row r="1" spans="1:14" ht="19.5" customHeight="1" x14ac:dyDescent="0.25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N1" s="17">
        <f>IFERROR(MATCH($C$9&amp;"||"&amp;$C$10,DATOS_IED!$N$2:$N$154,0),0)</f>
        <v>1</v>
      </c>
    </row>
    <row r="2" spans="1:14" ht="19.5" customHeight="1" x14ac:dyDescent="0.25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</row>
    <row r="3" spans="1:14" ht="19.5" customHeight="1" x14ac:dyDescent="0.25">
      <c r="A3" s="19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</row>
    <row r="4" spans="1:14" ht="19.5" customHeight="1" x14ac:dyDescent="0.25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</row>
    <row r="5" spans="1:14" ht="19.5" customHeight="1" x14ac:dyDescent="0.25">
      <c r="A5" s="19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</row>
    <row r="6" spans="1:14" ht="19.5" customHeight="1" x14ac:dyDescent="0.25">
      <c r="A6" s="19"/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</row>
    <row r="7" spans="1:14" ht="21.75" customHeight="1" x14ac:dyDescent="0.25">
      <c r="A7" s="14" t="s">
        <v>23256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</row>
    <row r="8" spans="1:14" x14ac:dyDescent="0.25">
      <c r="A8" s="13" t="s">
        <v>23257</v>
      </c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</row>
    <row r="9" spans="1:14" ht="18" customHeight="1" x14ac:dyDescent="0.25">
      <c r="A9" s="12" t="s">
        <v>23258</v>
      </c>
      <c r="B9" s="12"/>
      <c r="C9" s="11" t="s">
        <v>23079</v>
      </c>
      <c r="D9" s="11"/>
      <c r="E9" s="11"/>
      <c r="F9" s="11"/>
      <c r="G9" s="12" t="s">
        <v>23259</v>
      </c>
      <c r="H9" s="12"/>
      <c r="I9" s="54">
        <v>46174</v>
      </c>
      <c r="J9" s="11"/>
      <c r="K9" s="11"/>
      <c r="L9" s="11"/>
    </row>
    <row r="10" spans="1:14" ht="18" customHeight="1" x14ac:dyDescent="0.25">
      <c r="A10" s="12" t="s">
        <v>23260</v>
      </c>
      <c r="B10" s="12"/>
      <c r="C10" s="11" t="s">
        <v>23080</v>
      </c>
      <c r="D10" s="11"/>
      <c r="E10" s="11"/>
      <c r="F10" s="11"/>
      <c r="G10" s="11"/>
      <c r="H10" s="11"/>
      <c r="I10" s="11"/>
      <c r="J10" s="11"/>
      <c r="K10" s="11"/>
      <c r="L10" s="11"/>
    </row>
    <row r="11" spans="1:14" ht="15.75" customHeight="1" x14ac:dyDescent="0.25">
      <c r="A11" s="10" t="s">
        <v>23261</v>
      </c>
      <c r="B11" s="10"/>
      <c r="C11" s="10"/>
      <c r="D11" s="10"/>
      <c r="E11" s="10"/>
      <c r="F11" s="10"/>
      <c r="G11" s="20"/>
      <c r="H11" s="10" t="s">
        <v>23262</v>
      </c>
      <c r="I11" s="10"/>
      <c r="J11" s="10"/>
      <c r="K11" s="10"/>
      <c r="L11" s="10"/>
    </row>
    <row r="12" spans="1:14" ht="30" customHeight="1" x14ac:dyDescent="0.25">
      <c r="A12" s="19"/>
      <c r="B12" s="21" t="s">
        <v>23070</v>
      </c>
      <c r="C12" s="21" t="s">
        <v>23071</v>
      </c>
      <c r="D12" s="21" t="s">
        <v>23263</v>
      </c>
      <c r="E12" s="21" t="s">
        <v>23073</v>
      </c>
      <c r="F12" s="21" t="s">
        <v>23074</v>
      </c>
      <c r="G12" s="22" t="s">
        <v>23264</v>
      </c>
      <c r="H12" s="23" t="s">
        <v>23070</v>
      </c>
      <c r="I12" s="23" t="s">
        <v>23265</v>
      </c>
      <c r="J12" s="23" t="s">
        <v>23266</v>
      </c>
      <c r="K12" s="23" t="s">
        <v>23267</v>
      </c>
      <c r="L12" s="23" t="s">
        <v>23268</v>
      </c>
    </row>
    <row r="13" spans="1:14" x14ac:dyDescent="0.25">
      <c r="A13" s="19"/>
      <c r="B13" s="24">
        <f>IF($N$1=0,"",INDEX(DATOS_IED!$D$2:$D$154,$N$1))</f>
        <v>9</v>
      </c>
      <c r="C13" s="24">
        <f>IF($N$1=0,"",INDEX(DATOS_IED!$E$2:$E$154,$N$1))</f>
        <v>116</v>
      </c>
      <c r="D13" s="24">
        <f>IF($N$1=0,"",INDEX(DATOS_IED!$F$2:$F$154,$N$1))</f>
        <v>75</v>
      </c>
      <c r="E13" s="24">
        <f>IF($N$1=0,"",INDEX(DATOS_IED!$G$2:$G$154,$N$1))</f>
        <v>40</v>
      </c>
      <c r="F13" s="25">
        <f>IF($N$1=0,"",INDEX(DATOS_IED!$H$2:$H$154,$N$1))</f>
        <v>240</v>
      </c>
      <c r="G13" s="26">
        <v>13</v>
      </c>
      <c r="H13" s="27">
        <f>IF($N$1=0,"",ROUND((B13/5)*$G$13,0))</f>
        <v>23</v>
      </c>
      <c r="I13" s="27">
        <f>IF($N$1=0,"",ROUND((C13/5)*$G$13,0))</f>
        <v>302</v>
      </c>
      <c r="J13" s="27">
        <f>IF($N$1=0,"",ROUND((D13/5)*$G$13,0))</f>
        <v>195</v>
      </c>
      <c r="K13" s="27">
        <f>IF($N$1=0,"",ROUND((E13/5)*$G$13,0))</f>
        <v>104</v>
      </c>
      <c r="L13" s="28">
        <f>IF($N$1=0,"",SUM(H13:K13))</f>
        <v>624</v>
      </c>
    </row>
    <row r="14" spans="1:14" x14ac:dyDescent="0.25">
      <c r="A14" s="19"/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</row>
    <row r="15" spans="1:14" x14ac:dyDescent="0.25">
      <c r="A15" s="29" t="s">
        <v>23269</v>
      </c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</row>
    <row r="16" spans="1:14" ht="18" customHeight="1" x14ac:dyDescent="0.25">
      <c r="A16" s="9" t="s">
        <v>23270</v>
      </c>
      <c r="B16" s="9" t="s">
        <v>23271</v>
      </c>
      <c r="C16" s="9" t="s">
        <v>1</v>
      </c>
      <c r="D16" s="9" t="s">
        <v>2</v>
      </c>
      <c r="E16" s="9" t="s">
        <v>23272</v>
      </c>
      <c r="F16" s="8" t="s">
        <v>23273</v>
      </c>
      <c r="G16" s="8"/>
      <c r="H16" s="8"/>
      <c r="I16" s="8"/>
      <c r="J16" s="7" t="s">
        <v>23274</v>
      </c>
      <c r="K16" s="7"/>
      <c r="L16" s="7"/>
    </row>
    <row r="17" spans="1:12" ht="30" customHeight="1" x14ac:dyDescent="0.25">
      <c r="A17" s="9"/>
      <c r="B17" s="9"/>
      <c r="C17" s="9"/>
      <c r="D17" s="9"/>
      <c r="E17" s="9"/>
      <c r="F17" s="30" t="s">
        <v>23275</v>
      </c>
      <c r="G17" s="30" t="s">
        <v>23070</v>
      </c>
      <c r="H17" s="30" t="s">
        <v>23276</v>
      </c>
      <c r="I17" s="30" t="s">
        <v>23267</v>
      </c>
      <c r="J17" s="31" t="s">
        <v>23277</v>
      </c>
      <c r="K17" s="31" t="s">
        <v>23278</v>
      </c>
      <c r="L17" s="31" t="s">
        <v>23279</v>
      </c>
    </row>
    <row r="18" spans="1:12" x14ac:dyDescent="0.25">
      <c r="A18" s="32">
        <v>1</v>
      </c>
      <c r="B18" s="33" t="s">
        <v>3335</v>
      </c>
      <c r="C18" s="34" t="str">
        <f>IFERROR(VLOOKUP($B18,BD_PLANTA!$A:$F,6,0),"")</f>
        <v>VAS**** BUS******* RAF*** SEG****</v>
      </c>
      <c r="D18" s="34" t="str">
        <f>IFERROR(VLOOKUP($B18,BD_PLANTA!$A:$E,3,0),"")</f>
        <v>Docente de aula</v>
      </c>
      <c r="E18" s="32" t="str">
        <f>IFERROR(VLOOKUP($B18,BD_PLANTA!$A:$E,4,0),"")</f>
        <v>3CM</v>
      </c>
      <c r="F18" s="35">
        <v>26</v>
      </c>
      <c r="G18" s="35">
        <v>0</v>
      </c>
      <c r="H18" s="35">
        <v>0</v>
      </c>
      <c r="I18" s="35">
        <v>0</v>
      </c>
      <c r="J18" s="36">
        <f t="shared" ref="J18:J49" si="0">IF(N($F18)+N($G18)=0,"",N($F18)+N($G18))</f>
        <v>26</v>
      </c>
      <c r="K18" s="36" t="str">
        <f t="shared" ref="K18:K49" si="1">IF(N($H18)=0,"",N($H18))</f>
        <v/>
      </c>
      <c r="L18" s="36" t="str">
        <f t="shared" ref="L18:L49" si="2">IF(N($I18)=0,"",N($I18))</f>
        <v/>
      </c>
    </row>
    <row r="19" spans="1:12" x14ac:dyDescent="0.25">
      <c r="A19" s="37">
        <v>2</v>
      </c>
      <c r="B19" s="33" t="s">
        <v>15037</v>
      </c>
      <c r="C19" s="38" t="str">
        <f>IFERROR(VLOOKUP($B19,BD_PLANTA!$A:$F,6,0),"")</f>
        <v>ACO*** HER****** EVE****</v>
      </c>
      <c r="D19" s="38" t="str">
        <f>IFERROR(VLOOKUP($B19,BD_PLANTA!$A:$E,3,0),"")</f>
        <v>Docente de aula</v>
      </c>
      <c r="E19" s="37" t="str">
        <f>IFERROR(VLOOKUP($B19,BD_PLANTA!$A:$E,4,0),"")</f>
        <v>14</v>
      </c>
      <c r="F19" s="35">
        <v>26</v>
      </c>
      <c r="G19" s="35">
        <v>0</v>
      </c>
      <c r="H19" s="35">
        <v>0</v>
      </c>
      <c r="I19" s="35">
        <v>0</v>
      </c>
      <c r="J19" s="36">
        <f t="shared" si="0"/>
        <v>26</v>
      </c>
      <c r="K19" s="36" t="str">
        <f t="shared" si="1"/>
        <v/>
      </c>
      <c r="L19" s="36" t="str">
        <f t="shared" si="2"/>
        <v/>
      </c>
    </row>
    <row r="20" spans="1:12" x14ac:dyDescent="0.25">
      <c r="A20" s="32">
        <v>3</v>
      </c>
      <c r="B20" s="33" t="s">
        <v>5964</v>
      </c>
      <c r="C20" s="34" t="str">
        <f>IFERROR(VLOOKUP($B20,BD_PLANTA!$A:$F,6,0),"")</f>
        <v>GOM** MAR**** GLE*** MAR**</v>
      </c>
      <c r="D20" s="34" t="str">
        <f>IFERROR(VLOOKUP($B20,BD_PLANTA!$A:$E,3,0),"")</f>
        <v>Docente de aula</v>
      </c>
      <c r="E20" s="32" t="str">
        <f>IFERROR(VLOOKUP($B20,BD_PLANTA!$A:$E,4,0),"")</f>
        <v>14</v>
      </c>
      <c r="F20" s="35">
        <v>5</v>
      </c>
      <c r="G20" s="35">
        <v>0</v>
      </c>
      <c r="H20" s="35">
        <v>0</v>
      </c>
      <c r="I20" s="35">
        <v>0</v>
      </c>
      <c r="J20" s="36">
        <f t="shared" si="0"/>
        <v>5</v>
      </c>
      <c r="K20" s="36" t="str">
        <f t="shared" si="1"/>
        <v/>
      </c>
      <c r="L20" s="36" t="str">
        <f t="shared" si="2"/>
        <v/>
      </c>
    </row>
    <row r="21" spans="1:12" x14ac:dyDescent="0.25">
      <c r="A21" s="37">
        <v>4</v>
      </c>
      <c r="B21" s="33"/>
      <c r="C21" s="38" t="str">
        <f>IFERROR(VLOOKUP($B21,BD_PLANTA!$A:$F,6,0),"")</f>
        <v/>
      </c>
      <c r="D21" s="38" t="str">
        <f>IFERROR(VLOOKUP($B21,BD_PLANTA!$A:$E,3,0),"")</f>
        <v/>
      </c>
      <c r="E21" s="37" t="str">
        <f>IFERROR(VLOOKUP($B21,BD_PLANTA!$A:$E,4,0),"")</f>
        <v/>
      </c>
      <c r="F21" s="35"/>
      <c r="G21" s="35"/>
      <c r="H21" s="35"/>
      <c r="I21" s="35"/>
      <c r="J21" s="36" t="str">
        <f t="shared" si="0"/>
        <v/>
      </c>
      <c r="K21" s="36" t="str">
        <f t="shared" si="1"/>
        <v/>
      </c>
      <c r="L21" s="36" t="str">
        <f t="shared" si="2"/>
        <v/>
      </c>
    </row>
    <row r="22" spans="1:12" x14ac:dyDescent="0.25">
      <c r="A22" s="32">
        <v>5</v>
      </c>
      <c r="B22" s="33"/>
      <c r="C22" s="34" t="str">
        <f>IFERROR(VLOOKUP($B22,BD_PLANTA!$A:$F,6,0),"")</f>
        <v/>
      </c>
      <c r="D22" s="34" t="str">
        <f>IFERROR(VLOOKUP($B22,BD_PLANTA!$A:$E,3,0),"")</f>
        <v/>
      </c>
      <c r="E22" s="32" t="str">
        <f>IFERROR(VLOOKUP($B22,BD_PLANTA!$A:$E,4,0),"")</f>
        <v/>
      </c>
      <c r="F22" s="35"/>
      <c r="G22" s="35"/>
      <c r="H22" s="35"/>
      <c r="I22" s="35"/>
      <c r="J22" s="36" t="str">
        <f t="shared" si="0"/>
        <v/>
      </c>
      <c r="K22" s="36" t="str">
        <f t="shared" si="1"/>
        <v/>
      </c>
      <c r="L22" s="36" t="str">
        <f t="shared" si="2"/>
        <v/>
      </c>
    </row>
    <row r="23" spans="1:12" x14ac:dyDescent="0.25">
      <c r="A23" s="37">
        <v>6</v>
      </c>
      <c r="B23" s="33"/>
      <c r="C23" s="38" t="str">
        <f>IFERROR(VLOOKUP($B23,BD_PLANTA!$A:$F,6,0),"")</f>
        <v/>
      </c>
      <c r="D23" s="38" t="str">
        <f>IFERROR(VLOOKUP($B23,BD_PLANTA!$A:$E,3,0),"")</f>
        <v/>
      </c>
      <c r="E23" s="37" t="str">
        <f>IFERROR(VLOOKUP($B23,BD_PLANTA!$A:$E,4,0),"")</f>
        <v/>
      </c>
      <c r="F23" s="35"/>
      <c r="G23" s="35"/>
      <c r="H23" s="35"/>
      <c r="I23" s="35"/>
      <c r="J23" s="36" t="str">
        <f t="shared" si="0"/>
        <v/>
      </c>
      <c r="K23" s="36" t="str">
        <f t="shared" si="1"/>
        <v/>
      </c>
      <c r="L23" s="36" t="str">
        <f t="shared" si="2"/>
        <v/>
      </c>
    </row>
    <row r="24" spans="1:12" x14ac:dyDescent="0.25">
      <c r="A24" s="32">
        <v>7</v>
      </c>
      <c r="B24" s="33"/>
      <c r="C24" s="34" t="str">
        <f>IFERROR(VLOOKUP($B24,BD_PLANTA!$A:$F,6,0),"")</f>
        <v/>
      </c>
      <c r="D24" s="34" t="str">
        <f>IFERROR(VLOOKUP($B24,BD_PLANTA!$A:$E,3,0),"")</f>
        <v/>
      </c>
      <c r="E24" s="32" t="str">
        <f>IFERROR(VLOOKUP($B24,BD_PLANTA!$A:$E,4,0),"")</f>
        <v/>
      </c>
      <c r="F24" s="35"/>
      <c r="G24" s="35"/>
      <c r="H24" s="35"/>
      <c r="I24" s="35"/>
      <c r="J24" s="36" t="str">
        <f t="shared" si="0"/>
        <v/>
      </c>
      <c r="K24" s="36" t="str">
        <f t="shared" si="1"/>
        <v/>
      </c>
      <c r="L24" s="36" t="str">
        <f t="shared" si="2"/>
        <v/>
      </c>
    </row>
    <row r="25" spans="1:12" x14ac:dyDescent="0.25">
      <c r="A25" s="37">
        <v>8</v>
      </c>
      <c r="B25" s="33"/>
      <c r="C25" s="38" t="str">
        <f>IFERROR(VLOOKUP($B25,BD_PLANTA!$A:$F,6,0),"")</f>
        <v/>
      </c>
      <c r="D25" s="38" t="str">
        <f>IFERROR(VLOOKUP($B25,BD_PLANTA!$A:$E,3,0),"")</f>
        <v/>
      </c>
      <c r="E25" s="37" t="str">
        <f>IFERROR(VLOOKUP($B25,BD_PLANTA!$A:$E,4,0),"")</f>
        <v/>
      </c>
      <c r="F25" s="35"/>
      <c r="G25" s="35"/>
      <c r="H25" s="35"/>
      <c r="I25" s="35"/>
      <c r="J25" s="36" t="str">
        <f t="shared" si="0"/>
        <v/>
      </c>
      <c r="K25" s="36" t="str">
        <f t="shared" si="1"/>
        <v/>
      </c>
      <c r="L25" s="36" t="str">
        <f t="shared" si="2"/>
        <v/>
      </c>
    </row>
    <row r="26" spans="1:12" x14ac:dyDescent="0.25">
      <c r="A26" s="32">
        <v>9</v>
      </c>
      <c r="B26" s="33"/>
      <c r="C26" s="34" t="str">
        <f>IFERROR(VLOOKUP($B26,BD_PLANTA!$A:$F,6,0),"")</f>
        <v/>
      </c>
      <c r="D26" s="34" t="str">
        <f>IFERROR(VLOOKUP($B26,BD_PLANTA!$A:$E,3,0),"")</f>
        <v/>
      </c>
      <c r="E26" s="32" t="str">
        <f>IFERROR(VLOOKUP($B26,BD_PLANTA!$A:$E,4,0),"")</f>
        <v/>
      </c>
      <c r="F26" s="35"/>
      <c r="G26" s="35"/>
      <c r="H26" s="35"/>
      <c r="I26" s="35"/>
      <c r="J26" s="36" t="str">
        <f t="shared" si="0"/>
        <v/>
      </c>
      <c r="K26" s="36" t="str">
        <f t="shared" si="1"/>
        <v/>
      </c>
      <c r="L26" s="36" t="str">
        <f t="shared" si="2"/>
        <v/>
      </c>
    </row>
    <row r="27" spans="1:12" x14ac:dyDescent="0.25">
      <c r="A27" s="37">
        <v>10</v>
      </c>
      <c r="B27" s="33"/>
      <c r="C27" s="38" t="str">
        <f>IFERROR(VLOOKUP($B27,BD_PLANTA!$A:$F,6,0),"")</f>
        <v/>
      </c>
      <c r="D27" s="38" t="str">
        <f>IFERROR(VLOOKUP($B27,BD_PLANTA!$A:$E,3,0),"")</f>
        <v/>
      </c>
      <c r="E27" s="37" t="str">
        <f>IFERROR(VLOOKUP($B27,BD_PLANTA!$A:$E,4,0),"")</f>
        <v/>
      </c>
      <c r="F27" s="35"/>
      <c r="G27" s="35"/>
      <c r="H27" s="35"/>
      <c r="I27" s="35"/>
      <c r="J27" s="36" t="str">
        <f t="shared" si="0"/>
        <v/>
      </c>
      <c r="K27" s="36" t="str">
        <f t="shared" si="1"/>
        <v/>
      </c>
      <c r="L27" s="36" t="str">
        <f t="shared" si="2"/>
        <v/>
      </c>
    </row>
    <row r="28" spans="1:12" x14ac:dyDescent="0.25">
      <c r="A28" s="32">
        <v>11</v>
      </c>
      <c r="B28" s="33"/>
      <c r="C28" s="34" t="str">
        <f>IFERROR(VLOOKUP($B28,BD_PLANTA!$A:$F,6,0),"")</f>
        <v/>
      </c>
      <c r="D28" s="34" t="str">
        <f>IFERROR(VLOOKUP($B28,BD_PLANTA!$A:$E,3,0),"")</f>
        <v/>
      </c>
      <c r="E28" s="32" t="str">
        <f>IFERROR(VLOOKUP($B28,BD_PLANTA!$A:$E,4,0),"")</f>
        <v/>
      </c>
      <c r="F28" s="35"/>
      <c r="G28" s="35"/>
      <c r="H28" s="35"/>
      <c r="I28" s="35"/>
      <c r="J28" s="36" t="str">
        <f t="shared" si="0"/>
        <v/>
      </c>
      <c r="K28" s="36" t="str">
        <f t="shared" si="1"/>
        <v/>
      </c>
      <c r="L28" s="36" t="str">
        <f t="shared" si="2"/>
        <v/>
      </c>
    </row>
    <row r="29" spans="1:12" x14ac:dyDescent="0.25">
      <c r="A29" s="37">
        <v>12</v>
      </c>
      <c r="B29" s="33"/>
      <c r="C29" s="38" t="str">
        <f>IFERROR(VLOOKUP($B29,BD_PLANTA!$A:$F,6,0),"")</f>
        <v/>
      </c>
      <c r="D29" s="38" t="str">
        <f>IFERROR(VLOOKUP($B29,BD_PLANTA!$A:$E,3,0),"")</f>
        <v/>
      </c>
      <c r="E29" s="37" t="str">
        <f>IFERROR(VLOOKUP($B29,BD_PLANTA!$A:$E,4,0),"")</f>
        <v/>
      </c>
      <c r="F29" s="35"/>
      <c r="G29" s="35"/>
      <c r="H29" s="35"/>
      <c r="I29" s="35"/>
      <c r="J29" s="36" t="str">
        <f t="shared" si="0"/>
        <v/>
      </c>
      <c r="K29" s="36" t="str">
        <f t="shared" si="1"/>
        <v/>
      </c>
      <c r="L29" s="36" t="str">
        <f t="shared" si="2"/>
        <v/>
      </c>
    </row>
    <row r="30" spans="1:12" x14ac:dyDescent="0.25">
      <c r="A30" s="32">
        <v>13</v>
      </c>
      <c r="B30" s="33"/>
      <c r="C30" s="34" t="str">
        <f>IFERROR(VLOOKUP($B30,BD_PLANTA!$A:$F,6,0),"")</f>
        <v/>
      </c>
      <c r="D30" s="34" t="str">
        <f>IFERROR(VLOOKUP($B30,BD_PLANTA!$A:$E,3,0),"")</f>
        <v/>
      </c>
      <c r="E30" s="32" t="str">
        <f>IFERROR(VLOOKUP($B30,BD_PLANTA!$A:$E,4,0),"")</f>
        <v/>
      </c>
      <c r="F30" s="35"/>
      <c r="G30" s="35"/>
      <c r="H30" s="35"/>
      <c r="I30" s="35"/>
      <c r="J30" s="36" t="str">
        <f t="shared" si="0"/>
        <v/>
      </c>
      <c r="K30" s="36" t="str">
        <f t="shared" si="1"/>
        <v/>
      </c>
      <c r="L30" s="36" t="str">
        <f t="shared" si="2"/>
        <v/>
      </c>
    </row>
    <row r="31" spans="1:12" x14ac:dyDescent="0.25">
      <c r="A31" s="37">
        <v>14</v>
      </c>
      <c r="B31" s="33"/>
      <c r="C31" s="38" t="str">
        <f>IFERROR(VLOOKUP($B31,BD_PLANTA!$A:$F,6,0),"")</f>
        <v/>
      </c>
      <c r="D31" s="38" t="str">
        <f>IFERROR(VLOOKUP($B31,BD_PLANTA!$A:$E,3,0),"")</f>
        <v/>
      </c>
      <c r="E31" s="37" t="str">
        <f>IFERROR(VLOOKUP($B31,BD_PLANTA!$A:$E,4,0),"")</f>
        <v/>
      </c>
      <c r="F31" s="35"/>
      <c r="G31" s="35"/>
      <c r="H31" s="35"/>
      <c r="I31" s="35"/>
      <c r="J31" s="36" t="str">
        <f t="shared" si="0"/>
        <v/>
      </c>
      <c r="K31" s="36" t="str">
        <f t="shared" si="1"/>
        <v/>
      </c>
      <c r="L31" s="36" t="str">
        <f t="shared" si="2"/>
        <v/>
      </c>
    </row>
    <row r="32" spans="1:12" x14ac:dyDescent="0.25">
      <c r="A32" s="32">
        <v>15</v>
      </c>
      <c r="B32" s="33"/>
      <c r="C32" s="34" t="str">
        <f>IFERROR(VLOOKUP($B32,BD_PLANTA!$A:$F,6,0),"")</f>
        <v/>
      </c>
      <c r="D32" s="34" t="str">
        <f>IFERROR(VLOOKUP($B32,BD_PLANTA!$A:$E,3,0),"")</f>
        <v/>
      </c>
      <c r="E32" s="32" t="str">
        <f>IFERROR(VLOOKUP($B32,BD_PLANTA!$A:$E,4,0),"")</f>
        <v/>
      </c>
      <c r="F32" s="35"/>
      <c r="G32" s="35"/>
      <c r="H32" s="35"/>
      <c r="I32" s="35"/>
      <c r="J32" s="36" t="str">
        <f t="shared" si="0"/>
        <v/>
      </c>
      <c r="K32" s="36" t="str">
        <f t="shared" si="1"/>
        <v/>
      </c>
      <c r="L32" s="36" t="str">
        <f t="shared" si="2"/>
        <v/>
      </c>
    </row>
    <row r="33" spans="1:12" x14ac:dyDescent="0.25">
      <c r="A33" s="37">
        <v>16</v>
      </c>
      <c r="B33" s="33"/>
      <c r="C33" s="38" t="str">
        <f>IFERROR(VLOOKUP($B33,BD_PLANTA!$A:$F,6,0),"")</f>
        <v/>
      </c>
      <c r="D33" s="38" t="str">
        <f>IFERROR(VLOOKUP($B33,BD_PLANTA!$A:$E,3,0),"")</f>
        <v/>
      </c>
      <c r="E33" s="37" t="str">
        <f>IFERROR(VLOOKUP($B33,BD_PLANTA!$A:$E,4,0),"")</f>
        <v/>
      </c>
      <c r="F33" s="35"/>
      <c r="G33" s="35"/>
      <c r="H33" s="35"/>
      <c r="I33" s="35"/>
      <c r="J33" s="36" t="str">
        <f t="shared" si="0"/>
        <v/>
      </c>
      <c r="K33" s="36" t="str">
        <f t="shared" si="1"/>
        <v/>
      </c>
      <c r="L33" s="36" t="str">
        <f t="shared" si="2"/>
        <v/>
      </c>
    </row>
    <row r="34" spans="1:12" x14ac:dyDescent="0.25">
      <c r="A34" s="32">
        <v>17</v>
      </c>
      <c r="B34" s="33"/>
      <c r="C34" s="34" t="str">
        <f>IFERROR(VLOOKUP($B34,BD_PLANTA!$A:$F,6,0),"")</f>
        <v/>
      </c>
      <c r="D34" s="34" t="str">
        <f>IFERROR(VLOOKUP($B34,BD_PLANTA!$A:$E,3,0),"")</f>
        <v/>
      </c>
      <c r="E34" s="32" t="str">
        <f>IFERROR(VLOOKUP($B34,BD_PLANTA!$A:$E,4,0),"")</f>
        <v/>
      </c>
      <c r="F34" s="35"/>
      <c r="G34" s="35"/>
      <c r="H34" s="35"/>
      <c r="I34" s="35"/>
      <c r="J34" s="36" t="str">
        <f t="shared" si="0"/>
        <v/>
      </c>
      <c r="K34" s="36" t="str">
        <f t="shared" si="1"/>
        <v/>
      </c>
      <c r="L34" s="36" t="str">
        <f t="shared" si="2"/>
        <v/>
      </c>
    </row>
    <row r="35" spans="1:12" x14ac:dyDescent="0.25">
      <c r="A35" s="37">
        <v>18</v>
      </c>
      <c r="B35" s="33"/>
      <c r="C35" s="38" t="str">
        <f>IFERROR(VLOOKUP($B35,BD_PLANTA!$A:$F,6,0),"")</f>
        <v/>
      </c>
      <c r="D35" s="38" t="str">
        <f>IFERROR(VLOOKUP($B35,BD_PLANTA!$A:$E,3,0),"")</f>
        <v/>
      </c>
      <c r="E35" s="37" t="str">
        <f>IFERROR(VLOOKUP($B35,BD_PLANTA!$A:$E,4,0),"")</f>
        <v/>
      </c>
      <c r="F35" s="35"/>
      <c r="G35" s="35"/>
      <c r="H35" s="35"/>
      <c r="I35" s="35"/>
      <c r="J35" s="36" t="str">
        <f t="shared" si="0"/>
        <v/>
      </c>
      <c r="K35" s="36" t="str">
        <f t="shared" si="1"/>
        <v/>
      </c>
      <c r="L35" s="36" t="str">
        <f t="shared" si="2"/>
        <v/>
      </c>
    </row>
    <row r="36" spans="1:12" x14ac:dyDescent="0.25">
      <c r="A36" s="32">
        <v>19</v>
      </c>
      <c r="B36" s="33"/>
      <c r="C36" s="34" t="str">
        <f>IFERROR(VLOOKUP($B36,BD_PLANTA!$A:$F,6,0),"")</f>
        <v/>
      </c>
      <c r="D36" s="34" t="str">
        <f>IFERROR(VLOOKUP($B36,BD_PLANTA!$A:$E,3,0),"")</f>
        <v/>
      </c>
      <c r="E36" s="32" t="str">
        <f>IFERROR(VLOOKUP($B36,BD_PLANTA!$A:$E,4,0),"")</f>
        <v/>
      </c>
      <c r="F36" s="35"/>
      <c r="G36" s="35"/>
      <c r="H36" s="35"/>
      <c r="I36" s="35"/>
      <c r="J36" s="36" t="str">
        <f t="shared" si="0"/>
        <v/>
      </c>
      <c r="K36" s="36" t="str">
        <f t="shared" si="1"/>
        <v/>
      </c>
      <c r="L36" s="36" t="str">
        <f t="shared" si="2"/>
        <v/>
      </c>
    </row>
    <row r="37" spans="1:12" x14ac:dyDescent="0.25">
      <c r="A37" s="37">
        <v>20</v>
      </c>
      <c r="B37" s="33"/>
      <c r="C37" s="38" t="str">
        <f>IFERROR(VLOOKUP($B37,BD_PLANTA!$A:$F,6,0),"")</f>
        <v/>
      </c>
      <c r="D37" s="38" t="str">
        <f>IFERROR(VLOOKUP($B37,BD_PLANTA!$A:$E,3,0),"")</f>
        <v/>
      </c>
      <c r="E37" s="37" t="str">
        <f>IFERROR(VLOOKUP($B37,BD_PLANTA!$A:$E,4,0),"")</f>
        <v/>
      </c>
      <c r="F37" s="35"/>
      <c r="G37" s="35"/>
      <c r="H37" s="35"/>
      <c r="I37" s="35"/>
      <c r="J37" s="36" t="str">
        <f t="shared" si="0"/>
        <v/>
      </c>
      <c r="K37" s="36" t="str">
        <f t="shared" si="1"/>
        <v/>
      </c>
      <c r="L37" s="36" t="str">
        <f t="shared" si="2"/>
        <v/>
      </c>
    </row>
    <row r="38" spans="1:12" x14ac:dyDescent="0.25">
      <c r="A38" s="32">
        <v>21</v>
      </c>
      <c r="B38" s="33"/>
      <c r="C38" s="34" t="str">
        <f>IFERROR(VLOOKUP($B38,BD_PLANTA!$A:$F,6,0),"")</f>
        <v/>
      </c>
      <c r="D38" s="34" t="str">
        <f>IFERROR(VLOOKUP($B38,BD_PLANTA!$A:$E,3,0),"")</f>
        <v/>
      </c>
      <c r="E38" s="32" t="str">
        <f>IFERROR(VLOOKUP($B38,BD_PLANTA!$A:$E,4,0),"")</f>
        <v/>
      </c>
      <c r="F38" s="35"/>
      <c r="G38" s="35"/>
      <c r="H38" s="35"/>
      <c r="I38" s="35"/>
      <c r="J38" s="36" t="str">
        <f t="shared" si="0"/>
        <v/>
      </c>
      <c r="K38" s="36" t="str">
        <f t="shared" si="1"/>
        <v/>
      </c>
      <c r="L38" s="36" t="str">
        <f t="shared" si="2"/>
        <v/>
      </c>
    </row>
    <row r="39" spans="1:12" x14ac:dyDescent="0.25">
      <c r="A39" s="37">
        <v>22</v>
      </c>
      <c r="B39" s="33"/>
      <c r="C39" s="38" t="str">
        <f>IFERROR(VLOOKUP($B39,BD_PLANTA!$A:$F,6,0),"")</f>
        <v/>
      </c>
      <c r="D39" s="38" t="str">
        <f>IFERROR(VLOOKUP($B39,BD_PLANTA!$A:$E,3,0),"")</f>
        <v/>
      </c>
      <c r="E39" s="37" t="str">
        <f>IFERROR(VLOOKUP($B39,BD_PLANTA!$A:$E,4,0),"")</f>
        <v/>
      </c>
      <c r="F39" s="35"/>
      <c r="G39" s="35"/>
      <c r="H39" s="35"/>
      <c r="I39" s="35"/>
      <c r="J39" s="36" t="str">
        <f t="shared" si="0"/>
        <v/>
      </c>
      <c r="K39" s="36" t="str">
        <f t="shared" si="1"/>
        <v/>
      </c>
      <c r="L39" s="36" t="str">
        <f t="shared" si="2"/>
        <v/>
      </c>
    </row>
    <row r="40" spans="1:12" x14ac:dyDescent="0.25">
      <c r="A40" s="32">
        <v>23</v>
      </c>
      <c r="B40" s="33"/>
      <c r="C40" s="34" t="str">
        <f>IFERROR(VLOOKUP($B40,BD_PLANTA!$A:$F,6,0),"")</f>
        <v/>
      </c>
      <c r="D40" s="34" t="str">
        <f>IFERROR(VLOOKUP($B40,BD_PLANTA!$A:$E,3,0),"")</f>
        <v/>
      </c>
      <c r="E40" s="32" t="str">
        <f>IFERROR(VLOOKUP($B40,BD_PLANTA!$A:$E,4,0),"")</f>
        <v/>
      </c>
      <c r="F40" s="35"/>
      <c r="G40" s="35"/>
      <c r="H40" s="35"/>
      <c r="I40" s="35"/>
      <c r="J40" s="36" t="str">
        <f t="shared" si="0"/>
        <v/>
      </c>
      <c r="K40" s="36" t="str">
        <f t="shared" si="1"/>
        <v/>
      </c>
      <c r="L40" s="36" t="str">
        <f t="shared" si="2"/>
        <v/>
      </c>
    </row>
    <row r="41" spans="1:12" x14ac:dyDescent="0.25">
      <c r="A41" s="37">
        <v>24</v>
      </c>
      <c r="B41" s="33"/>
      <c r="C41" s="38" t="str">
        <f>IFERROR(VLOOKUP($B41,BD_PLANTA!$A:$F,6,0),"")</f>
        <v/>
      </c>
      <c r="D41" s="38" t="str">
        <f>IFERROR(VLOOKUP($B41,BD_PLANTA!$A:$E,3,0),"")</f>
        <v/>
      </c>
      <c r="E41" s="37" t="str">
        <f>IFERROR(VLOOKUP($B41,BD_PLANTA!$A:$E,4,0),"")</f>
        <v/>
      </c>
      <c r="F41" s="35"/>
      <c r="G41" s="35"/>
      <c r="H41" s="35"/>
      <c r="I41" s="35"/>
      <c r="J41" s="36" t="str">
        <f t="shared" si="0"/>
        <v/>
      </c>
      <c r="K41" s="36" t="str">
        <f t="shared" si="1"/>
        <v/>
      </c>
      <c r="L41" s="36" t="str">
        <f t="shared" si="2"/>
        <v/>
      </c>
    </row>
    <row r="42" spans="1:12" x14ac:dyDescent="0.25">
      <c r="A42" s="32">
        <v>25</v>
      </c>
      <c r="B42" s="33"/>
      <c r="C42" s="34" t="str">
        <f>IFERROR(VLOOKUP($B42,BD_PLANTA!$A:$F,6,0),"")</f>
        <v/>
      </c>
      <c r="D42" s="34" t="str">
        <f>IFERROR(VLOOKUP($B42,BD_PLANTA!$A:$E,3,0),"")</f>
        <v/>
      </c>
      <c r="E42" s="32" t="str">
        <f>IFERROR(VLOOKUP($B42,BD_PLANTA!$A:$E,4,0),"")</f>
        <v/>
      </c>
      <c r="F42" s="35"/>
      <c r="G42" s="35"/>
      <c r="H42" s="35"/>
      <c r="I42" s="35"/>
      <c r="J42" s="36" t="str">
        <f t="shared" si="0"/>
        <v/>
      </c>
      <c r="K42" s="36" t="str">
        <f t="shared" si="1"/>
        <v/>
      </c>
      <c r="L42" s="36" t="str">
        <f t="shared" si="2"/>
        <v/>
      </c>
    </row>
    <row r="43" spans="1:12" x14ac:dyDescent="0.25">
      <c r="A43" s="37">
        <v>26</v>
      </c>
      <c r="B43" s="33"/>
      <c r="C43" s="38" t="str">
        <f>IFERROR(VLOOKUP($B43,BD_PLANTA!$A:$F,6,0),"")</f>
        <v/>
      </c>
      <c r="D43" s="38" t="str">
        <f>IFERROR(VLOOKUP($B43,BD_PLANTA!$A:$E,3,0),"")</f>
        <v/>
      </c>
      <c r="E43" s="37" t="str">
        <f>IFERROR(VLOOKUP($B43,BD_PLANTA!$A:$E,4,0),"")</f>
        <v/>
      </c>
      <c r="F43" s="35"/>
      <c r="G43" s="35"/>
      <c r="H43" s="35"/>
      <c r="I43" s="35"/>
      <c r="J43" s="36" t="str">
        <f t="shared" si="0"/>
        <v/>
      </c>
      <c r="K43" s="36" t="str">
        <f t="shared" si="1"/>
        <v/>
      </c>
      <c r="L43" s="36" t="str">
        <f t="shared" si="2"/>
        <v/>
      </c>
    </row>
    <row r="44" spans="1:12" x14ac:dyDescent="0.25">
      <c r="A44" s="32">
        <v>27</v>
      </c>
      <c r="B44" s="33"/>
      <c r="C44" s="34" t="str">
        <f>IFERROR(VLOOKUP($B44,BD_PLANTA!$A:$F,6,0),"")</f>
        <v/>
      </c>
      <c r="D44" s="34" t="str">
        <f>IFERROR(VLOOKUP($B44,BD_PLANTA!$A:$E,3,0),"")</f>
        <v/>
      </c>
      <c r="E44" s="32" t="str">
        <f>IFERROR(VLOOKUP($B44,BD_PLANTA!$A:$E,4,0),"")</f>
        <v/>
      </c>
      <c r="F44" s="35"/>
      <c r="G44" s="35"/>
      <c r="H44" s="35"/>
      <c r="I44" s="35"/>
      <c r="J44" s="36" t="str">
        <f t="shared" si="0"/>
        <v/>
      </c>
      <c r="K44" s="36" t="str">
        <f t="shared" si="1"/>
        <v/>
      </c>
      <c r="L44" s="36" t="str">
        <f t="shared" si="2"/>
        <v/>
      </c>
    </row>
    <row r="45" spans="1:12" x14ac:dyDescent="0.25">
      <c r="A45" s="37">
        <v>28</v>
      </c>
      <c r="B45" s="33"/>
      <c r="C45" s="38" t="str">
        <f>IFERROR(VLOOKUP($B45,BD_PLANTA!$A:$F,6,0),"")</f>
        <v/>
      </c>
      <c r="D45" s="38" t="str">
        <f>IFERROR(VLOOKUP($B45,BD_PLANTA!$A:$E,3,0),"")</f>
        <v/>
      </c>
      <c r="E45" s="37" t="str">
        <f>IFERROR(VLOOKUP($B45,BD_PLANTA!$A:$E,4,0),"")</f>
        <v/>
      </c>
      <c r="F45" s="35"/>
      <c r="G45" s="35"/>
      <c r="H45" s="35"/>
      <c r="I45" s="35"/>
      <c r="J45" s="36" t="str">
        <f t="shared" si="0"/>
        <v/>
      </c>
      <c r="K45" s="36" t="str">
        <f t="shared" si="1"/>
        <v/>
      </c>
      <c r="L45" s="36" t="str">
        <f t="shared" si="2"/>
        <v/>
      </c>
    </row>
    <row r="46" spans="1:12" x14ac:dyDescent="0.25">
      <c r="A46" s="32">
        <v>29</v>
      </c>
      <c r="B46" s="33"/>
      <c r="C46" s="34" t="str">
        <f>IFERROR(VLOOKUP($B46,BD_PLANTA!$A:$F,6,0),"")</f>
        <v/>
      </c>
      <c r="D46" s="34" t="str">
        <f>IFERROR(VLOOKUP($B46,BD_PLANTA!$A:$E,3,0),"")</f>
        <v/>
      </c>
      <c r="E46" s="32" t="str">
        <f>IFERROR(VLOOKUP($B46,BD_PLANTA!$A:$E,4,0),"")</f>
        <v/>
      </c>
      <c r="F46" s="35"/>
      <c r="G46" s="35"/>
      <c r="H46" s="35"/>
      <c r="I46" s="35"/>
      <c r="J46" s="36" t="str">
        <f t="shared" si="0"/>
        <v/>
      </c>
      <c r="K46" s="36" t="str">
        <f t="shared" si="1"/>
        <v/>
      </c>
      <c r="L46" s="36" t="str">
        <f t="shared" si="2"/>
        <v/>
      </c>
    </row>
    <row r="47" spans="1:12" x14ac:dyDescent="0.25">
      <c r="A47" s="37">
        <v>30</v>
      </c>
      <c r="B47" s="33"/>
      <c r="C47" s="38" t="str">
        <f>IFERROR(VLOOKUP($B47,BD_PLANTA!$A:$F,6,0),"")</f>
        <v/>
      </c>
      <c r="D47" s="38" t="str">
        <f>IFERROR(VLOOKUP($B47,BD_PLANTA!$A:$E,3,0),"")</f>
        <v/>
      </c>
      <c r="E47" s="37" t="str">
        <f>IFERROR(VLOOKUP($B47,BD_PLANTA!$A:$E,4,0),"")</f>
        <v/>
      </c>
      <c r="F47" s="35"/>
      <c r="G47" s="35"/>
      <c r="H47" s="35"/>
      <c r="I47" s="35"/>
      <c r="J47" s="36" t="str">
        <f t="shared" si="0"/>
        <v/>
      </c>
      <c r="K47" s="36" t="str">
        <f t="shared" si="1"/>
        <v/>
      </c>
      <c r="L47" s="36" t="str">
        <f t="shared" si="2"/>
        <v/>
      </c>
    </row>
    <row r="48" spans="1:12" x14ac:dyDescent="0.25">
      <c r="A48" s="32">
        <v>31</v>
      </c>
      <c r="B48" s="33"/>
      <c r="C48" s="34" t="str">
        <f>IFERROR(VLOOKUP($B48,BD_PLANTA!$A:$F,6,0),"")</f>
        <v/>
      </c>
      <c r="D48" s="34" t="str">
        <f>IFERROR(VLOOKUP($B48,BD_PLANTA!$A:$E,3,0),"")</f>
        <v/>
      </c>
      <c r="E48" s="32" t="str">
        <f>IFERROR(VLOOKUP($B48,BD_PLANTA!$A:$E,4,0),"")</f>
        <v/>
      </c>
      <c r="F48" s="35"/>
      <c r="G48" s="35"/>
      <c r="H48" s="35"/>
      <c r="I48" s="35"/>
      <c r="J48" s="36" t="str">
        <f t="shared" si="0"/>
        <v/>
      </c>
      <c r="K48" s="36" t="str">
        <f t="shared" si="1"/>
        <v/>
      </c>
      <c r="L48" s="36" t="str">
        <f t="shared" si="2"/>
        <v/>
      </c>
    </row>
    <row r="49" spans="1:12" x14ac:dyDescent="0.25">
      <c r="A49" s="37">
        <v>32</v>
      </c>
      <c r="B49" s="33"/>
      <c r="C49" s="38" t="str">
        <f>IFERROR(VLOOKUP($B49,BD_PLANTA!$A:$F,6,0),"")</f>
        <v/>
      </c>
      <c r="D49" s="38" t="str">
        <f>IFERROR(VLOOKUP($B49,BD_PLANTA!$A:$E,3,0),"")</f>
        <v/>
      </c>
      <c r="E49" s="37" t="str">
        <f>IFERROR(VLOOKUP($B49,BD_PLANTA!$A:$E,4,0),"")</f>
        <v/>
      </c>
      <c r="F49" s="35"/>
      <c r="G49" s="35"/>
      <c r="H49" s="35"/>
      <c r="I49" s="35"/>
      <c r="J49" s="36" t="str">
        <f t="shared" si="0"/>
        <v/>
      </c>
      <c r="K49" s="36" t="str">
        <f t="shared" si="1"/>
        <v/>
      </c>
      <c r="L49" s="36" t="str">
        <f t="shared" si="2"/>
        <v/>
      </c>
    </row>
    <row r="50" spans="1:12" x14ac:dyDescent="0.25">
      <c r="A50" s="32">
        <v>33</v>
      </c>
      <c r="B50" s="33"/>
      <c r="C50" s="34" t="str">
        <f>IFERROR(VLOOKUP($B50,BD_PLANTA!$A:$F,6,0),"")</f>
        <v/>
      </c>
      <c r="D50" s="34" t="str">
        <f>IFERROR(VLOOKUP($B50,BD_PLANTA!$A:$E,3,0),"")</f>
        <v/>
      </c>
      <c r="E50" s="32" t="str">
        <f>IFERROR(VLOOKUP($B50,BD_PLANTA!$A:$E,4,0),"")</f>
        <v/>
      </c>
      <c r="F50" s="35"/>
      <c r="G50" s="35"/>
      <c r="H50" s="35"/>
      <c r="I50" s="35"/>
      <c r="J50" s="36" t="str">
        <f t="shared" ref="J50:J81" si="3">IF(N($F50)+N($G50)=0,"",N($F50)+N($G50))</f>
        <v/>
      </c>
      <c r="K50" s="36" t="str">
        <f t="shared" ref="K50:K81" si="4">IF(N($H50)=0,"",N($H50))</f>
        <v/>
      </c>
      <c r="L50" s="36" t="str">
        <f t="shared" ref="L50:L81" si="5">IF(N($I50)=0,"",N($I50))</f>
        <v/>
      </c>
    </row>
    <row r="51" spans="1:12" x14ac:dyDescent="0.25">
      <c r="A51" s="37">
        <v>34</v>
      </c>
      <c r="B51" s="33"/>
      <c r="C51" s="38" t="str">
        <f>IFERROR(VLOOKUP($B51,BD_PLANTA!$A:$F,6,0),"")</f>
        <v/>
      </c>
      <c r="D51" s="38" t="str">
        <f>IFERROR(VLOOKUP($B51,BD_PLANTA!$A:$E,3,0),"")</f>
        <v/>
      </c>
      <c r="E51" s="37" t="str">
        <f>IFERROR(VLOOKUP($B51,BD_PLANTA!$A:$E,4,0),"")</f>
        <v/>
      </c>
      <c r="F51" s="35"/>
      <c r="G51" s="35"/>
      <c r="H51" s="35"/>
      <c r="I51" s="35"/>
      <c r="J51" s="36" t="str">
        <f t="shared" si="3"/>
        <v/>
      </c>
      <c r="K51" s="36" t="str">
        <f t="shared" si="4"/>
        <v/>
      </c>
      <c r="L51" s="36" t="str">
        <f t="shared" si="5"/>
        <v/>
      </c>
    </row>
    <row r="52" spans="1:12" x14ac:dyDescent="0.25">
      <c r="A52" s="32">
        <v>35</v>
      </c>
      <c r="B52" s="33"/>
      <c r="C52" s="34" t="str">
        <f>IFERROR(VLOOKUP($B52,BD_PLANTA!$A:$F,6,0),"")</f>
        <v/>
      </c>
      <c r="D52" s="34" t="str">
        <f>IFERROR(VLOOKUP($B52,BD_PLANTA!$A:$E,3,0),"")</f>
        <v/>
      </c>
      <c r="E52" s="32" t="str">
        <f>IFERROR(VLOOKUP($B52,BD_PLANTA!$A:$E,4,0),"")</f>
        <v/>
      </c>
      <c r="F52" s="35"/>
      <c r="G52" s="35"/>
      <c r="H52" s="35"/>
      <c r="I52" s="35"/>
      <c r="J52" s="36" t="str">
        <f t="shared" si="3"/>
        <v/>
      </c>
      <c r="K52" s="36" t="str">
        <f t="shared" si="4"/>
        <v/>
      </c>
      <c r="L52" s="36" t="str">
        <f t="shared" si="5"/>
        <v/>
      </c>
    </row>
    <row r="53" spans="1:12" x14ac:dyDescent="0.25">
      <c r="A53" s="37">
        <v>36</v>
      </c>
      <c r="B53" s="33"/>
      <c r="C53" s="38" t="str">
        <f>IFERROR(VLOOKUP($B53,BD_PLANTA!$A:$F,6,0),"")</f>
        <v/>
      </c>
      <c r="D53" s="38" t="str">
        <f>IFERROR(VLOOKUP($B53,BD_PLANTA!$A:$E,3,0),"")</f>
        <v/>
      </c>
      <c r="E53" s="37" t="str">
        <f>IFERROR(VLOOKUP($B53,BD_PLANTA!$A:$E,4,0),"")</f>
        <v/>
      </c>
      <c r="F53" s="35"/>
      <c r="G53" s="35"/>
      <c r="H53" s="35"/>
      <c r="I53" s="35"/>
      <c r="J53" s="36" t="str">
        <f t="shared" si="3"/>
        <v/>
      </c>
      <c r="K53" s="36" t="str">
        <f t="shared" si="4"/>
        <v/>
      </c>
      <c r="L53" s="36" t="str">
        <f t="shared" si="5"/>
        <v/>
      </c>
    </row>
    <row r="54" spans="1:12" x14ac:dyDescent="0.25">
      <c r="A54" s="32">
        <v>37</v>
      </c>
      <c r="B54" s="33"/>
      <c r="C54" s="34" t="str">
        <f>IFERROR(VLOOKUP($B54,BD_PLANTA!$A:$F,6,0),"")</f>
        <v/>
      </c>
      <c r="D54" s="34" t="str">
        <f>IFERROR(VLOOKUP($B54,BD_PLANTA!$A:$E,3,0),"")</f>
        <v/>
      </c>
      <c r="E54" s="32" t="str">
        <f>IFERROR(VLOOKUP($B54,BD_PLANTA!$A:$E,4,0),"")</f>
        <v/>
      </c>
      <c r="F54" s="35"/>
      <c r="G54" s="35"/>
      <c r="H54" s="35"/>
      <c r="I54" s="35"/>
      <c r="J54" s="36" t="str">
        <f t="shared" si="3"/>
        <v/>
      </c>
      <c r="K54" s="36" t="str">
        <f t="shared" si="4"/>
        <v/>
      </c>
      <c r="L54" s="36" t="str">
        <f t="shared" si="5"/>
        <v/>
      </c>
    </row>
    <row r="55" spans="1:12" x14ac:dyDescent="0.25">
      <c r="A55" s="37">
        <v>38</v>
      </c>
      <c r="B55" s="33"/>
      <c r="C55" s="38" t="str">
        <f>IFERROR(VLOOKUP($B55,BD_PLANTA!$A:$F,6,0),"")</f>
        <v/>
      </c>
      <c r="D55" s="38" t="str">
        <f>IFERROR(VLOOKUP($B55,BD_PLANTA!$A:$E,3,0),"")</f>
        <v/>
      </c>
      <c r="E55" s="37" t="str">
        <f>IFERROR(VLOOKUP($B55,BD_PLANTA!$A:$E,4,0),"")</f>
        <v/>
      </c>
      <c r="F55" s="35"/>
      <c r="G55" s="35"/>
      <c r="H55" s="35"/>
      <c r="I55" s="35"/>
      <c r="J55" s="36" t="str">
        <f t="shared" si="3"/>
        <v/>
      </c>
      <c r="K55" s="36" t="str">
        <f t="shared" si="4"/>
        <v/>
      </c>
      <c r="L55" s="36" t="str">
        <f t="shared" si="5"/>
        <v/>
      </c>
    </row>
    <row r="56" spans="1:12" x14ac:dyDescent="0.25">
      <c r="A56" s="32">
        <v>39</v>
      </c>
      <c r="B56" s="33"/>
      <c r="C56" s="34" t="str">
        <f>IFERROR(VLOOKUP($B56,BD_PLANTA!$A:$F,6,0),"")</f>
        <v/>
      </c>
      <c r="D56" s="34" t="str">
        <f>IFERROR(VLOOKUP($B56,BD_PLANTA!$A:$E,3,0),"")</f>
        <v/>
      </c>
      <c r="E56" s="32" t="str">
        <f>IFERROR(VLOOKUP($B56,BD_PLANTA!$A:$E,4,0),"")</f>
        <v/>
      </c>
      <c r="F56" s="35"/>
      <c r="G56" s="35"/>
      <c r="H56" s="35"/>
      <c r="I56" s="35"/>
      <c r="J56" s="36" t="str">
        <f t="shared" si="3"/>
        <v/>
      </c>
      <c r="K56" s="36" t="str">
        <f t="shared" si="4"/>
        <v/>
      </c>
      <c r="L56" s="36" t="str">
        <f t="shared" si="5"/>
        <v/>
      </c>
    </row>
    <row r="57" spans="1:12" x14ac:dyDescent="0.25">
      <c r="A57" s="37">
        <v>40</v>
      </c>
      <c r="B57" s="33"/>
      <c r="C57" s="38" t="str">
        <f>IFERROR(VLOOKUP($B57,BD_PLANTA!$A:$F,6,0),"")</f>
        <v/>
      </c>
      <c r="D57" s="38" t="str">
        <f>IFERROR(VLOOKUP($B57,BD_PLANTA!$A:$E,3,0),"")</f>
        <v/>
      </c>
      <c r="E57" s="37" t="str">
        <f>IFERROR(VLOOKUP($B57,BD_PLANTA!$A:$E,4,0),"")</f>
        <v/>
      </c>
      <c r="F57" s="35"/>
      <c r="G57" s="35"/>
      <c r="H57" s="35"/>
      <c r="I57" s="35"/>
      <c r="J57" s="36" t="str">
        <f t="shared" si="3"/>
        <v/>
      </c>
      <c r="K57" s="36" t="str">
        <f t="shared" si="4"/>
        <v/>
      </c>
      <c r="L57" s="36" t="str">
        <f t="shared" si="5"/>
        <v/>
      </c>
    </row>
    <row r="58" spans="1:12" x14ac:dyDescent="0.25">
      <c r="A58" s="32">
        <v>41</v>
      </c>
      <c r="B58" s="33"/>
      <c r="C58" s="34" t="str">
        <f>IFERROR(VLOOKUP($B58,BD_PLANTA!$A:$F,6,0),"")</f>
        <v/>
      </c>
      <c r="D58" s="34" t="str">
        <f>IFERROR(VLOOKUP($B58,BD_PLANTA!$A:$E,3,0),"")</f>
        <v/>
      </c>
      <c r="E58" s="32" t="str">
        <f>IFERROR(VLOOKUP($B58,BD_PLANTA!$A:$E,4,0),"")</f>
        <v/>
      </c>
      <c r="F58" s="35"/>
      <c r="G58" s="35"/>
      <c r="H58" s="35"/>
      <c r="I58" s="35"/>
      <c r="J58" s="36" t="str">
        <f t="shared" si="3"/>
        <v/>
      </c>
      <c r="K58" s="36" t="str">
        <f t="shared" si="4"/>
        <v/>
      </c>
      <c r="L58" s="36" t="str">
        <f t="shared" si="5"/>
        <v/>
      </c>
    </row>
    <row r="59" spans="1:12" x14ac:dyDescent="0.25">
      <c r="A59" s="37">
        <v>42</v>
      </c>
      <c r="B59" s="33"/>
      <c r="C59" s="38" t="str">
        <f>IFERROR(VLOOKUP($B59,BD_PLANTA!$A:$F,6,0),"")</f>
        <v/>
      </c>
      <c r="D59" s="38" t="str">
        <f>IFERROR(VLOOKUP($B59,BD_PLANTA!$A:$E,3,0),"")</f>
        <v/>
      </c>
      <c r="E59" s="37" t="str">
        <f>IFERROR(VLOOKUP($B59,BD_PLANTA!$A:$E,4,0),"")</f>
        <v/>
      </c>
      <c r="F59" s="35"/>
      <c r="G59" s="35"/>
      <c r="H59" s="35"/>
      <c r="I59" s="35"/>
      <c r="J59" s="36" t="str">
        <f t="shared" si="3"/>
        <v/>
      </c>
      <c r="K59" s="36" t="str">
        <f t="shared" si="4"/>
        <v/>
      </c>
      <c r="L59" s="36" t="str">
        <f t="shared" si="5"/>
        <v/>
      </c>
    </row>
    <row r="60" spans="1:12" x14ac:dyDescent="0.25">
      <c r="A60" s="32">
        <v>43</v>
      </c>
      <c r="B60" s="33"/>
      <c r="C60" s="34" t="str">
        <f>IFERROR(VLOOKUP($B60,BD_PLANTA!$A:$F,6,0),"")</f>
        <v/>
      </c>
      <c r="D60" s="34" t="str">
        <f>IFERROR(VLOOKUP($B60,BD_PLANTA!$A:$E,3,0),"")</f>
        <v/>
      </c>
      <c r="E60" s="32" t="str">
        <f>IFERROR(VLOOKUP($B60,BD_PLANTA!$A:$E,4,0),"")</f>
        <v/>
      </c>
      <c r="F60" s="35"/>
      <c r="G60" s="35"/>
      <c r="H60" s="35"/>
      <c r="I60" s="35"/>
      <c r="J60" s="36" t="str">
        <f t="shared" si="3"/>
        <v/>
      </c>
      <c r="K60" s="36" t="str">
        <f t="shared" si="4"/>
        <v/>
      </c>
      <c r="L60" s="36" t="str">
        <f t="shared" si="5"/>
        <v/>
      </c>
    </row>
    <row r="61" spans="1:12" x14ac:dyDescent="0.25">
      <c r="A61" s="37">
        <v>44</v>
      </c>
      <c r="B61" s="33"/>
      <c r="C61" s="38" t="str">
        <f>IFERROR(VLOOKUP($B61,BD_PLANTA!$A:$F,6,0),"")</f>
        <v/>
      </c>
      <c r="D61" s="38" t="str">
        <f>IFERROR(VLOOKUP($B61,BD_PLANTA!$A:$E,3,0),"")</f>
        <v/>
      </c>
      <c r="E61" s="37" t="str">
        <f>IFERROR(VLOOKUP($B61,BD_PLANTA!$A:$E,4,0),"")</f>
        <v/>
      </c>
      <c r="F61" s="35"/>
      <c r="G61" s="35"/>
      <c r="H61" s="35"/>
      <c r="I61" s="35"/>
      <c r="J61" s="36" t="str">
        <f t="shared" si="3"/>
        <v/>
      </c>
      <c r="K61" s="36" t="str">
        <f t="shared" si="4"/>
        <v/>
      </c>
      <c r="L61" s="36" t="str">
        <f t="shared" si="5"/>
        <v/>
      </c>
    </row>
    <row r="62" spans="1:12" x14ac:dyDescent="0.25">
      <c r="A62" s="32">
        <v>45</v>
      </c>
      <c r="B62" s="33"/>
      <c r="C62" s="34" t="str">
        <f>IFERROR(VLOOKUP($B62,BD_PLANTA!$A:$F,6,0),"")</f>
        <v/>
      </c>
      <c r="D62" s="34" t="str">
        <f>IFERROR(VLOOKUP($B62,BD_PLANTA!$A:$E,3,0),"")</f>
        <v/>
      </c>
      <c r="E62" s="32" t="str">
        <f>IFERROR(VLOOKUP($B62,BD_PLANTA!$A:$E,4,0),"")</f>
        <v/>
      </c>
      <c r="F62" s="35"/>
      <c r="G62" s="35"/>
      <c r="H62" s="35"/>
      <c r="I62" s="35"/>
      <c r="J62" s="36" t="str">
        <f t="shared" si="3"/>
        <v/>
      </c>
      <c r="K62" s="36" t="str">
        <f t="shared" si="4"/>
        <v/>
      </c>
      <c r="L62" s="36" t="str">
        <f t="shared" si="5"/>
        <v/>
      </c>
    </row>
    <row r="63" spans="1:12" x14ac:dyDescent="0.25">
      <c r="A63" s="37">
        <v>46</v>
      </c>
      <c r="B63" s="33"/>
      <c r="C63" s="38" t="str">
        <f>IFERROR(VLOOKUP($B63,BD_PLANTA!$A:$F,6,0),"")</f>
        <v/>
      </c>
      <c r="D63" s="38" t="str">
        <f>IFERROR(VLOOKUP($B63,BD_PLANTA!$A:$E,3,0),"")</f>
        <v/>
      </c>
      <c r="E63" s="37" t="str">
        <f>IFERROR(VLOOKUP($B63,BD_PLANTA!$A:$E,4,0),"")</f>
        <v/>
      </c>
      <c r="F63" s="35"/>
      <c r="G63" s="35"/>
      <c r="H63" s="35"/>
      <c r="I63" s="35"/>
      <c r="J63" s="36" t="str">
        <f t="shared" si="3"/>
        <v/>
      </c>
      <c r="K63" s="36" t="str">
        <f t="shared" si="4"/>
        <v/>
      </c>
      <c r="L63" s="36" t="str">
        <f t="shared" si="5"/>
        <v/>
      </c>
    </row>
    <row r="64" spans="1:12" x14ac:dyDescent="0.25">
      <c r="A64" s="32">
        <v>47</v>
      </c>
      <c r="B64" s="33"/>
      <c r="C64" s="34" t="str">
        <f>IFERROR(VLOOKUP($B64,BD_PLANTA!$A:$F,6,0),"")</f>
        <v/>
      </c>
      <c r="D64" s="34" t="str">
        <f>IFERROR(VLOOKUP($B64,BD_PLANTA!$A:$E,3,0),"")</f>
        <v/>
      </c>
      <c r="E64" s="32" t="str">
        <f>IFERROR(VLOOKUP($B64,BD_PLANTA!$A:$E,4,0),"")</f>
        <v/>
      </c>
      <c r="F64" s="35"/>
      <c r="G64" s="35"/>
      <c r="H64" s="35"/>
      <c r="I64" s="35"/>
      <c r="J64" s="36" t="str">
        <f t="shared" si="3"/>
        <v/>
      </c>
      <c r="K64" s="36" t="str">
        <f t="shared" si="4"/>
        <v/>
      </c>
      <c r="L64" s="36" t="str">
        <f t="shared" si="5"/>
        <v/>
      </c>
    </row>
    <row r="65" spans="1:12" x14ac:dyDescent="0.25">
      <c r="A65" s="37">
        <v>48</v>
      </c>
      <c r="B65" s="33"/>
      <c r="C65" s="38" t="str">
        <f>IFERROR(VLOOKUP($B65,BD_PLANTA!$A:$F,6,0),"")</f>
        <v/>
      </c>
      <c r="D65" s="38" t="str">
        <f>IFERROR(VLOOKUP($B65,BD_PLANTA!$A:$E,3,0),"")</f>
        <v/>
      </c>
      <c r="E65" s="37" t="str">
        <f>IFERROR(VLOOKUP($B65,BD_PLANTA!$A:$E,4,0),"")</f>
        <v/>
      </c>
      <c r="F65" s="35"/>
      <c r="G65" s="35"/>
      <c r="H65" s="35"/>
      <c r="I65" s="35"/>
      <c r="J65" s="36" t="str">
        <f t="shared" si="3"/>
        <v/>
      </c>
      <c r="K65" s="36" t="str">
        <f t="shared" si="4"/>
        <v/>
      </c>
      <c r="L65" s="36" t="str">
        <f t="shared" si="5"/>
        <v/>
      </c>
    </row>
    <row r="66" spans="1:12" x14ac:dyDescent="0.25">
      <c r="A66" s="32">
        <v>49</v>
      </c>
      <c r="B66" s="33"/>
      <c r="C66" s="34" t="str">
        <f>IFERROR(VLOOKUP($B66,BD_PLANTA!$A:$F,6,0),"")</f>
        <v/>
      </c>
      <c r="D66" s="34" t="str">
        <f>IFERROR(VLOOKUP($B66,BD_PLANTA!$A:$E,3,0),"")</f>
        <v/>
      </c>
      <c r="E66" s="32" t="str">
        <f>IFERROR(VLOOKUP($B66,BD_PLANTA!$A:$E,4,0),"")</f>
        <v/>
      </c>
      <c r="F66" s="35"/>
      <c r="G66" s="35"/>
      <c r="H66" s="35"/>
      <c r="I66" s="35"/>
      <c r="J66" s="36" t="str">
        <f t="shared" si="3"/>
        <v/>
      </c>
      <c r="K66" s="36" t="str">
        <f t="shared" si="4"/>
        <v/>
      </c>
      <c r="L66" s="36" t="str">
        <f t="shared" si="5"/>
        <v/>
      </c>
    </row>
    <row r="67" spans="1:12" x14ac:dyDescent="0.25">
      <c r="A67" s="37">
        <v>50</v>
      </c>
      <c r="B67" s="33"/>
      <c r="C67" s="38" t="str">
        <f>IFERROR(VLOOKUP($B67,BD_PLANTA!$A:$F,6,0),"")</f>
        <v/>
      </c>
      <c r="D67" s="38" t="str">
        <f>IFERROR(VLOOKUP($B67,BD_PLANTA!$A:$E,3,0),"")</f>
        <v/>
      </c>
      <c r="E67" s="37" t="str">
        <f>IFERROR(VLOOKUP($B67,BD_PLANTA!$A:$E,4,0),"")</f>
        <v/>
      </c>
      <c r="F67" s="35"/>
      <c r="G67" s="35"/>
      <c r="H67" s="35"/>
      <c r="I67" s="35"/>
      <c r="J67" s="36" t="str">
        <f t="shared" si="3"/>
        <v/>
      </c>
      <c r="K67" s="36" t="str">
        <f t="shared" si="4"/>
        <v/>
      </c>
      <c r="L67" s="36" t="str">
        <f t="shared" si="5"/>
        <v/>
      </c>
    </row>
    <row r="68" spans="1:12" x14ac:dyDescent="0.25">
      <c r="A68" s="32">
        <v>51</v>
      </c>
      <c r="B68" s="33"/>
      <c r="C68" s="34" t="str">
        <f>IFERROR(VLOOKUP($B68,BD_PLANTA!$A:$F,6,0),"")</f>
        <v/>
      </c>
      <c r="D68" s="34" t="str">
        <f>IFERROR(VLOOKUP($B68,BD_PLANTA!$A:$E,3,0),"")</f>
        <v/>
      </c>
      <c r="E68" s="32" t="str">
        <f>IFERROR(VLOOKUP($B68,BD_PLANTA!$A:$E,4,0),"")</f>
        <v/>
      </c>
      <c r="F68" s="35"/>
      <c r="G68" s="35"/>
      <c r="H68" s="35"/>
      <c r="I68" s="35"/>
      <c r="J68" s="36" t="str">
        <f t="shared" si="3"/>
        <v/>
      </c>
      <c r="K68" s="36" t="str">
        <f t="shared" si="4"/>
        <v/>
      </c>
      <c r="L68" s="36" t="str">
        <f t="shared" si="5"/>
        <v/>
      </c>
    </row>
    <row r="69" spans="1:12" x14ac:dyDescent="0.25">
      <c r="A69" s="37">
        <v>52</v>
      </c>
      <c r="B69" s="33"/>
      <c r="C69" s="38" t="str">
        <f>IFERROR(VLOOKUP($B69,BD_PLANTA!$A:$F,6,0),"")</f>
        <v/>
      </c>
      <c r="D69" s="38" t="str">
        <f>IFERROR(VLOOKUP($B69,BD_PLANTA!$A:$E,3,0),"")</f>
        <v/>
      </c>
      <c r="E69" s="37" t="str">
        <f>IFERROR(VLOOKUP($B69,BD_PLANTA!$A:$E,4,0),"")</f>
        <v/>
      </c>
      <c r="F69" s="35"/>
      <c r="G69" s="35"/>
      <c r="H69" s="35"/>
      <c r="I69" s="35"/>
      <c r="J69" s="36" t="str">
        <f t="shared" si="3"/>
        <v/>
      </c>
      <c r="K69" s="36" t="str">
        <f t="shared" si="4"/>
        <v/>
      </c>
      <c r="L69" s="36" t="str">
        <f t="shared" si="5"/>
        <v/>
      </c>
    </row>
    <row r="70" spans="1:12" x14ac:dyDescent="0.25">
      <c r="A70" s="32">
        <v>53</v>
      </c>
      <c r="B70" s="33"/>
      <c r="C70" s="34" t="str">
        <f>IFERROR(VLOOKUP($B70,BD_PLANTA!$A:$F,6,0),"")</f>
        <v/>
      </c>
      <c r="D70" s="34" t="str">
        <f>IFERROR(VLOOKUP($B70,BD_PLANTA!$A:$E,3,0),"")</f>
        <v/>
      </c>
      <c r="E70" s="32" t="str">
        <f>IFERROR(VLOOKUP($B70,BD_PLANTA!$A:$E,4,0),"")</f>
        <v/>
      </c>
      <c r="F70" s="35"/>
      <c r="G70" s="35"/>
      <c r="H70" s="35"/>
      <c r="I70" s="35"/>
      <c r="J70" s="36" t="str">
        <f t="shared" si="3"/>
        <v/>
      </c>
      <c r="K70" s="36" t="str">
        <f t="shared" si="4"/>
        <v/>
      </c>
      <c r="L70" s="36" t="str">
        <f t="shared" si="5"/>
        <v/>
      </c>
    </row>
    <row r="71" spans="1:12" x14ac:dyDescent="0.25">
      <c r="A71" s="37">
        <v>54</v>
      </c>
      <c r="B71" s="33"/>
      <c r="C71" s="38" t="str">
        <f>IFERROR(VLOOKUP($B71,BD_PLANTA!$A:$F,6,0),"")</f>
        <v/>
      </c>
      <c r="D71" s="38" t="str">
        <f>IFERROR(VLOOKUP($B71,BD_PLANTA!$A:$E,3,0),"")</f>
        <v/>
      </c>
      <c r="E71" s="37" t="str">
        <f>IFERROR(VLOOKUP($B71,BD_PLANTA!$A:$E,4,0),"")</f>
        <v/>
      </c>
      <c r="F71" s="35"/>
      <c r="G71" s="35"/>
      <c r="H71" s="35"/>
      <c r="I71" s="35"/>
      <c r="J71" s="36" t="str">
        <f t="shared" si="3"/>
        <v/>
      </c>
      <c r="K71" s="36" t="str">
        <f t="shared" si="4"/>
        <v/>
      </c>
      <c r="L71" s="36" t="str">
        <f t="shared" si="5"/>
        <v/>
      </c>
    </row>
    <row r="72" spans="1:12" x14ac:dyDescent="0.25">
      <c r="A72" s="32">
        <v>55</v>
      </c>
      <c r="B72" s="33"/>
      <c r="C72" s="34" t="str">
        <f>IFERROR(VLOOKUP($B72,BD_PLANTA!$A:$F,6,0),"")</f>
        <v/>
      </c>
      <c r="D72" s="34" t="str">
        <f>IFERROR(VLOOKUP($B72,BD_PLANTA!$A:$E,3,0),"")</f>
        <v/>
      </c>
      <c r="E72" s="32" t="str">
        <f>IFERROR(VLOOKUP($B72,BD_PLANTA!$A:$E,4,0),"")</f>
        <v/>
      </c>
      <c r="F72" s="35"/>
      <c r="G72" s="35"/>
      <c r="H72" s="35"/>
      <c r="I72" s="35"/>
      <c r="J72" s="36" t="str">
        <f t="shared" si="3"/>
        <v/>
      </c>
      <c r="K72" s="36" t="str">
        <f t="shared" si="4"/>
        <v/>
      </c>
      <c r="L72" s="36" t="str">
        <f t="shared" si="5"/>
        <v/>
      </c>
    </row>
    <row r="73" spans="1:12" x14ac:dyDescent="0.25">
      <c r="A73" s="37">
        <v>56</v>
      </c>
      <c r="B73" s="33"/>
      <c r="C73" s="38" t="str">
        <f>IFERROR(VLOOKUP($B73,BD_PLANTA!$A:$F,6,0),"")</f>
        <v/>
      </c>
      <c r="D73" s="38" t="str">
        <f>IFERROR(VLOOKUP($B73,BD_PLANTA!$A:$E,3,0),"")</f>
        <v/>
      </c>
      <c r="E73" s="37" t="str">
        <f>IFERROR(VLOOKUP($B73,BD_PLANTA!$A:$E,4,0),"")</f>
        <v/>
      </c>
      <c r="F73" s="35"/>
      <c r="G73" s="35"/>
      <c r="H73" s="35"/>
      <c r="I73" s="35"/>
      <c r="J73" s="36" t="str">
        <f t="shared" si="3"/>
        <v/>
      </c>
      <c r="K73" s="36" t="str">
        <f t="shared" si="4"/>
        <v/>
      </c>
      <c r="L73" s="36" t="str">
        <f t="shared" si="5"/>
        <v/>
      </c>
    </row>
    <row r="74" spans="1:12" x14ac:dyDescent="0.25">
      <c r="A74" s="32">
        <v>57</v>
      </c>
      <c r="B74" s="33"/>
      <c r="C74" s="34" t="str">
        <f>IFERROR(VLOOKUP($B74,BD_PLANTA!$A:$F,6,0),"")</f>
        <v/>
      </c>
      <c r="D74" s="34" t="str">
        <f>IFERROR(VLOOKUP($B74,BD_PLANTA!$A:$E,3,0),"")</f>
        <v/>
      </c>
      <c r="E74" s="32" t="str">
        <f>IFERROR(VLOOKUP($B74,BD_PLANTA!$A:$E,4,0),"")</f>
        <v/>
      </c>
      <c r="F74" s="35"/>
      <c r="G74" s="35"/>
      <c r="H74" s="35"/>
      <c r="I74" s="35"/>
      <c r="J74" s="36" t="str">
        <f t="shared" si="3"/>
        <v/>
      </c>
      <c r="K74" s="36" t="str">
        <f t="shared" si="4"/>
        <v/>
      </c>
      <c r="L74" s="36" t="str">
        <f t="shared" si="5"/>
        <v/>
      </c>
    </row>
    <row r="75" spans="1:12" x14ac:dyDescent="0.25">
      <c r="A75" s="37">
        <v>58</v>
      </c>
      <c r="B75" s="33"/>
      <c r="C75" s="38" t="str">
        <f>IFERROR(VLOOKUP($B75,BD_PLANTA!$A:$F,6,0),"")</f>
        <v/>
      </c>
      <c r="D75" s="38" t="str">
        <f>IFERROR(VLOOKUP($B75,BD_PLANTA!$A:$E,3,0),"")</f>
        <v/>
      </c>
      <c r="E75" s="37" t="str">
        <f>IFERROR(VLOOKUP($B75,BD_PLANTA!$A:$E,4,0),"")</f>
        <v/>
      </c>
      <c r="F75" s="35"/>
      <c r="G75" s="35"/>
      <c r="H75" s="35"/>
      <c r="I75" s="35"/>
      <c r="J75" s="36" t="str">
        <f t="shared" si="3"/>
        <v/>
      </c>
      <c r="K75" s="36" t="str">
        <f t="shared" si="4"/>
        <v/>
      </c>
      <c r="L75" s="36" t="str">
        <f t="shared" si="5"/>
        <v/>
      </c>
    </row>
    <row r="76" spans="1:12" x14ac:dyDescent="0.25">
      <c r="A76" s="32">
        <v>59</v>
      </c>
      <c r="B76" s="33"/>
      <c r="C76" s="34" t="str">
        <f>IFERROR(VLOOKUP($B76,BD_PLANTA!$A:$F,6,0),"")</f>
        <v/>
      </c>
      <c r="D76" s="34" t="str">
        <f>IFERROR(VLOOKUP($B76,BD_PLANTA!$A:$E,3,0),"")</f>
        <v/>
      </c>
      <c r="E76" s="32" t="str">
        <f>IFERROR(VLOOKUP($B76,BD_PLANTA!$A:$E,4,0),"")</f>
        <v/>
      </c>
      <c r="F76" s="35"/>
      <c r="G76" s="35"/>
      <c r="H76" s="35"/>
      <c r="I76" s="35"/>
      <c r="J76" s="36" t="str">
        <f t="shared" si="3"/>
        <v/>
      </c>
      <c r="K76" s="36" t="str">
        <f t="shared" si="4"/>
        <v/>
      </c>
      <c r="L76" s="36" t="str">
        <f t="shared" si="5"/>
        <v/>
      </c>
    </row>
    <row r="77" spans="1:12" x14ac:dyDescent="0.25">
      <c r="A77" s="37">
        <v>60</v>
      </c>
      <c r="B77" s="33"/>
      <c r="C77" s="38" t="str">
        <f>IFERROR(VLOOKUP($B77,BD_PLANTA!$A:$F,6,0),"")</f>
        <v/>
      </c>
      <c r="D77" s="38" t="str">
        <f>IFERROR(VLOOKUP($B77,BD_PLANTA!$A:$E,3,0),"")</f>
        <v/>
      </c>
      <c r="E77" s="37" t="str">
        <f>IFERROR(VLOOKUP($B77,BD_PLANTA!$A:$E,4,0),"")</f>
        <v/>
      </c>
      <c r="F77" s="35"/>
      <c r="G77" s="35"/>
      <c r="H77" s="35"/>
      <c r="I77" s="35"/>
      <c r="J77" s="36" t="str">
        <f t="shared" si="3"/>
        <v/>
      </c>
      <c r="K77" s="36" t="str">
        <f t="shared" si="4"/>
        <v/>
      </c>
      <c r="L77" s="36" t="str">
        <f t="shared" si="5"/>
        <v/>
      </c>
    </row>
    <row r="78" spans="1:12" x14ac:dyDescent="0.25">
      <c r="A78" s="32">
        <v>61</v>
      </c>
      <c r="B78" s="33"/>
      <c r="C78" s="34" t="str">
        <f>IFERROR(VLOOKUP($B78,BD_PLANTA!$A:$F,6,0),"")</f>
        <v/>
      </c>
      <c r="D78" s="34" t="str">
        <f>IFERROR(VLOOKUP($B78,BD_PLANTA!$A:$E,3,0),"")</f>
        <v/>
      </c>
      <c r="E78" s="32" t="str">
        <f>IFERROR(VLOOKUP($B78,BD_PLANTA!$A:$E,4,0),"")</f>
        <v/>
      </c>
      <c r="F78" s="35"/>
      <c r="G78" s="35"/>
      <c r="H78" s="35"/>
      <c r="I78" s="35"/>
      <c r="J78" s="36" t="str">
        <f t="shared" si="3"/>
        <v/>
      </c>
      <c r="K78" s="36" t="str">
        <f t="shared" si="4"/>
        <v/>
      </c>
      <c r="L78" s="36" t="str">
        <f t="shared" si="5"/>
        <v/>
      </c>
    </row>
    <row r="79" spans="1:12" x14ac:dyDescent="0.25">
      <c r="A79" s="37">
        <v>62</v>
      </c>
      <c r="B79" s="33"/>
      <c r="C79" s="38" t="str">
        <f>IFERROR(VLOOKUP($B79,BD_PLANTA!$A:$F,6,0),"")</f>
        <v/>
      </c>
      <c r="D79" s="38" t="str">
        <f>IFERROR(VLOOKUP($B79,BD_PLANTA!$A:$E,3,0),"")</f>
        <v/>
      </c>
      <c r="E79" s="37" t="str">
        <f>IFERROR(VLOOKUP($B79,BD_PLANTA!$A:$E,4,0),"")</f>
        <v/>
      </c>
      <c r="F79" s="35"/>
      <c r="G79" s="35"/>
      <c r="H79" s="35"/>
      <c r="I79" s="35"/>
      <c r="J79" s="36" t="str">
        <f t="shared" si="3"/>
        <v/>
      </c>
      <c r="K79" s="36" t="str">
        <f t="shared" si="4"/>
        <v/>
      </c>
      <c r="L79" s="36" t="str">
        <f t="shared" si="5"/>
        <v/>
      </c>
    </row>
    <row r="80" spans="1:12" x14ac:dyDescent="0.25">
      <c r="A80" s="32">
        <v>63</v>
      </c>
      <c r="B80" s="33"/>
      <c r="C80" s="34" t="str">
        <f>IFERROR(VLOOKUP($B80,BD_PLANTA!$A:$F,6,0),"")</f>
        <v/>
      </c>
      <c r="D80" s="34" t="str">
        <f>IFERROR(VLOOKUP($B80,BD_PLANTA!$A:$E,3,0),"")</f>
        <v/>
      </c>
      <c r="E80" s="32" t="str">
        <f>IFERROR(VLOOKUP($B80,BD_PLANTA!$A:$E,4,0),"")</f>
        <v/>
      </c>
      <c r="F80" s="35"/>
      <c r="G80" s="35"/>
      <c r="H80" s="35"/>
      <c r="I80" s="35"/>
      <c r="J80" s="36" t="str">
        <f t="shared" si="3"/>
        <v/>
      </c>
      <c r="K80" s="36" t="str">
        <f t="shared" si="4"/>
        <v/>
      </c>
      <c r="L80" s="36" t="str">
        <f t="shared" si="5"/>
        <v/>
      </c>
    </row>
    <row r="81" spans="1:12" x14ac:dyDescent="0.25">
      <c r="A81" s="37">
        <v>64</v>
      </c>
      <c r="B81" s="33"/>
      <c r="C81" s="38" t="str">
        <f>IFERROR(VLOOKUP($B81,BD_PLANTA!$A:$F,6,0),"")</f>
        <v/>
      </c>
      <c r="D81" s="38" t="str">
        <f>IFERROR(VLOOKUP($B81,BD_PLANTA!$A:$E,3,0),"")</f>
        <v/>
      </c>
      <c r="E81" s="37" t="str">
        <f>IFERROR(VLOOKUP($B81,BD_PLANTA!$A:$E,4,0),"")</f>
        <v/>
      </c>
      <c r="F81" s="35"/>
      <c r="G81" s="35"/>
      <c r="H81" s="35"/>
      <c r="I81" s="35"/>
      <c r="J81" s="36" t="str">
        <f t="shared" si="3"/>
        <v/>
      </c>
      <c r="K81" s="36" t="str">
        <f t="shared" si="4"/>
        <v/>
      </c>
      <c r="L81" s="36" t="str">
        <f t="shared" si="5"/>
        <v/>
      </c>
    </row>
    <row r="82" spans="1:12" x14ac:dyDescent="0.25">
      <c r="A82" s="32">
        <v>65</v>
      </c>
      <c r="B82" s="33"/>
      <c r="C82" s="34" t="str">
        <f>IFERROR(VLOOKUP($B82,BD_PLANTA!$A:$F,6,0),"")</f>
        <v/>
      </c>
      <c r="D82" s="34" t="str">
        <f>IFERROR(VLOOKUP($B82,BD_PLANTA!$A:$E,3,0),"")</f>
        <v/>
      </c>
      <c r="E82" s="32" t="str">
        <f>IFERROR(VLOOKUP($B82,BD_PLANTA!$A:$E,4,0),"")</f>
        <v/>
      </c>
      <c r="F82" s="35"/>
      <c r="G82" s="35"/>
      <c r="H82" s="35"/>
      <c r="I82" s="35"/>
      <c r="J82" s="36" t="str">
        <f t="shared" ref="J82:J113" si="6">IF(N($F82)+N($G82)=0,"",N($F82)+N($G82))</f>
        <v/>
      </c>
      <c r="K82" s="36" t="str">
        <f t="shared" ref="K82:K113" si="7">IF(N($H82)=0,"",N($H82))</f>
        <v/>
      </c>
      <c r="L82" s="36" t="str">
        <f t="shared" ref="L82:L113" si="8">IF(N($I82)=0,"",N($I82))</f>
        <v/>
      </c>
    </row>
    <row r="83" spans="1:12" x14ac:dyDescent="0.25">
      <c r="A83" s="37">
        <v>66</v>
      </c>
      <c r="B83" s="33"/>
      <c r="C83" s="38" t="str">
        <f>IFERROR(VLOOKUP($B83,BD_PLANTA!$A:$F,6,0),"")</f>
        <v/>
      </c>
      <c r="D83" s="38" t="str">
        <f>IFERROR(VLOOKUP($B83,BD_PLANTA!$A:$E,3,0),"")</f>
        <v/>
      </c>
      <c r="E83" s="37" t="str">
        <f>IFERROR(VLOOKUP($B83,BD_PLANTA!$A:$E,4,0),"")</f>
        <v/>
      </c>
      <c r="F83" s="35"/>
      <c r="G83" s="35"/>
      <c r="H83" s="35"/>
      <c r="I83" s="35"/>
      <c r="J83" s="36" t="str">
        <f t="shared" si="6"/>
        <v/>
      </c>
      <c r="K83" s="36" t="str">
        <f t="shared" si="7"/>
        <v/>
      </c>
      <c r="L83" s="36" t="str">
        <f t="shared" si="8"/>
        <v/>
      </c>
    </row>
    <row r="84" spans="1:12" x14ac:dyDescent="0.25">
      <c r="A84" s="32">
        <v>67</v>
      </c>
      <c r="B84" s="33"/>
      <c r="C84" s="34" t="str">
        <f>IFERROR(VLOOKUP($B84,BD_PLANTA!$A:$F,6,0),"")</f>
        <v/>
      </c>
      <c r="D84" s="34" t="str">
        <f>IFERROR(VLOOKUP($B84,BD_PLANTA!$A:$E,3,0),"")</f>
        <v/>
      </c>
      <c r="E84" s="32" t="str">
        <f>IFERROR(VLOOKUP($B84,BD_PLANTA!$A:$E,4,0),"")</f>
        <v/>
      </c>
      <c r="F84" s="35"/>
      <c r="G84" s="35"/>
      <c r="H84" s="35"/>
      <c r="I84" s="35"/>
      <c r="J84" s="36" t="str">
        <f t="shared" si="6"/>
        <v/>
      </c>
      <c r="K84" s="36" t="str">
        <f t="shared" si="7"/>
        <v/>
      </c>
      <c r="L84" s="36" t="str">
        <f t="shared" si="8"/>
        <v/>
      </c>
    </row>
    <row r="85" spans="1:12" x14ac:dyDescent="0.25">
      <c r="A85" s="37">
        <v>68</v>
      </c>
      <c r="B85" s="33"/>
      <c r="C85" s="38" t="str">
        <f>IFERROR(VLOOKUP($B85,BD_PLANTA!$A:$F,6,0),"")</f>
        <v/>
      </c>
      <c r="D85" s="38" t="str">
        <f>IFERROR(VLOOKUP($B85,BD_PLANTA!$A:$E,3,0),"")</f>
        <v/>
      </c>
      <c r="E85" s="37" t="str">
        <f>IFERROR(VLOOKUP($B85,BD_PLANTA!$A:$E,4,0),"")</f>
        <v/>
      </c>
      <c r="F85" s="35"/>
      <c r="G85" s="35"/>
      <c r="H85" s="35"/>
      <c r="I85" s="35"/>
      <c r="J85" s="36" t="str">
        <f t="shared" si="6"/>
        <v/>
      </c>
      <c r="K85" s="36" t="str">
        <f t="shared" si="7"/>
        <v/>
      </c>
      <c r="L85" s="36" t="str">
        <f t="shared" si="8"/>
        <v/>
      </c>
    </row>
    <row r="86" spans="1:12" x14ac:dyDescent="0.25">
      <c r="A86" s="32">
        <v>69</v>
      </c>
      <c r="B86" s="33"/>
      <c r="C86" s="34" t="str">
        <f>IFERROR(VLOOKUP($B86,BD_PLANTA!$A:$F,6,0),"")</f>
        <v/>
      </c>
      <c r="D86" s="34" t="str">
        <f>IFERROR(VLOOKUP($B86,BD_PLANTA!$A:$E,3,0),"")</f>
        <v/>
      </c>
      <c r="E86" s="32" t="str">
        <f>IFERROR(VLOOKUP($B86,BD_PLANTA!$A:$E,4,0),"")</f>
        <v/>
      </c>
      <c r="F86" s="35"/>
      <c r="G86" s="35"/>
      <c r="H86" s="35"/>
      <c r="I86" s="35"/>
      <c r="J86" s="36" t="str">
        <f t="shared" si="6"/>
        <v/>
      </c>
      <c r="K86" s="36" t="str">
        <f t="shared" si="7"/>
        <v/>
      </c>
      <c r="L86" s="36" t="str">
        <f t="shared" si="8"/>
        <v/>
      </c>
    </row>
    <row r="87" spans="1:12" x14ac:dyDescent="0.25">
      <c r="A87" s="37">
        <v>70</v>
      </c>
      <c r="B87" s="33"/>
      <c r="C87" s="38" t="str">
        <f>IFERROR(VLOOKUP($B87,BD_PLANTA!$A:$F,6,0),"")</f>
        <v/>
      </c>
      <c r="D87" s="38" t="str">
        <f>IFERROR(VLOOKUP($B87,BD_PLANTA!$A:$E,3,0),"")</f>
        <v/>
      </c>
      <c r="E87" s="37" t="str">
        <f>IFERROR(VLOOKUP($B87,BD_PLANTA!$A:$E,4,0),"")</f>
        <v/>
      </c>
      <c r="F87" s="35"/>
      <c r="G87" s="35"/>
      <c r="H87" s="35"/>
      <c r="I87" s="35"/>
      <c r="J87" s="36" t="str">
        <f t="shared" si="6"/>
        <v/>
      </c>
      <c r="K87" s="36" t="str">
        <f t="shared" si="7"/>
        <v/>
      </c>
      <c r="L87" s="36" t="str">
        <f t="shared" si="8"/>
        <v/>
      </c>
    </row>
    <row r="88" spans="1:12" x14ac:dyDescent="0.25">
      <c r="A88" s="32">
        <v>71</v>
      </c>
      <c r="B88" s="33"/>
      <c r="C88" s="34" t="str">
        <f>IFERROR(VLOOKUP($B88,BD_PLANTA!$A:$F,6,0),"")</f>
        <v/>
      </c>
      <c r="D88" s="34" t="str">
        <f>IFERROR(VLOOKUP($B88,BD_PLANTA!$A:$E,3,0),"")</f>
        <v/>
      </c>
      <c r="E88" s="32" t="str">
        <f>IFERROR(VLOOKUP($B88,BD_PLANTA!$A:$E,4,0),"")</f>
        <v/>
      </c>
      <c r="F88" s="35"/>
      <c r="G88" s="35"/>
      <c r="H88" s="35"/>
      <c r="I88" s="35"/>
      <c r="J88" s="36" t="str">
        <f t="shared" si="6"/>
        <v/>
      </c>
      <c r="K88" s="36" t="str">
        <f t="shared" si="7"/>
        <v/>
      </c>
      <c r="L88" s="36" t="str">
        <f t="shared" si="8"/>
        <v/>
      </c>
    </row>
    <row r="89" spans="1:12" x14ac:dyDescent="0.25">
      <c r="A89" s="37">
        <v>72</v>
      </c>
      <c r="B89" s="33"/>
      <c r="C89" s="38" t="str">
        <f>IFERROR(VLOOKUP($B89,BD_PLANTA!$A:$F,6,0),"")</f>
        <v/>
      </c>
      <c r="D89" s="38" t="str">
        <f>IFERROR(VLOOKUP($B89,BD_PLANTA!$A:$E,3,0),"")</f>
        <v/>
      </c>
      <c r="E89" s="37" t="str">
        <f>IFERROR(VLOOKUP($B89,BD_PLANTA!$A:$E,4,0),"")</f>
        <v/>
      </c>
      <c r="F89" s="35"/>
      <c r="G89" s="35"/>
      <c r="H89" s="35"/>
      <c r="I89" s="35"/>
      <c r="J89" s="36" t="str">
        <f t="shared" si="6"/>
        <v/>
      </c>
      <c r="K89" s="36" t="str">
        <f t="shared" si="7"/>
        <v/>
      </c>
      <c r="L89" s="36" t="str">
        <f t="shared" si="8"/>
        <v/>
      </c>
    </row>
    <row r="90" spans="1:12" x14ac:dyDescent="0.25">
      <c r="A90" s="32">
        <v>73</v>
      </c>
      <c r="B90" s="33"/>
      <c r="C90" s="34" t="str">
        <f>IFERROR(VLOOKUP($B90,BD_PLANTA!$A:$F,6,0),"")</f>
        <v/>
      </c>
      <c r="D90" s="34" t="str">
        <f>IFERROR(VLOOKUP($B90,BD_PLANTA!$A:$E,3,0),"")</f>
        <v/>
      </c>
      <c r="E90" s="32" t="str">
        <f>IFERROR(VLOOKUP($B90,BD_PLANTA!$A:$E,4,0),"")</f>
        <v/>
      </c>
      <c r="F90" s="35"/>
      <c r="G90" s="35"/>
      <c r="H90" s="35"/>
      <c r="I90" s="35"/>
      <c r="J90" s="36" t="str">
        <f t="shared" si="6"/>
        <v/>
      </c>
      <c r="K90" s="36" t="str">
        <f t="shared" si="7"/>
        <v/>
      </c>
      <c r="L90" s="36" t="str">
        <f t="shared" si="8"/>
        <v/>
      </c>
    </row>
    <row r="91" spans="1:12" x14ac:dyDescent="0.25">
      <c r="A91" s="37">
        <v>74</v>
      </c>
      <c r="B91" s="33"/>
      <c r="C91" s="38" t="str">
        <f>IFERROR(VLOOKUP($B91,BD_PLANTA!$A:$F,6,0),"")</f>
        <v/>
      </c>
      <c r="D91" s="38" t="str">
        <f>IFERROR(VLOOKUP($B91,BD_PLANTA!$A:$E,3,0),"")</f>
        <v/>
      </c>
      <c r="E91" s="37" t="str">
        <f>IFERROR(VLOOKUP($B91,BD_PLANTA!$A:$E,4,0),"")</f>
        <v/>
      </c>
      <c r="F91" s="35"/>
      <c r="G91" s="35"/>
      <c r="H91" s="35"/>
      <c r="I91" s="35"/>
      <c r="J91" s="36" t="str">
        <f t="shared" si="6"/>
        <v/>
      </c>
      <c r="K91" s="36" t="str">
        <f t="shared" si="7"/>
        <v/>
      </c>
      <c r="L91" s="36" t="str">
        <f t="shared" si="8"/>
        <v/>
      </c>
    </row>
    <row r="92" spans="1:12" x14ac:dyDescent="0.25">
      <c r="A92" s="32">
        <v>75</v>
      </c>
      <c r="B92" s="33"/>
      <c r="C92" s="34" t="str">
        <f>IFERROR(VLOOKUP($B92,BD_PLANTA!$A:$F,6,0),"")</f>
        <v/>
      </c>
      <c r="D92" s="34" t="str">
        <f>IFERROR(VLOOKUP($B92,BD_PLANTA!$A:$E,3,0),"")</f>
        <v/>
      </c>
      <c r="E92" s="32" t="str">
        <f>IFERROR(VLOOKUP($B92,BD_PLANTA!$A:$E,4,0),"")</f>
        <v/>
      </c>
      <c r="F92" s="35"/>
      <c r="G92" s="35"/>
      <c r="H92" s="35"/>
      <c r="I92" s="35"/>
      <c r="J92" s="36" t="str">
        <f t="shared" si="6"/>
        <v/>
      </c>
      <c r="K92" s="36" t="str">
        <f t="shared" si="7"/>
        <v/>
      </c>
      <c r="L92" s="36" t="str">
        <f t="shared" si="8"/>
        <v/>
      </c>
    </row>
    <row r="93" spans="1:12" x14ac:dyDescent="0.25">
      <c r="A93" s="37">
        <v>76</v>
      </c>
      <c r="B93" s="33"/>
      <c r="C93" s="38" t="str">
        <f>IFERROR(VLOOKUP($B93,BD_PLANTA!$A:$F,6,0),"")</f>
        <v/>
      </c>
      <c r="D93" s="38" t="str">
        <f>IFERROR(VLOOKUP($B93,BD_PLANTA!$A:$E,3,0),"")</f>
        <v/>
      </c>
      <c r="E93" s="37" t="str">
        <f>IFERROR(VLOOKUP($B93,BD_PLANTA!$A:$E,4,0),"")</f>
        <v/>
      </c>
      <c r="F93" s="35"/>
      <c r="G93" s="35"/>
      <c r="H93" s="35"/>
      <c r="I93" s="35"/>
      <c r="J93" s="36" t="str">
        <f t="shared" si="6"/>
        <v/>
      </c>
      <c r="K93" s="36" t="str">
        <f t="shared" si="7"/>
        <v/>
      </c>
      <c r="L93" s="36" t="str">
        <f t="shared" si="8"/>
        <v/>
      </c>
    </row>
    <row r="94" spans="1:12" x14ac:dyDescent="0.25">
      <c r="A94" s="32">
        <v>77</v>
      </c>
      <c r="B94" s="33"/>
      <c r="C94" s="34" t="str">
        <f>IFERROR(VLOOKUP($B94,BD_PLANTA!$A:$F,6,0),"")</f>
        <v/>
      </c>
      <c r="D94" s="34" t="str">
        <f>IFERROR(VLOOKUP($B94,BD_PLANTA!$A:$E,3,0),"")</f>
        <v/>
      </c>
      <c r="E94" s="32" t="str">
        <f>IFERROR(VLOOKUP($B94,BD_PLANTA!$A:$E,4,0),"")</f>
        <v/>
      </c>
      <c r="F94" s="35"/>
      <c r="G94" s="35"/>
      <c r="H94" s="35"/>
      <c r="I94" s="35"/>
      <c r="J94" s="36" t="str">
        <f t="shared" si="6"/>
        <v/>
      </c>
      <c r="K94" s="36" t="str">
        <f t="shared" si="7"/>
        <v/>
      </c>
      <c r="L94" s="36" t="str">
        <f t="shared" si="8"/>
        <v/>
      </c>
    </row>
    <row r="95" spans="1:12" x14ac:dyDescent="0.25">
      <c r="A95" s="37">
        <v>78</v>
      </c>
      <c r="B95" s="33"/>
      <c r="C95" s="38" t="str">
        <f>IFERROR(VLOOKUP($B95,BD_PLANTA!$A:$F,6,0),"")</f>
        <v/>
      </c>
      <c r="D95" s="38" t="str">
        <f>IFERROR(VLOOKUP($B95,BD_PLANTA!$A:$E,3,0),"")</f>
        <v/>
      </c>
      <c r="E95" s="37" t="str">
        <f>IFERROR(VLOOKUP($B95,BD_PLANTA!$A:$E,4,0),"")</f>
        <v/>
      </c>
      <c r="F95" s="35"/>
      <c r="G95" s="35"/>
      <c r="H95" s="35"/>
      <c r="I95" s="35"/>
      <c r="J95" s="36" t="str">
        <f t="shared" si="6"/>
        <v/>
      </c>
      <c r="K95" s="36" t="str">
        <f t="shared" si="7"/>
        <v/>
      </c>
      <c r="L95" s="36" t="str">
        <f t="shared" si="8"/>
        <v/>
      </c>
    </row>
    <row r="96" spans="1:12" x14ac:dyDescent="0.25">
      <c r="A96" s="32">
        <v>79</v>
      </c>
      <c r="B96" s="33"/>
      <c r="C96" s="34" t="str">
        <f>IFERROR(VLOOKUP($B96,BD_PLANTA!$A:$F,6,0),"")</f>
        <v/>
      </c>
      <c r="D96" s="34" t="str">
        <f>IFERROR(VLOOKUP($B96,BD_PLANTA!$A:$E,3,0),"")</f>
        <v/>
      </c>
      <c r="E96" s="32" t="str">
        <f>IFERROR(VLOOKUP($B96,BD_PLANTA!$A:$E,4,0),"")</f>
        <v/>
      </c>
      <c r="F96" s="35"/>
      <c r="G96" s="35"/>
      <c r="H96" s="35"/>
      <c r="I96" s="35"/>
      <c r="J96" s="36" t="str">
        <f t="shared" si="6"/>
        <v/>
      </c>
      <c r="K96" s="36" t="str">
        <f t="shared" si="7"/>
        <v/>
      </c>
      <c r="L96" s="36" t="str">
        <f t="shared" si="8"/>
        <v/>
      </c>
    </row>
    <row r="97" spans="1:12" x14ac:dyDescent="0.25">
      <c r="A97" s="37">
        <v>80</v>
      </c>
      <c r="B97" s="33"/>
      <c r="C97" s="38" t="str">
        <f>IFERROR(VLOOKUP($B97,BD_PLANTA!$A:$F,6,0),"")</f>
        <v/>
      </c>
      <c r="D97" s="38" t="str">
        <f>IFERROR(VLOOKUP($B97,BD_PLANTA!$A:$E,3,0),"")</f>
        <v/>
      </c>
      <c r="E97" s="37" t="str">
        <f>IFERROR(VLOOKUP($B97,BD_PLANTA!$A:$E,4,0),"")</f>
        <v/>
      </c>
      <c r="F97" s="35"/>
      <c r="G97" s="35"/>
      <c r="H97" s="35"/>
      <c r="I97" s="35"/>
      <c r="J97" s="36" t="str">
        <f t="shared" si="6"/>
        <v/>
      </c>
      <c r="K97" s="36" t="str">
        <f t="shared" si="7"/>
        <v/>
      </c>
      <c r="L97" s="36" t="str">
        <f t="shared" si="8"/>
        <v/>
      </c>
    </row>
    <row r="98" spans="1:12" x14ac:dyDescent="0.25">
      <c r="A98" s="32">
        <v>81</v>
      </c>
      <c r="B98" s="33"/>
      <c r="C98" s="34" t="str">
        <f>IFERROR(VLOOKUP($B98,BD_PLANTA!$A:$F,6,0),"")</f>
        <v/>
      </c>
      <c r="D98" s="34" t="str">
        <f>IFERROR(VLOOKUP($B98,BD_PLANTA!$A:$E,3,0),"")</f>
        <v/>
      </c>
      <c r="E98" s="32" t="str">
        <f>IFERROR(VLOOKUP($B98,BD_PLANTA!$A:$E,4,0),"")</f>
        <v/>
      </c>
      <c r="F98" s="35"/>
      <c r="G98" s="35"/>
      <c r="H98" s="35"/>
      <c r="I98" s="35"/>
      <c r="J98" s="36" t="str">
        <f t="shared" si="6"/>
        <v/>
      </c>
      <c r="K98" s="36" t="str">
        <f t="shared" si="7"/>
        <v/>
      </c>
      <c r="L98" s="36" t="str">
        <f t="shared" si="8"/>
        <v/>
      </c>
    </row>
    <row r="99" spans="1:12" x14ac:dyDescent="0.25">
      <c r="A99" s="37">
        <v>82</v>
      </c>
      <c r="B99" s="33"/>
      <c r="C99" s="38" t="str">
        <f>IFERROR(VLOOKUP($B99,BD_PLANTA!$A:$F,6,0),"")</f>
        <v/>
      </c>
      <c r="D99" s="38" t="str">
        <f>IFERROR(VLOOKUP($B99,BD_PLANTA!$A:$E,3,0),"")</f>
        <v/>
      </c>
      <c r="E99" s="37" t="str">
        <f>IFERROR(VLOOKUP($B99,BD_PLANTA!$A:$E,4,0),"")</f>
        <v/>
      </c>
      <c r="F99" s="35"/>
      <c r="G99" s="35"/>
      <c r="H99" s="35"/>
      <c r="I99" s="35"/>
      <c r="J99" s="36" t="str">
        <f t="shared" si="6"/>
        <v/>
      </c>
      <c r="K99" s="36" t="str">
        <f t="shared" si="7"/>
        <v/>
      </c>
      <c r="L99" s="36" t="str">
        <f t="shared" si="8"/>
        <v/>
      </c>
    </row>
    <row r="100" spans="1:12" x14ac:dyDescent="0.25">
      <c r="A100" s="32">
        <v>83</v>
      </c>
      <c r="B100" s="33"/>
      <c r="C100" s="34" t="str">
        <f>IFERROR(VLOOKUP($B100,BD_PLANTA!$A:$F,6,0),"")</f>
        <v/>
      </c>
      <c r="D100" s="34" t="str">
        <f>IFERROR(VLOOKUP($B100,BD_PLANTA!$A:$E,3,0),"")</f>
        <v/>
      </c>
      <c r="E100" s="32" t="str">
        <f>IFERROR(VLOOKUP($B100,BD_PLANTA!$A:$E,4,0),"")</f>
        <v/>
      </c>
      <c r="F100" s="35"/>
      <c r="G100" s="35"/>
      <c r="H100" s="35"/>
      <c r="I100" s="35"/>
      <c r="J100" s="36" t="str">
        <f t="shared" si="6"/>
        <v/>
      </c>
      <c r="K100" s="36" t="str">
        <f t="shared" si="7"/>
        <v/>
      </c>
      <c r="L100" s="36" t="str">
        <f t="shared" si="8"/>
        <v/>
      </c>
    </row>
    <row r="101" spans="1:12" x14ac:dyDescent="0.25">
      <c r="A101" s="37">
        <v>84</v>
      </c>
      <c r="B101" s="33"/>
      <c r="C101" s="38" t="str">
        <f>IFERROR(VLOOKUP($B101,BD_PLANTA!$A:$F,6,0),"")</f>
        <v/>
      </c>
      <c r="D101" s="38" t="str">
        <f>IFERROR(VLOOKUP($B101,BD_PLANTA!$A:$E,3,0),"")</f>
        <v/>
      </c>
      <c r="E101" s="37" t="str">
        <f>IFERROR(VLOOKUP($B101,BD_PLANTA!$A:$E,4,0),"")</f>
        <v/>
      </c>
      <c r="F101" s="35"/>
      <c r="G101" s="35"/>
      <c r="H101" s="35"/>
      <c r="I101" s="35"/>
      <c r="J101" s="36" t="str">
        <f t="shared" si="6"/>
        <v/>
      </c>
      <c r="K101" s="36" t="str">
        <f t="shared" si="7"/>
        <v/>
      </c>
      <c r="L101" s="36" t="str">
        <f t="shared" si="8"/>
        <v/>
      </c>
    </row>
    <row r="102" spans="1:12" x14ac:dyDescent="0.25">
      <c r="A102" s="32">
        <v>85</v>
      </c>
      <c r="B102" s="33"/>
      <c r="C102" s="34" t="str">
        <f>IFERROR(VLOOKUP($B102,BD_PLANTA!$A:$F,6,0),"")</f>
        <v/>
      </c>
      <c r="D102" s="34" t="str">
        <f>IFERROR(VLOOKUP($B102,BD_PLANTA!$A:$E,3,0),"")</f>
        <v/>
      </c>
      <c r="E102" s="32" t="str">
        <f>IFERROR(VLOOKUP($B102,BD_PLANTA!$A:$E,4,0),"")</f>
        <v/>
      </c>
      <c r="F102" s="35"/>
      <c r="G102" s="35"/>
      <c r="H102" s="35"/>
      <c r="I102" s="35"/>
      <c r="J102" s="36" t="str">
        <f t="shared" si="6"/>
        <v/>
      </c>
      <c r="K102" s="36" t="str">
        <f t="shared" si="7"/>
        <v/>
      </c>
      <c r="L102" s="36" t="str">
        <f t="shared" si="8"/>
        <v/>
      </c>
    </row>
    <row r="103" spans="1:12" x14ac:dyDescent="0.25">
      <c r="A103" s="37">
        <v>86</v>
      </c>
      <c r="B103" s="33"/>
      <c r="C103" s="38" t="str">
        <f>IFERROR(VLOOKUP($B103,BD_PLANTA!$A:$F,6,0),"")</f>
        <v/>
      </c>
      <c r="D103" s="38" t="str">
        <f>IFERROR(VLOOKUP($B103,BD_PLANTA!$A:$E,3,0),"")</f>
        <v/>
      </c>
      <c r="E103" s="37" t="str">
        <f>IFERROR(VLOOKUP($B103,BD_PLANTA!$A:$E,4,0),"")</f>
        <v/>
      </c>
      <c r="F103" s="35"/>
      <c r="G103" s="35"/>
      <c r="H103" s="35"/>
      <c r="I103" s="35"/>
      <c r="J103" s="36" t="str">
        <f t="shared" si="6"/>
        <v/>
      </c>
      <c r="K103" s="36" t="str">
        <f t="shared" si="7"/>
        <v/>
      </c>
      <c r="L103" s="36" t="str">
        <f t="shared" si="8"/>
        <v/>
      </c>
    </row>
    <row r="104" spans="1:12" x14ac:dyDescent="0.25">
      <c r="A104" s="32">
        <v>87</v>
      </c>
      <c r="B104" s="33"/>
      <c r="C104" s="34" t="str">
        <f>IFERROR(VLOOKUP($B104,BD_PLANTA!$A:$F,6,0),"")</f>
        <v/>
      </c>
      <c r="D104" s="34" t="str">
        <f>IFERROR(VLOOKUP($B104,BD_PLANTA!$A:$E,3,0),"")</f>
        <v/>
      </c>
      <c r="E104" s="32" t="str">
        <f>IFERROR(VLOOKUP($B104,BD_PLANTA!$A:$E,4,0),"")</f>
        <v/>
      </c>
      <c r="F104" s="35"/>
      <c r="G104" s="35"/>
      <c r="H104" s="35"/>
      <c r="I104" s="35"/>
      <c r="J104" s="36" t="str">
        <f t="shared" si="6"/>
        <v/>
      </c>
      <c r="K104" s="36" t="str">
        <f t="shared" si="7"/>
        <v/>
      </c>
      <c r="L104" s="36" t="str">
        <f t="shared" si="8"/>
        <v/>
      </c>
    </row>
    <row r="105" spans="1:12" x14ac:dyDescent="0.25">
      <c r="A105" s="37">
        <v>88</v>
      </c>
      <c r="B105" s="33"/>
      <c r="C105" s="38" t="str">
        <f>IFERROR(VLOOKUP($B105,BD_PLANTA!$A:$F,6,0),"")</f>
        <v/>
      </c>
      <c r="D105" s="38" t="str">
        <f>IFERROR(VLOOKUP($B105,BD_PLANTA!$A:$E,3,0),"")</f>
        <v/>
      </c>
      <c r="E105" s="37" t="str">
        <f>IFERROR(VLOOKUP($B105,BD_PLANTA!$A:$E,4,0),"")</f>
        <v/>
      </c>
      <c r="F105" s="35"/>
      <c r="G105" s="35"/>
      <c r="H105" s="35"/>
      <c r="I105" s="35"/>
      <c r="J105" s="36" t="str">
        <f t="shared" si="6"/>
        <v/>
      </c>
      <c r="K105" s="36" t="str">
        <f t="shared" si="7"/>
        <v/>
      </c>
      <c r="L105" s="36" t="str">
        <f t="shared" si="8"/>
        <v/>
      </c>
    </row>
    <row r="106" spans="1:12" x14ac:dyDescent="0.25">
      <c r="A106" s="32">
        <v>89</v>
      </c>
      <c r="B106" s="33"/>
      <c r="C106" s="34" t="str">
        <f>IFERROR(VLOOKUP($B106,BD_PLANTA!$A:$F,6,0),"")</f>
        <v/>
      </c>
      <c r="D106" s="34" t="str">
        <f>IFERROR(VLOOKUP($B106,BD_PLANTA!$A:$E,3,0),"")</f>
        <v/>
      </c>
      <c r="E106" s="32" t="str">
        <f>IFERROR(VLOOKUP($B106,BD_PLANTA!$A:$E,4,0),"")</f>
        <v/>
      </c>
      <c r="F106" s="35"/>
      <c r="G106" s="35"/>
      <c r="H106" s="35"/>
      <c r="I106" s="35"/>
      <c r="J106" s="36" t="str">
        <f t="shared" si="6"/>
        <v/>
      </c>
      <c r="K106" s="36" t="str">
        <f t="shared" si="7"/>
        <v/>
      </c>
      <c r="L106" s="36" t="str">
        <f t="shared" si="8"/>
        <v/>
      </c>
    </row>
    <row r="107" spans="1:12" x14ac:dyDescent="0.25">
      <c r="A107" s="37">
        <v>90</v>
      </c>
      <c r="B107" s="33"/>
      <c r="C107" s="38" t="str">
        <f>IFERROR(VLOOKUP($B107,BD_PLANTA!$A:$F,6,0),"")</f>
        <v/>
      </c>
      <c r="D107" s="38" t="str">
        <f>IFERROR(VLOOKUP($B107,BD_PLANTA!$A:$E,3,0),"")</f>
        <v/>
      </c>
      <c r="E107" s="37" t="str">
        <f>IFERROR(VLOOKUP($B107,BD_PLANTA!$A:$E,4,0),"")</f>
        <v/>
      </c>
      <c r="F107" s="35"/>
      <c r="G107" s="35"/>
      <c r="H107" s="35"/>
      <c r="I107" s="35"/>
      <c r="J107" s="36" t="str">
        <f t="shared" si="6"/>
        <v/>
      </c>
      <c r="K107" s="36" t="str">
        <f t="shared" si="7"/>
        <v/>
      </c>
      <c r="L107" s="36" t="str">
        <f t="shared" si="8"/>
        <v/>
      </c>
    </row>
    <row r="108" spans="1:12" x14ac:dyDescent="0.25">
      <c r="A108" s="32">
        <v>91</v>
      </c>
      <c r="B108" s="33"/>
      <c r="C108" s="34" t="str">
        <f>IFERROR(VLOOKUP($B108,BD_PLANTA!$A:$F,6,0),"")</f>
        <v/>
      </c>
      <c r="D108" s="34" t="str">
        <f>IFERROR(VLOOKUP($B108,BD_PLANTA!$A:$E,3,0),"")</f>
        <v/>
      </c>
      <c r="E108" s="32" t="str">
        <f>IFERROR(VLOOKUP($B108,BD_PLANTA!$A:$E,4,0),"")</f>
        <v/>
      </c>
      <c r="F108" s="35"/>
      <c r="G108" s="35"/>
      <c r="H108" s="35"/>
      <c r="I108" s="35"/>
      <c r="J108" s="36" t="str">
        <f t="shared" si="6"/>
        <v/>
      </c>
      <c r="K108" s="36" t="str">
        <f t="shared" si="7"/>
        <v/>
      </c>
      <c r="L108" s="36" t="str">
        <f t="shared" si="8"/>
        <v/>
      </c>
    </row>
    <row r="109" spans="1:12" x14ac:dyDescent="0.25">
      <c r="A109" s="37">
        <v>92</v>
      </c>
      <c r="B109" s="33"/>
      <c r="C109" s="38" t="str">
        <f>IFERROR(VLOOKUP($B109,BD_PLANTA!$A:$F,6,0),"")</f>
        <v/>
      </c>
      <c r="D109" s="38" t="str">
        <f>IFERROR(VLOOKUP($B109,BD_PLANTA!$A:$E,3,0),"")</f>
        <v/>
      </c>
      <c r="E109" s="37" t="str">
        <f>IFERROR(VLOOKUP($B109,BD_PLANTA!$A:$E,4,0),"")</f>
        <v/>
      </c>
      <c r="F109" s="35"/>
      <c r="G109" s="35"/>
      <c r="H109" s="35"/>
      <c r="I109" s="35"/>
      <c r="J109" s="36" t="str">
        <f t="shared" si="6"/>
        <v/>
      </c>
      <c r="K109" s="36" t="str">
        <f t="shared" si="7"/>
        <v/>
      </c>
      <c r="L109" s="36" t="str">
        <f t="shared" si="8"/>
        <v/>
      </c>
    </row>
    <row r="110" spans="1:12" x14ac:dyDescent="0.25">
      <c r="A110" s="32">
        <v>93</v>
      </c>
      <c r="B110" s="33"/>
      <c r="C110" s="34" t="str">
        <f>IFERROR(VLOOKUP($B110,BD_PLANTA!$A:$F,6,0),"")</f>
        <v/>
      </c>
      <c r="D110" s="34" t="str">
        <f>IFERROR(VLOOKUP($B110,BD_PLANTA!$A:$E,3,0),"")</f>
        <v/>
      </c>
      <c r="E110" s="32" t="str">
        <f>IFERROR(VLOOKUP($B110,BD_PLANTA!$A:$E,4,0),"")</f>
        <v/>
      </c>
      <c r="F110" s="35"/>
      <c r="G110" s="35"/>
      <c r="H110" s="35"/>
      <c r="I110" s="35"/>
      <c r="J110" s="36" t="str">
        <f t="shared" si="6"/>
        <v/>
      </c>
      <c r="K110" s="36" t="str">
        <f t="shared" si="7"/>
        <v/>
      </c>
      <c r="L110" s="36" t="str">
        <f t="shared" si="8"/>
        <v/>
      </c>
    </row>
    <row r="111" spans="1:12" x14ac:dyDescent="0.25">
      <c r="A111" s="37">
        <v>94</v>
      </c>
      <c r="B111" s="33"/>
      <c r="C111" s="38" t="str">
        <f>IFERROR(VLOOKUP($B111,BD_PLANTA!$A:$F,6,0),"")</f>
        <v/>
      </c>
      <c r="D111" s="38" t="str">
        <f>IFERROR(VLOOKUP($B111,BD_PLANTA!$A:$E,3,0),"")</f>
        <v/>
      </c>
      <c r="E111" s="37" t="str">
        <f>IFERROR(VLOOKUP($B111,BD_PLANTA!$A:$E,4,0),"")</f>
        <v/>
      </c>
      <c r="F111" s="35"/>
      <c r="G111" s="35"/>
      <c r="H111" s="35"/>
      <c r="I111" s="35"/>
      <c r="J111" s="36" t="str">
        <f t="shared" si="6"/>
        <v/>
      </c>
      <c r="K111" s="36" t="str">
        <f t="shared" si="7"/>
        <v/>
      </c>
      <c r="L111" s="36" t="str">
        <f t="shared" si="8"/>
        <v/>
      </c>
    </row>
    <row r="112" spans="1:12" x14ac:dyDescent="0.25">
      <c r="A112" s="32">
        <v>95</v>
      </c>
      <c r="B112" s="33"/>
      <c r="C112" s="34" t="str">
        <f>IFERROR(VLOOKUP($B112,BD_PLANTA!$A:$F,6,0),"")</f>
        <v/>
      </c>
      <c r="D112" s="34" t="str">
        <f>IFERROR(VLOOKUP($B112,BD_PLANTA!$A:$E,3,0),"")</f>
        <v/>
      </c>
      <c r="E112" s="32" t="str">
        <f>IFERROR(VLOOKUP($B112,BD_PLANTA!$A:$E,4,0),"")</f>
        <v/>
      </c>
      <c r="F112" s="35"/>
      <c r="G112" s="35"/>
      <c r="H112" s="35"/>
      <c r="I112" s="35"/>
      <c r="J112" s="36" t="str">
        <f t="shared" si="6"/>
        <v/>
      </c>
      <c r="K112" s="36" t="str">
        <f t="shared" si="7"/>
        <v/>
      </c>
      <c r="L112" s="36" t="str">
        <f t="shared" si="8"/>
        <v/>
      </c>
    </row>
    <row r="113" spans="1:12" x14ac:dyDescent="0.25">
      <c r="A113" s="37">
        <v>96</v>
      </c>
      <c r="B113" s="33"/>
      <c r="C113" s="38" t="str">
        <f>IFERROR(VLOOKUP($B113,BD_PLANTA!$A:$F,6,0),"")</f>
        <v/>
      </c>
      <c r="D113" s="38" t="str">
        <f>IFERROR(VLOOKUP($B113,BD_PLANTA!$A:$E,3,0),"")</f>
        <v/>
      </c>
      <c r="E113" s="37" t="str">
        <f>IFERROR(VLOOKUP($B113,BD_PLANTA!$A:$E,4,0),"")</f>
        <v/>
      </c>
      <c r="F113" s="35"/>
      <c r="G113" s="35"/>
      <c r="H113" s="35"/>
      <c r="I113" s="35"/>
      <c r="J113" s="36" t="str">
        <f t="shared" si="6"/>
        <v/>
      </c>
      <c r="K113" s="36" t="str">
        <f t="shared" si="7"/>
        <v/>
      </c>
      <c r="L113" s="36" t="str">
        <f t="shared" si="8"/>
        <v/>
      </c>
    </row>
    <row r="114" spans="1:12" x14ac:dyDescent="0.25">
      <c r="A114" s="32">
        <v>97</v>
      </c>
      <c r="B114" s="33"/>
      <c r="C114" s="34" t="str">
        <f>IFERROR(VLOOKUP($B114,BD_PLANTA!$A:$F,6,0),"")</f>
        <v/>
      </c>
      <c r="D114" s="34" t="str">
        <f>IFERROR(VLOOKUP($B114,BD_PLANTA!$A:$E,3,0),"")</f>
        <v/>
      </c>
      <c r="E114" s="32" t="str">
        <f>IFERROR(VLOOKUP($B114,BD_PLANTA!$A:$E,4,0),"")</f>
        <v/>
      </c>
      <c r="F114" s="35"/>
      <c r="G114" s="35"/>
      <c r="H114" s="35"/>
      <c r="I114" s="35"/>
      <c r="J114" s="36" t="str">
        <f t="shared" ref="J114:J137" si="9">IF(N($F114)+N($G114)=0,"",N($F114)+N($G114))</f>
        <v/>
      </c>
      <c r="K114" s="36" t="str">
        <f t="shared" ref="K114:K137" si="10">IF(N($H114)=0,"",N($H114))</f>
        <v/>
      </c>
      <c r="L114" s="36" t="str">
        <f t="shared" ref="L114:L137" si="11">IF(N($I114)=0,"",N($I114))</f>
        <v/>
      </c>
    </row>
    <row r="115" spans="1:12" x14ac:dyDescent="0.25">
      <c r="A115" s="37">
        <v>98</v>
      </c>
      <c r="B115" s="33"/>
      <c r="C115" s="38" t="str">
        <f>IFERROR(VLOOKUP($B115,BD_PLANTA!$A:$F,6,0),"")</f>
        <v/>
      </c>
      <c r="D115" s="38" t="str">
        <f>IFERROR(VLOOKUP($B115,BD_PLANTA!$A:$E,3,0),"")</f>
        <v/>
      </c>
      <c r="E115" s="37" t="str">
        <f>IFERROR(VLOOKUP($B115,BD_PLANTA!$A:$E,4,0),"")</f>
        <v/>
      </c>
      <c r="F115" s="35"/>
      <c r="G115" s="35"/>
      <c r="H115" s="35"/>
      <c r="I115" s="35"/>
      <c r="J115" s="36" t="str">
        <f t="shared" si="9"/>
        <v/>
      </c>
      <c r="K115" s="36" t="str">
        <f t="shared" si="10"/>
        <v/>
      </c>
      <c r="L115" s="36" t="str">
        <f t="shared" si="11"/>
        <v/>
      </c>
    </row>
    <row r="116" spans="1:12" x14ac:dyDescent="0.25">
      <c r="A116" s="32">
        <v>99</v>
      </c>
      <c r="B116" s="33"/>
      <c r="C116" s="34" t="str">
        <f>IFERROR(VLOOKUP($B116,BD_PLANTA!$A:$F,6,0),"")</f>
        <v/>
      </c>
      <c r="D116" s="34" t="str">
        <f>IFERROR(VLOOKUP($B116,BD_PLANTA!$A:$E,3,0),"")</f>
        <v/>
      </c>
      <c r="E116" s="32" t="str">
        <f>IFERROR(VLOOKUP($B116,BD_PLANTA!$A:$E,4,0),"")</f>
        <v/>
      </c>
      <c r="F116" s="35"/>
      <c r="G116" s="35"/>
      <c r="H116" s="35"/>
      <c r="I116" s="35"/>
      <c r="J116" s="36" t="str">
        <f t="shared" si="9"/>
        <v/>
      </c>
      <c r="K116" s="36" t="str">
        <f t="shared" si="10"/>
        <v/>
      </c>
      <c r="L116" s="36" t="str">
        <f t="shared" si="11"/>
        <v/>
      </c>
    </row>
    <row r="117" spans="1:12" x14ac:dyDescent="0.25">
      <c r="A117" s="37">
        <v>100</v>
      </c>
      <c r="B117" s="33"/>
      <c r="C117" s="38" t="str">
        <f>IFERROR(VLOOKUP($B117,BD_PLANTA!$A:$F,6,0),"")</f>
        <v/>
      </c>
      <c r="D117" s="38" t="str">
        <f>IFERROR(VLOOKUP($B117,BD_PLANTA!$A:$E,3,0),"")</f>
        <v/>
      </c>
      <c r="E117" s="37" t="str">
        <f>IFERROR(VLOOKUP($B117,BD_PLANTA!$A:$E,4,0),"")</f>
        <v/>
      </c>
      <c r="F117" s="35"/>
      <c r="G117" s="35"/>
      <c r="H117" s="35"/>
      <c r="I117" s="35"/>
      <c r="J117" s="36" t="str">
        <f t="shared" si="9"/>
        <v/>
      </c>
      <c r="K117" s="36" t="str">
        <f t="shared" si="10"/>
        <v/>
      </c>
      <c r="L117" s="36" t="str">
        <f t="shared" si="11"/>
        <v/>
      </c>
    </row>
    <row r="118" spans="1:12" x14ac:dyDescent="0.25">
      <c r="A118" s="32">
        <v>101</v>
      </c>
      <c r="B118" s="33"/>
      <c r="C118" s="34" t="str">
        <f>IFERROR(VLOOKUP($B118,BD_PLANTA!$A:$F,6,0),"")</f>
        <v/>
      </c>
      <c r="D118" s="34" t="str">
        <f>IFERROR(VLOOKUP($B118,BD_PLANTA!$A:$E,3,0),"")</f>
        <v/>
      </c>
      <c r="E118" s="32" t="str">
        <f>IFERROR(VLOOKUP($B118,BD_PLANTA!$A:$E,4,0),"")</f>
        <v/>
      </c>
      <c r="F118" s="35"/>
      <c r="G118" s="35"/>
      <c r="H118" s="35"/>
      <c r="I118" s="35"/>
      <c r="J118" s="36" t="str">
        <f t="shared" si="9"/>
        <v/>
      </c>
      <c r="K118" s="36" t="str">
        <f t="shared" si="10"/>
        <v/>
      </c>
      <c r="L118" s="36" t="str">
        <f t="shared" si="11"/>
        <v/>
      </c>
    </row>
    <row r="119" spans="1:12" x14ac:dyDescent="0.25">
      <c r="A119" s="37">
        <v>102</v>
      </c>
      <c r="B119" s="33"/>
      <c r="C119" s="38" t="str">
        <f>IFERROR(VLOOKUP($B119,BD_PLANTA!$A:$F,6,0),"")</f>
        <v/>
      </c>
      <c r="D119" s="38" t="str">
        <f>IFERROR(VLOOKUP($B119,BD_PLANTA!$A:$E,3,0),"")</f>
        <v/>
      </c>
      <c r="E119" s="37" t="str">
        <f>IFERROR(VLOOKUP($B119,BD_PLANTA!$A:$E,4,0),"")</f>
        <v/>
      </c>
      <c r="F119" s="35"/>
      <c r="G119" s="35"/>
      <c r="H119" s="35"/>
      <c r="I119" s="35"/>
      <c r="J119" s="36" t="str">
        <f t="shared" si="9"/>
        <v/>
      </c>
      <c r="K119" s="36" t="str">
        <f t="shared" si="10"/>
        <v/>
      </c>
      <c r="L119" s="36" t="str">
        <f t="shared" si="11"/>
        <v/>
      </c>
    </row>
    <row r="120" spans="1:12" x14ac:dyDescent="0.25">
      <c r="A120" s="32">
        <v>103</v>
      </c>
      <c r="B120" s="33"/>
      <c r="C120" s="34" t="str">
        <f>IFERROR(VLOOKUP($B120,BD_PLANTA!$A:$F,6,0),"")</f>
        <v/>
      </c>
      <c r="D120" s="34" t="str">
        <f>IFERROR(VLOOKUP($B120,BD_PLANTA!$A:$E,3,0),"")</f>
        <v/>
      </c>
      <c r="E120" s="32" t="str">
        <f>IFERROR(VLOOKUP($B120,BD_PLANTA!$A:$E,4,0),"")</f>
        <v/>
      </c>
      <c r="F120" s="35"/>
      <c r="G120" s="35"/>
      <c r="H120" s="35"/>
      <c r="I120" s="35"/>
      <c r="J120" s="36" t="str">
        <f t="shared" si="9"/>
        <v/>
      </c>
      <c r="K120" s="36" t="str">
        <f t="shared" si="10"/>
        <v/>
      </c>
      <c r="L120" s="36" t="str">
        <f t="shared" si="11"/>
        <v/>
      </c>
    </row>
    <row r="121" spans="1:12" x14ac:dyDescent="0.25">
      <c r="A121" s="37">
        <v>104</v>
      </c>
      <c r="B121" s="33"/>
      <c r="C121" s="38" t="str">
        <f>IFERROR(VLOOKUP($B121,BD_PLANTA!$A:$F,6,0),"")</f>
        <v/>
      </c>
      <c r="D121" s="38" t="str">
        <f>IFERROR(VLOOKUP($B121,BD_PLANTA!$A:$E,3,0),"")</f>
        <v/>
      </c>
      <c r="E121" s="37" t="str">
        <f>IFERROR(VLOOKUP($B121,BD_PLANTA!$A:$E,4,0),"")</f>
        <v/>
      </c>
      <c r="F121" s="35"/>
      <c r="G121" s="35"/>
      <c r="H121" s="35"/>
      <c r="I121" s="35"/>
      <c r="J121" s="36" t="str">
        <f t="shared" si="9"/>
        <v/>
      </c>
      <c r="K121" s="36" t="str">
        <f t="shared" si="10"/>
        <v/>
      </c>
      <c r="L121" s="36" t="str">
        <f t="shared" si="11"/>
        <v/>
      </c>
    </row>
    <row r="122" spans="1:12" x14ac:dyDescent="0.25">
      <c r="A122" s="32">
        <v>105</v>
      </c>
      <c r="B122" s="33"/>
      <c r="C122" s="34" t="str">
        <f>IFERROR(VLOOKUP($B122,BD_PLANTA!$A:$F,6,0),"")</f>
        <v/>
      </c>
      <c r="D122" s="34" t="str">
        <f>IFERROR(VLOOKUP($B122,BD_PLANTA!$A:$E,3,0),"")</f>
        <v/>
      </c>
      <c r="E122" s="32" t="str">
        <f>IFERROR(VLOOKUP($B122,BD_PLANTA!$A:$E,4,0),"")</f>
        <v/>
      </c>
      <c r="F122" s="35"/>
      <c r="G122" s="35"/>
      <c r="H122" s="35"/>
      <c r="I122" s="35"/>
      <c r="J122" s="36" t="str">
        <f t="shared" si="9"/>
        <v/>
      </c>
      <c r="K122" s="36" t="str">
        <f t="shared" si="10"/>
        <v/>
      </c>
      <c r="L122" s="36" t="str">
        <f t="shared" si="11"/>
        <v/>
      </c>
    </row>
    <row r="123" spans="1:12" x14ac:dyDescent="0.25">
      <c r="A123" s="37">
        <v>106</v>
      </c>
      <c r="B123" s="33"/>
      <c r="C123" s="38" t="str">
        <f>IFERROR(VLOOKUP($B123,BD_PLANTA!$A:$F,6,0),"")</f>
        <v/>
      </c>
      <c r="D123" s="38" t="str">
        <f>IFERROR(VLOOKUP($B123,BD_PLANTA!$A:$E,3,0),"")</f>
        <v/>
      </c>
      <c r="E123" s="37" t="str">
        <f>IFERROR(VLOOKUP($B123,BD_PLANTA!$A:$E,4,0),"")</f>
        <v/>
      </c>
      <c r="F123" s="35"/>
      <c r="G123" s="35"/>
      <c r="H123" s="35"/>
      <c r="I123" s="35"/>
      <c r="J123" s="36" t="str">
        <f t="shared" si="9"/>
        <v/>
      </c>
      <c r="K123" s="36" t="str">
        <f t="shared" si="10"/>
        <v/>
      </c>
      <c r="L123" s="36" t="str">
        <f t="shared" si="11"/>
        <v/>
      </c>
    </row>
    <row r="124" spans="1:12" x14ac:dyDescent="0.25">
      <c r="A124" s="32">
        <v>107</v>
      </c>
      <c r="B124" s="33"/>
      <c r="C124" s="34" t="str">
        <f>IFERROR(VLOOKUP($B124,BD_PLANTA!$A:$F,6,0),"")</f>
        <v/>
      </c>
      <c r="D124" s="34" t="str">
        <f>IFERROR(VLOOKUP($B124,BD_PLANTA!$A:$E,3,0),"")</f>
        <v/>
      </c>
      <c r="E124" s="32" t="str">
        <f>IFERROR(VLOOKUP($B124,BD_PLANTA!$A:$E,4,0),"")</f>
        <v/>
      </c>
      <c r="F124" s="35"/>
      <c r="G124" s="35"/>
      <c r="H124" s="35"/>
      <c r="I124" s="35"/>
      <c r="J124" s="36" t="str">
        <f t="shared" si="9"/>
        <v/>
      </c>
      <c r="K124" s="36" t="str">
        <f t="shared" si="10"/>
        <v/>
      </c>
      <c r="L124" s="36" t="str">
        <f t="shared" si="11"/>
        <v/>
      </c>
    </row>
    <row r="125" spans="1:12" x14ac:dyDescent="0.25">
      <c r="A125" s="37">
        <v>108</v>
      </c>
      <c r="B125" s="33"/>
      <c r="C125" s="38" t="str">
        <f>IFERROR(VLOOKUP($B125,BD_PLANTA!$A:$F,6,0),"")</f>
        <v/>
      </c>
      <c r="D125" s="38" t="str">
        <f>IFERROR(VLOOKUP($B125,BD_PLANTA!$A:$E,3,0),"")</f>
        <v/>
      </c>
      <c r="E125" s="37" t="str">
        <f>IFERROR(VLOOKUP($B125,BD_PLANTA!$A:$E,4,0),"")</f>
        <v/>
      </c>
      <c r="F125" s="35"/>
      <c r="G125" s="35"/>
      <c r="H125" s="35"/>
      <c r="I125" s="35"/>
      <c r="J125" s="36" t="str">
        <f t="shared" si="9"/>
        <v/>
      </c>
      <c r="K125" s="36" t="str">
        <f t="shared" si="10"/>
        <v/>
      </c>
      <c r="L125" s="36" t="str">
        <f t="shared" si="11"/>
        <v/>
      </c>
    </row>
    <row r="126" spans="1:12" x14ac:dyDescent="0.25">
      <c r="A126" s="32">
        <v>109</v>
      </c>
      <c r="B126" s="33"/>
      <c r="C126" s="34" t="str">
        <f>IFERROR(VLOOKUP($B126,BD_PLANTA!$A:$F,6,0),"")</f>
        <v/>
      </c>
      <c r="D126" s="34" t="str">
        <f>IFERROR(VLOOKUP($B126,BD_PLANTA!$A:$E,3,0),"")</f>
        <v/>
      </c>
      <c r="E126" s="32" t="str">
        <f>IFERROR(VLOOKUP($B126,BD_PLANTA!$A:$E,4,0),"")</f>
        <v/>
      </c>
      <c r="F126" s="35"/>
      <c r="G126" s="35"/>
      <c r="H126" s="35"/>
      <c r="I126" s="35"/>
      <c r="J126" s="36" t="str">
        <f t="shared" si="9"/>
        <v/>
      </c>
      <c r="K126" s="36" t="str">
        <f t="shared" si="10"/>
        <v/>
      </c>
      <c r="L126" s="36" t="str">
        <f t="shared" si="11"/>
        <v/>
      </c>
    </row>
    <row r="127" spans="1:12" x14ac:dyDescent="0.25">
      <c r="A127" s="37">
        <v>110</v>
      </c>
      <c r="B127" s="33"/>
      <c r="C127" s="38" t="str">
        <f>IFERROR(VLOOKUP($B127,BD_PLANTA!$A:$F,6,0),"")</f>
        <v/>
      </c>
      <c r="D127" s="38" t="str">
        <f>IFERROR(VLOOKUP($B127,BD_PLANTA!$A:$E,3,0),"")</f>
        <v/>
      </c>
      <c r="E127" s="37" t="str">
        <f>IFERROR(VLOOKUP($B127,BD_PLANTA!$A:$E,4,0),"")</f>
        <v/>
      </c>
      <c r="F127" s="35"/>
      <c r="G127" s="35"/>
      <c r="H127" s="35"/>
      <c r="I127" s="35"/>
      <c r="J127" s="36" t="str">
        <f t="shared" si="9"/>
        <v/>
      </c>
      <c r="K127" s="36" t="str">
        <f t="shared" si="10"/>
        <v/>
      </c>
      <c r="L127" s="36" t="str">
        <f t="shared" si="11"/>
        <v/>
      </c>
    </row>
    <row r="128" spans="1:12" x14ac:dyDescent="0.25">
      <c r="A128" s="32">
        <v>111</v>
      </c>
      <c r="B128" s="33"/>
      <c r="C128" s="34" t="str">
        <f>IFERROR(VLOOKUP($B128,BD_PLANTA!$A:$F,6,0),"")</f>
        <v/>
      </c>
      <c r="D128" s="34" t="str">
        <f>IFERROR(VLOOKUP($B128,BD_PLANTA!$A:$E,3,0),"")</f>
        <v/>
      </c>
      <c r="E128" s="32" t="str">
        <f>IFERROR(VLOOKUP($B128,BD_PLANTA!$A:$E,4,0),"")</f>
        <v/>
      </c>
      <c r="F128" s="35"/>
      <c r="G128" s="35"/>
      <c r="H128" s="35"/>
      <c r="I128" s="35"/>
      <c r="J128" s="36" t="str">
        <f t="shared" si="9"/>
        <v/>
      </c>
      <c r="K128" s="36" t="str">
        <f t="shared" si="10"/>
        <v/>
      </c>
      <c r="L128" s="36" t="str">
        <f t="shared" si="11"/>
        <v/>
      </c>
    </row>
    <row r="129" spans="1:12" x14ac:dyDescent="0.25">
      <c r="A129" s="37">
        <v>112</v>
      </c>
      <c r="B129" s="33"/>
      <c r="C129" s="38" t="str">
        <f>IFERROR(VLOOKUP($B129,BD_PLANTA!$A:$F,6,0),"")</f>
        <v/>
      </c>
      <c r="D129" s="38" t="str">
        <f>IFERROR(VLOOKUP($B129,BD_PLANTA!$A:$E,3,0),"")</f>
        <v/>
      </c>
      <c r="E129" s="37" t="str">
        <f>IFERROR(VLOOKUP($B129,BD_PLANTA!$A:$E,4,0),"")</f>
        <v/>
      </c>
      <c r="F129" s="35"/>
      <c r="G129" s="35"/>
      <c r="H129" s="35"/>
      <c r="I129" s="35"/>
      <c r="J129" s="36" t="str">
        <f t="shared" si="9"/>
        <v/>
      </c>
      <c r="K129" s="36" t="str">
        <f t="shared" si="10"/>
        <v/>
      </c>
      <c r="L129" s="36" t="str">
        <f t="shared" si="11"/>
        <v/>
      </c>
    </row>
    <row r="130" spans="1:12" x14ac:dyDescent="0.25">
      <c r="A130" s="32">
        <v>113</v>
      </c>
      <c r="B130" s="33"/>
      <c r="C130" s="34" t="str">
        <f>IFERROR(VLOOKUP($B130,BD_PLANTA!$A:$F,6,0),"")</f>
        <v/>
      </c>
      <c r="D130" s="34" t="str">
        <f>IFERROR(VLOOKUP($B130,BD_PLANTA!$A:$E,3,0),"")</f>
        <v/>
      </c>
      <c r="E130" s="32" t="str">
        <f>IFERROR(VLOOKUP($B130,BD_PLANTA!$A:$E,4,0),"")</f>
        <v/>
      </c>
      <c r="F130" s="35"/>
      <c r="G130" s="35"/>
      <c r="H130" s="35"/>
      <c r="I130" s="35"/>
      <c r="J130" s="36" t="str">
        <f t="shared" si="9"/>
        <v/>
      </c>
      <c r="K130" s="36" t="str">
        <f t="shared" si="10"/>
        <v/>
      </c>
      <c r="L130" s="36" t="str">
        <f t="shared" si="11"/>
        <v/>
      </c>
    </row>
    <row r="131" spans="1:12" x14ac:dyDescent="0.25">
      <c r="A131" s="37">
        <v>114</v>
      </c>
      <c r="B131" s="33"/>
      <c r="C131" s="38" t="str">
        <f>IFERROR(VLOOKUP($B131,BD_PLANTA!$A:$F,6,0),"")</f>
        <v/>
      </c>
      <c r="D131" s="38" t="str">
        <f>IFERROR(VLOOKUP($B131,BD_PLANTA!$A:$E,3,0),"")</f>
        <v/>
      </c>
      <c r="E131" s="37" t="str">
        <f>IFERROR(VLOOKUP($B131,BD_PLANTA!$A:$E,4,0),"")</f>
        <v/>
      </c>
      <c r="F131" s="35"/>
      <c r="G131" s="35"/>
      <c r="H131" s="35"/>
      <c r="I131" s="35"/>
      <c r="J131" s="36" t="str">
        <f t="shared" si="9"/>
        <v/>
      </c>
      <c r="K131" s="36" t="str">
        <f t="shared" si="10"/>
        <v/>
      </c>
      <c r="L131" s="36" t="str">
        <f t="shared" si="11"/>
        <v/>
      </c>
    </row>
    <row r="132" spans="1:12" x14ac:dyDescent="0.25">
      <c r="A132" s="32">
        <v>115</v>
      </c>
      <c r="B132" s="33"/>
      <c r="C132" s="34" t="str">
        <f>IFERROR(VLOOKUP($B132,BD_PLANTA!$A:$F,6,0),"")</f>
        <v/>
      </c>
      <c r="D132" s="34" t="str">
        <f>IFERROR(VLOOKUP($B132,BD_PLANTA!$A:$E,3,0),"")</f>
        <v/>
      </c>
      <c r="E132" s="32" t="str">
        <f>IFERROR(VLOOKUP($B132,BD_PLANTA!$A:$E,4,0),"")</f>
        <v/>
      </c>
      <c r="F132" s="35"/>
      <c r="G132" s="35"/>
      <c r="H132" s="35"/>
      <c r="I132" s="35"/>
      <c r="J132" s="36" t="str">
        <f t="shared" si="9"/>
        <v/>
      </c>
      <c r="K132" s="36" t="str">
        <f t="shared" si="10"/>
        <v/>
      </c>
      <c r="L132" s="36" t="str">
        <f t="shared" si="11"/>
        <v/>
      </c>
    </row>
    <row r="133" spans="1:12" x14ac:dyDescent="0.25">
      <c r="A133" s="37">
        <v>116</v>
      </c>
      <c r="B133" s="33"/>
      <c r="C133" s="38" t="str">
        <f>IFERROR(VLOOKUP($B133,BD_PLANTA!$A:$F,6,0),"")</f>
        <v/>
      </c>
      <c r="D133" s="38" t="str">
        <f>IFERROR(VLOOKUP($B133,BD_PLANTA!$A:$E,3,0),"")</f>
        <v/>
      </c>
      <c r="E133" s="37" t="str">
        <f>IFERROR(VLOOKUP($B133,BD_PLANTA!$A:$E,4,0),"")</f>
        <v/>
      </c>
      <c r="F133" s="35"/>
      <c r="G133" s="35"/>
      <c r="H133" s="35"/>
      <c r="I133" s="35"/>
      <c r="J133" s="36" t="str">
        <f t="shared" si="9"/>
        <v/>
      </c>
      <c r="K133" s="36" t="str">
        <f t="shared" si="10"/>
        <v/>
      </c>
      <c r="L133" s="36" t="str">
        <f t="shared" si="11"/>
        <v/>
      </c>
    </row>
    <row r="134" spans="1:12" x14ac:dyDescent="0.25">
      <c r="A134" s="32">
        <v>117</v>
      </c>
      <c r="B134" s="33"/>
      <c r="C134" s="34" t="str">
        <f>IFERROR(VLOOKUP($B134,BD_PLANTA!$A:$F,6,0),"")</f>
        <v/>
      </c>
      <c r="D134" s="34" t="str">
        <f>IFERROR(VLOOKUP($B134,BD_PLANTA!$A:$E,3,0),"")</f>
        <v/>
      </c>
      <c r="E134" s="32" t="str">
        <f>IFERROR(VLOOKUP($B134,BD_PLANTA!$A:$E,4,0),"")</f>
        <v/>
      </c>
      <c r="F134" s="35"/>
      <c r="G134" s="35"/>
      <c r="H134" s="35"/>
      <c r="I134" s="35"/>
      <c r="J134" s="36" t="str">
        <f t="shared" si="9"/>
        <v/>
      </c>
      <c r="K134" s="36" t="str">
        <f t="shared" si="10"/>
        <v/>
      </c>
      <c r="L134" s="36" t="str">
        <f t="shared" si="11"/>
        <v/>
      </c>
    </row>
    <row r="135" spans="1:12" x14ac:dyDescent="0.25">
      <c r="A135" s="37">
        <v>118</v>
      </c>
      <c r="B135" s="33"/>
      <c r="C135" s="38" t="str">
        <f>IFERROR(VLOOKUP($B135,BD_PLANTA!$A:$F,6,0),"")</f>
        <v/>
      </c>
      <c r="D135" s="38" t="str">
        <f>IFERROR(VLOOKUP($B135,BD_PLANTA!$A:$E,3,0),"")</f>
        <v/>
      </c>
      <c r="E135" s="37" t="str">
        <f>IFERROR(VLOOKUP($B135,BD_PLANTA!$A:$E,4,0),"")</f>
        <v/>
      </c>
      <c r="F135" s="35"/>
      <c r="G135" s="35"/>
      <c r="H135" s="35"/>
      <c r="I135" s="35"/>
      <c r="J135" s="36" t="str">
        <f t="shared" si="9"/>
        <v/>
      </c>
      <c r="K135" s="36" t="str">
        <f t="shared" si="10"/>
        <v/>
      </c>
      <c r="L135" s="36" t="str">
        <f t="shared" si="11"/>
        <v/>
      </c>
    </row>
    <row r="136" spans="1:12" x14ac:dyDescent="0.25">
      <c r="A136" s="32">
        <v>119</v>
      </c>
      <c r="B136" s="33"/>
      <c r="C136" s="34" t="str">
        <f>IFERROR(VLOOKUP($B136,BD_PLANTA!$A:$F,6,0),"")</f>
        <v/>
      </c>
      <c r="D136" s="34" t="str">
        <f>IFERROR(VLOOKUP($B136,BD_PLANTA!$A:$E,3,0),"")</f>
        <v/>
      </c>
      <c r="E136" s="32" t="str">
        <f>IFERROR(VLOOKUP($B136,BD_PLANTA!$A:$E,4,0),"")</f>
        <v/>
      </c>
      <c r="F136" s="35"/>
      <c r="G136" s="35"/>
      <c r="H136" s="35"/>
      <c r="I136" s="35"/>
      <c r="J136" s="36" t="str">
        <f t="shared" si="9"/>
        <v/>
      </c>
      <c r="K136" s="36" t="str">
        <f t="shared" si="10"/>
        <v/>
      </c>
      <c r="L136" s="36" t="str">
        <f t="shared" si="11"/>
        <v/>
      </c>
    </row>
    <row r="137" spans="1:12" x14ac:dyDescent="0.25">
      <c r="A137" s="37">
        <v>120</v>
      </c>
      <c r="B137" s="33"/>
      <c r="C137" s="38" t="str">
        <f>IFERROR(VLOOKUP($B137,BD_PLANTA!$A:$F,6,0),"")</f>
        <v/>
      </c>
      <c r="D137" s="38" t="str">
        <f>IFERROR(VLOOKUP($B137,BD_PLANTA!$A:$E,3,0),"")</f>
        <v/>
      </c>
      <c r="E137" s="37" t="str">
        <f>IFERROR(VLOOKUP($B137,BD_PLANTA!$A:$E,4,0),"")</f>
        <v/>
      </c>
      <c r="F137" s="35"/>
      <c r="G137" s="35"/>
      <c r="H137" s="35"/>
      <c r="I137" s="35"/>
      <c r="J137" s="36" t="str">
        <f t="shared" si="9"/>
        <v/>
      </c>
      <c r="K137" s="36" t="str">
        <f t="shared" si="10"/>
        <v/>
      </c>
      <c r="L137" s="36" t="str">
        <f t="shared" si="11"/>
        <v/>
      </c>
    </row>
    <row r="138" spans="1:12" x14ac:dyDescent="0.25">
      <c r="A138" s="6" t="s">
        <v>23280</v>
      </c>
      <c r="B138" s="6"/>
      <c r="C138" s="6"/>
      <c r="D138" s="6"/>
      <c r="E138" s="6"/>
      <c r="F138" s="39">
        <f t="shared" ref="F138:L138" si="12">SUM(F18:F137)</f>
        <v>57</v>
      </c>
      <c r="G138" s="39">
        <f t="shared" si="12"/>
        <v>0</v>
      </c>
      <c r="H138" s="39">
        <f t="shared" si="12"/>
        <v>0</v>
      </c>
      <c r="I138" s="39">
        <f t="shared" si="12"/>
        <v>0</v>
      </c>
      <c r="J138" s="39">
        <f t="shared" si="12"/>
        <v>57</v>
      </c>
      <c r="K138" s="39">
        <f t="shared" si="12"/>
        <v>0</v>
      </c>
      <c r="L138" s="39">
        <f t="shared" si="12"/>
        <v>0</v>
      </c>
    </row>
    <row r="139" spans="1:12" ht="33" customHeight="1" x14ac:dyDescent="0.25">
      <c r="A139" s="19"/>
      <c r="B139" s="19"/>
      <c r="C139" s="19"/>
      <c r="D139" s="19"/>
      <c r="E139" s="19"/>
      <c r="F139" s="19"/>
      <c r="G139" s="19"/>
      <c r="H139" s="19"/>
      <c r="I139" s="19"/>
      <c r="J139" s="19"/>
      <c r="K139" s="19"/>
      <c r="L139" s="19"/>
    </row>
    <row r="140" spans="1:12" ht="20.25" customHeight="1" x14ac:dyDescent="0.25">
      <c r="A140" s="19"/>
      <c r="B140" s="19"/>
      <c r="C140" s="19"/>
      <c r="D140" s="19"/>
      <c r="E140" s="19"/>
      <c r="F140" s="19"/>
      <c r="G140" s="19"/>
      <c r="H140" s="19"/>
      <c r="I140" s="19"/>
      <c r="J140" s="19"/>
      <c r="K140" s="19"/>
      <c r="L140" s="19"/>
    </row>
    <row r="141" spans="1:12" ht="38.25" customHeight="1" x14ac:dyDescent="0.25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</row>
    <row r="142" spans="1:12" x14ac:dyDescent="0.25">
      <c r="A142" s="40" t="s">
        <v>23282</v>
      </c>
      <c r="B142" s="33"/>
      <c r="C142" s="40" t="s">
        <v>23283</v>
      </c>
      <c r="D142" s="4" t="str">
        <f>IFERROR(VLOOKUP($B142,BD_PLANTA!$H:$J,2,0),"")</f>
        <v/>
      </c>
      <c r="E142" s="4"/>
      <c r="F142" s="4"/>
      <c r="G142" s="4"/>
      <c r="H142" s="4"/>
      <c r="I142" s="40" t="s">
        <v>23284</v>
      </c>
      <c r="J142" s="3" t="str">
        <f>IFERROR(VLOOKUP($B142,BD_PLANTA!$H:$J,3,0),"")</f>
        <v/>
      </c>
      <c r="K142" s="3"/>
      <c r="L142" s="3"/>
    </row>
    <row r="143" spans="1:12" x14ac:dyDescent="0.25">
      <c r="A143" s="19" t="s">
        <v>23281</v>
      </c>
      <c r="B143" s="19"/>
      <c r="C143" s="19"/>
      <c r="D143" s="19"/>
      <c r="E143" s="19"/>
      <c r="F143" s="19"/>
      <c r="G143" s="19"/>
      <c r="H143" s="19"/>
      <c r="I143" s="19"/>
      <c r="J143" s="19"/>
      <c r="K143" s="19"/>
      <c r="L143" s="19"/>
    </row>
    <row r="144" spans="1:12" x14ac:dyDescent="0.25">
      <c r="A144" s="19"/>
      <c r="B144" s="19"/>
      <c r="C144" s="19"/>
      <c r="D144" s="19"/>
      <c r="E144" s="19"/>
      <c r="F144" s="19"/>
      <c r="G144" s="19"/>
      <c r="H144" s="19"/>
      <c r="I144" s="19"/>
      <c r="J144" s="19"/>
      <c r="K144" s="19"/>
      <c r="L144" s="19"/>
    </row>
    <row r="145" spans="1:12" x14ac:dyDescent="0.25">
      <c r="A145" s="2" t="s">
        <v>23285</v>
      </c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</row>
    <row r="146" spans="1:12" x14ac:dyDescent="0.25">
      <c r="A146" s="2" t="s">
        <v>23286</v>
      </c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</row>
    <row r="147" spans="1:12" x14ac:dyDescent="0.25">
      <c r="A147" s="2" t="s">
        <v>23287</v>
      </c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</row>
    <row r="148" spans="1:12" x14ac:dyDescent="0.25">
      <c r="A148" s="19"/>
      <c r="B148" s="19"/>
      <c r="C148" s="19"/>
      <c r="D148" s="19"/>
      <c r="E148" s="19"/>
      <c r="F148" s="19"/>
      <c r="G148" s="19"/>
      <c r="H148" s="19"/>
      <c r="I148" s="19"/>
      <c r="J148" s="19"/>
      <c r="K148" s="19"/>
      <c r="L148" s="19"/>
    </row>
    <row r="149" spans="1:12" x14ac:dyDescent="0.25">
      <c r="A149" s="19"/>
      <c r="B149" s="19"/>
      <c r="C149" s="19"/>
      <c r="D149" s="19"/>
      <c r="E149" s="19"/>
      <c r="F149" s="19"/>
      <c r="G149" s="19"/>
      <c r="H149" s="19"/>
      <c r="I149" s="19"/>
      <c r="J149" s="19"/>
      <c r="K149" s="19"/>
      <c r="L149" s="19"/>
    </row>
    <row r="150" spans="1:12" x14ac:dyDescent="0.25">
      <c r="A150" s="19"/>
      <c r="B150" s="19"/>
      <c r="C150" s="19"/>
      <c r="D150" s="19"/>
      <c r="E150" s="19"/>
      <c r="F150" s="19"/>
      <c r="G150" s="19"/>
      <c r="H150" s="19"/>
      <c r="I150" s="19"/>
      <c r="J150" s="19"/>
      <c r="K150" s="19"/>
      <c r="L150" s="19"/>
    </row>
    <row r="151" spans="1:12" x14ac:dyDescent="0.25">
      <c r="A151" s="19"/>
      <c r="B151" s="19"/>
      <c r="C151" s="19"/>
      <c r="D151" s="19"/>
      <c r="E151" s="19"/>
      <c r="F151" s="19"/>
      <c r="G151" s="19"/>
      <c r="H151" s="19"/>
      <c r="I151" s="19"/>
      <c r="J151" s="19"/>
      <c r="K151" s="19"/>
      <c r="L151" s="19"/>
    </row>
    <row r="152" spans="1:12" x14ac:dyDescent="0.25">
      <c r="A152" s="19"/>
      <c r="B152" s="19"/>
      <c r="C152" s="19"/>
      <c r="D152" s="19"/>
      <c r="E152" s="19"/>
      <c r="F152" s="19"/>
      <c r="G152" s="19"/>
      <c r="H152" s="19"/>
      <c r="I152" s="19"/>
      <c r="J152" s="19"/>
      <c r="K152" s="19"/>
      <c r="L152" s="19"/>
    </row>
    <row r="153" spans="1:12" x14ac:dyDescent="0.25">
      <c r="A153" s="19"/>
      <c r="B153" s="19"/>
      <c r="C153" s="19"/>
      <c r="D153" s="19"/>
      <c r="E153" s="19"/>
      <c r="F153" s="19"/>
      <c r="G153" s="19"/>
      <c r="H153" s="19"/>
      <c r="I153" s="19"/>
      <c r="J153" s="19"/>
      <c r="K153" s="19"/>
      <c r="L153" s="19"/>
    </row>
  </sheetData>
  <sheetProtection password="DF7E" sheet="1" formatRows="0" insertRows="0" deleteRows="0"/>
  <mergeCells count="24">
    <mergeCell ref="A146:L146"/>
    <mergeCell ref="A147:L147"/>
    <mergeCell ref="A138:E138"/>
    <mergeCell ref="A141:L141"/>
    <mergeCell ref="D142:H142"/>
    <mergeCell ref="J142:L142"/>
    <mergeCell ref="A145:L145"/>
    <mergeCell ref="A10:B10"/>
    <mergeCell ref="C10:L10"/>
    <mergeCell ref="A11:F11"/>
    <mergeCell ref="H11:L11"/>
    <mergeCell ref="A16:A17"/>
    <mergeCell ref="B16:B17"/>
    <mergeCell ref="C16:C17"/>
    <mergeCell ref="D16:D17"/>
    <mergeCell ref="E16:E17"/>
    <mergeCell ref="F16:I16"/>
    <mergeCell ref="J16:L16"/>
    <mergeCell ref="A7:L7"/>
    <mergeCell ref="A8:L8"/>
    <mergeCell ref="A9:B9"/>
    <mergeCell ref="C9:F9"/>
    <mergeCell ref="G9:H9"/>
    <mergeCell ref="I9:L9"/>
  </mergeCells>
  <dataValidations count="4">
    <dataValidation type="list" promptTitle="Municipio" prompt="Seleccione el municipio." sqref="C9">
      <formula1>MUNICIPIOS</formula1>
      <formula2>0</formula2>
    </dataValidation>
    <dataValidation type="list" promptTitle="Institución" prompt="Seleccione la IED (depende del municipio)." sqref="C10">
      <formula1>IED_LIST</formula1>
      <formula2>0</formula2>
    </dataValidation>
    <dataValidation type="list" allowBlank="1" showErrorMessage="1" errorTitle="Cédula no válida" error="Solo se permiten cédulas con cargo de Rector (titular o encargado)." promptTitle="Cédula del Rector" prompt="Seleccione la cédula del rector (solo rectores)." sqref="B142">
      <formula1>RECTORES</formula1>
      <formula2>0</formula2>
    </dataValidation>
    <dataValidation type="list" allowBlank="1" promptTitle="Cédula" prompt="Seleccione la cédula del docente." sqref="B18:B137">
      <formula1>CEDULAS</formula1>
      <formula2>0</formula2>
    </dataValidation>
  </dataValidations>
  <pageMargins left="0.75" right="0.75" top="1" bottom="1" header="0.511811023622047" footer="0.511811023622047"/>
  <pageSetup fitToHeight="0" orientation="landscape" horizontalDpi="300" verticalDpi="30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1"/>
  <sheetViews>
    <sheetView zoomScaleNormal="100" workbookViewId="0"/>
  </sheetViews>
  <sheetFormatPr baseColWidth="10" defaultColWidth="8.7109375" defaultRowHeight="15" x14ac:dyDescent="0.25"/>
  <sheetData>
    <row r="1" spans="1:11" x14ac:dyDescent="0.25">
      <c r="A1" s="15" t="s">
        <v>23288</v>
      </c>
      <c r="B1" s="15" t="s">
        <v>23289</v>
      </c>
      <c r="C1" s="15" t="s">
        <v>23290</v>
      </c>
      <c r="D1" s="15" t="s">
        <v>0</v>
      </c>
      <c r="E1" s="15" t="s">
        <v>1</v>
      </c>
      <c r="F1" s="15" t="s">
        <v>2</v>
      </c>
      <c r="G1" s="15" t="s">
        <v>3</v>
      </c>
      <c r="H1" s="15" t="s">
        <v>23291</v>
      </c>
      <c r="I1" s="15" t="s">
        <v>23292</v>
      </c>
      <c r="J1" s="15" t="s">
        <v>23293</v>
      </c>
      <c r="K1" s="15" t="s">
        <v>23294</v>
      </c>
    </row>
    <row r="2" spans="1:11" x14ac:dyDescent="0.25">
      <c r="A2">
        <v>1</v>
      </c>
      <c r="B2">
        <f t="shared" ref="B2:B65" si="0">18+INT(($A2-1)/3)</f>
        <v>18</v>
      </c>
      <c r="C2">
        <f t="shared" ref="C2:C65" si="1">MOD($A2-1,3)+1</f>
        <v>1</v>
      </c>
      <c r="D2" t="str">
        <f>IF(INDEX(REPORTE!$B:$B,$B2)="","",INDEX(REPORTE!$B:$B,$B2))</f>
        <v>12635286</v>
      </c>
      <c r="E2" t="str">
        <f>IF($D2="","",IFERROR(VLOOKUP($D2,BD_PLANTA!$A:$F,6,0),""))</f>
        <v>VAS**** BUS******* RAF*** SEG****</v>
      </c>
      <c r="F2" t="str">
        <f>INDEX(REPORTE!$D:$D,$B2)</f>
        <v>Docente de aula</v>
      </c>
      <c r="G2" t="str">
        <f>INDEX(REPORTE!$E:$E,$B2)</f>
        <v>3CM</v>
      </c>
      <c r="H2" t="str">
        <f t="shared" ref="H2:H65" si="2">CHOOSE($C2,"HEXTREG","HEXTJU","HEXTADUL")</f>
        <v>HEXTREG</v>
      </c>
      <c r="I2">
        <f>CHOOSE($C2,N(INDEX(REPORTE!$F:$F,$B2))+N(INDEX(REPORTE!$G:$G,$B2)),N(INDEX(REPORTE!$H:$H,$B2)),N(INDEX(REPORTE!$I:$I,$B2)))</f>
        <v>26</v>
      </c>
      <c r="J2">
        <f t="shared" ref="J2:J65" si="3">IF(AND($D2&lt;&gt;"",$I2&gt;0),1,0)</f>
        <v>1</v>
      </c>
      <c r="K2">
        <f>SUM($J$2:$J2)</f>
        <v>1</v>
      </c>
    </row>
    <row r="3" spans="1:11" x14ac:dyDescent="0.25">
      <c r="A3">
        <v>2</v>
      </c>
      <c r="B3">
        <f t="shared" si="0"/>
        <v>18</v>
      </c>
      <c r="C3">
        <f t="shared" si="1"/>
        <v>2</v>
      </c>
      <c r="D3" t="str">
        <f>IF(INDEX(REPORTE!$B:$B,$B3)="","",INDEX(REPORTE!$B:$B,$B3))</f>
        <v>12635286</v>
      </c>
      <c r="E3" t="str">
        <f>IF($D3="","",IFERROR(VLOOKUP($D3,BD_PLANTA!$A:$F,6,0),""))</f>
        <v>VAS**** BUS******* RAF*** SEG****</v>
      </c>
      <c r="F3" t="str">
        <f>INDEX(REPORTE!$D:$D,$B3)</f>
        <v>Docente de aula</v>
      </c>
      <c r="G3" t="str">
        <f>INDEX(REPORTE!$E:$E,$B3)</f>
        <v>3CM</v>
      </c>
      <c r="H3" t="str">
        <f t="shared" si="2"/>
        <v>HEXTJU</v>
      </c>
      <c r="I3">
        <f>CHOOSE($C3,N(INDEX(REPORTE!$F:$F,$B3))+N(INDEX(REPORTE!$G:$G,$B3)),N(INDEX(REPORTE!$H:$H,$B3)),N(INDEX(REPORTE!$I:$I,$B3)))</f>
        <v>0</v>
      </c>
      <c r="J3">
        <f t="shared" si="3"/>
        <v>0</v>
      </c>
      <c r="K3">
        <f>SUM($J$2:$J3)</f>
        <v>1</v>
      </c>
    </row>
    <row r="4" spans="1:11" x14ac:dyDescent="0.25">
      <c r="A4">
        <v>3</v>
      </c>
      <c r="B4">
        <f t="shared" si="0"/>
        <v>18</v>
      </c>
      <c r="C4">
        <f t="shared" si="1"/>
        <v>3</v>
      </c>
      <c r="D4" t="str">
        <f>IF(INDEX(REPORTE!$B:$B,$B4)="","",INDEX(REPORTE!$B:$B,$B4))</f>
        <v>12635286</v>
      </c>
      <c r="E4" t="str">
        <f>IF($D4="","",IFERROR(VLOOKUP($D4,BD_PLANTA!$A:$F,6,0),""))</f>
        <v>VAS**** BUS******* RAF*** SEG****</v>
      </c>
      <c r="F4" t="str">
        <f>INDEX(REPORTE!$D:$D,$B4)</f>
        <v>Docente de aula</v>
      </c>
      <c r="G4" t="str">
        <f>INDEX(REPORTE!$E:$E,$B4)</f>
        <v>3CM</v>
      </c>
      <c r="H4" t="str">
        <f t="shared" si="2"/>
        <v>HEXTADUL</v>
      </c>
      <c r="I4">
        <f>CHOOSE($C4,N(INDEX(REPORTE!$F:$F,$B4))+N(INDEX(REPORTE!$G:$G,$B4)),N(INDEX(REPORTE!$H:$H,$B4)),N(INDEX(REPORTE!$I:$I,$B4)))</f>
        <v>0</v>
      </c>
      <c r="J4">
        <f t="shared" si="3"/>
        <v>0</v>
      </c>
      <c r="K4">
        <f>SUM($J$2:$J4)</f>
        <v>1</v>
      </c>
    </row>
    <row r="5" spans="1:11" x14ac:dyDescent="0.25">
      <c r="A5">
        <v>4</v>
      </c>
      <c r="B5">
        <f t="shared" si="0"/>
        <v>19</v>
      </c>
      <c r="C5">
        <f t="shared" si="1"/>
        <v>1</v>
      </c>
      <c r="D5" t="str">
        <f>IF(INDEX(REPORTE!$B:$B,$B5)="","",INDEX(REPORTE!$B:$B,$B5))</f>
        <v>57417401</v>
      </c>
      <c r="E5" t="str">
        <f>IF($D5="","",IFERROR(VLOOKUP($D5,BD_PLANTA!$A:$F,6,0),""))</f>
        <v>ACO*** HER****** EVE****</v>
      </c>
      <c r="F5" t="str">
        <f>INDEX(REPORTE!$D:$D,$B5)</f>
        <v>Docente de aula</v>
      </c>
      <c r="G5" t="str">
        <f>INDEX(REPORTE!$E:$E,$B5)</f>
        <v>14</v>
      </c>
      <c r="H5" t="str">
        <f t="shared" si="2"/>
        <v>HEXTREG</v>
      </c>
      <c r="I5">
        <f>CHOOSE($C5,N(INDEX(REPORTE!$F:$F,$B5))+N(INDEX(REPORTE!$G:$G,$B5)),N(INDEX(REPORTE!$H:$H,$B5)),N(INDEX(REPORTE!$I:$I,$B5)))</f>
        <v>26</v>
      </c>
      <c r="J5">
        <f t="shared" si="3"/>
        <v>1</v>
      </c>
      <c r="K5">
        <f>SUM($J$2:$J5)</f>
        <v>2</v>
      </c>
    </row>
    <row r="6" spans="1:11" x14ac:dyDescent="0.25">
      <c r="A6">
        <v>5</v>
      </c>
      <c r="B6">
        <f t="shared" si="0"/>
        <v>19</v>
      </c>
      <c r="C6">
        <f t="shared" si="1"/>
        <v>2</v>
      </c>
      <c r="D6" t="str">
        <f>IF(INDEX(REPORTE!$B:$B,$B6)="","",INDEX(REPORTE!$B:$B,$B6))</f>
        <v>57417401</v>
      </c>
      <c r="E6" t="str">
        <f>IF($D6="","",IFERROR(VLOOKUP($D6,BD_PLANTA!$A:$F,6,0),""))</f>
        <v>ACO*** HER****** EVE****</v>
      </c>
      <c r="F6" t="str">
        <f>INDEX(REPORTE!$D:$D,$B6)</f>
        <v>Docente de aula</v>
      </c>
      <c r="G6" t="str">
        <f>INDEX(REPORTE!$E:$E,$B6)</f>
        <v>14</v>
      </c>
      <c r="H6" t="str">
        <f t="shared" si="2"/>
        <v>HEXTJU</v>
      </c>
      <c r="I6">
        <f>CHOOSE($C6,N(INDEX(REPORTE!$F:$F,$B6))+N(INDEX(REPORTE!$G:$G,$B6)),N(INDEX(REPORTE!$H:$H,$B6)),N(INDEX(REPORTE!$I:$I,$B6)))</f>
        <v>0</v>
      </c>
      <c r="J6">
        <f t="shared" si="3"/>
        <v>0</v>
      </c>
      <c r="K6">
        <f>SUM($J$2:$J6)</f>
        <v>2</v>
      </c>
    </row>
    <row r="7" spans="1:11" x14ac:dyDescent="0.25">
      <c r="A7">
        <v>6</v>
      </c>
      <c r="B7">
        <f t="shared" si="0"/>
        <v>19</v>
      </c>
      <c r="C7">
        <f t="shared" si="1"/>
        <v>3</v>
      </c>
      <c r="D7" t="str">
        <f>IF(INDEX(REPORTE!$B:$B,$B7)="","",INDEX(REPORTE!$B:$B,$B7))</f>
        <v>57417401</v>
      </c>
      <c r="E7" t="str">
        <f>IF($D7="","",IFERROR(VLOOKUP($D7,BD_PLANTA!$A:$F,6,0),""))</f>
        <v>ACO*** HER****** EVE****</v>
      </c>
      <c r="F7" t="str">
        <f>INDEX(REPORTE!$D:$D,$B7)</f>
        <v>Docente de aula</v>
      </c>
      <c r="G7" t="str">
        <f>INDEX(REPORTE!$E:$E,$B7)</f>
        <v>14</v>
      </c>
      <c r="H7" t="str">
        <f t="shared" si="2"/>
        <v>HEXTADUL</v>
      </c>
      <c r="I7">
        <f>CHOOSE($C7,N(INDEX(REPORTE!$F:$F,$B7))+N(INDEX(REPORTE!$G:$G,$B7)),N(INDEX(REPORTE!$H:$H,$B7)),N(INDEX(REPORTE!$I:$I,$B7)))</f>
        <v>0</v>
      </c>
      <c r="J7">
        <f t="shared" si="3"/>
        <v>0</v>
      </c>
      <c r="K7">
        <f>SUM($J$2:$J7)</f>
        <v>2</v>
      </c>
    </row>
    <row r="8" spans="1:11" x14ac:dyDescent="0.25">
      <c r="A8">
        <v>7</v>
      </c>
      <c r="B8">
        <f t="shared" si="0"/>
        <v>20</v>
      </c>
      <c r="C8">
        <f t="shared" si="1"/>
        <v>1</v>
      </c>
      <c r="D8" t="str">
        <f>IF(INDEX(REPORTE!$B:$B,$B8)="","",INDEX(REPORTE!$B:$B,$B8))</f>
        <v>26846090</v>
      </c>
      <c r="E8" t="str">
        <f>IF($D8="","",IFERROR(VLOOKUP($D8,BD_PLANTA!$A:$F,6,0),""))</f>
        <v>GOM** MAR**** GLE*** MAR**</v>
      </c>
      <c r="F8" t="str">
        <f>INDEX(REPORTE!$D:$D,$B8)</f>
        <v>Docente de aula</v>
      </c>
      <c r="G8" t="str">
        <f>INDEX(REPORTE!$E:$E,$B8)</f>
        <v>14</v>
      </c>
      <c r="H8" t="str">
        <f t="shared" si="2"/>
        <v>HEXTREG</v>
      </c>
      <c r="I8">
        <f>CHOOSE($C8,N(INDEX(REPORTE!$F:$F,$B8))+N(INDEX(REPORTE!$G:$G,$B8)),N(INDEX(REPORTE!$H:$H,$B8)),N(INDEX(REPORTE!$I:$I,$B8)))</f>
        <v>5</v>
      </c>
      <c r="J8">
        <f t="shared" si="3"/>
        <v>1</v>
      </c>
      <c r="K8">
        <f>SUM($J$2:$J8)</f>
        <v>3</v>
      </c>
    </row>
    <row r="9" spans="1:11" x14ac:dyDescent="0.25">
      <c r="A9">
        <v>8</v>
      </c>
      <c r="B9">
        <f t="shared" si="0"/>
        <v>20</v>
      </c>
      <c r="C9">
        <f t="shared" si="1"/>
        <v>2</v>
      </c>
      <c r="D9" t="str">
        <f>IF(INDEX(REPORTE!$B:$B,$B9)="","",INDEX(REPORTE!$B:$B,$B9))</f>
        <v>26846090</v>
      </c>
      <c r="E9" t="str">
        <f>IF($D9="","",IFERROR(VLOOKUP($D9,BD_PLANTA!$A:$F,6,0),""))</f>
        <v>GOM** MAR**** GLE*** MAR**</v>
      </c>
      <c r="F9" t="str">
        <f>INDEX(REPORTE!$D:$D,$B9)</f>
        <v>Docente de aula</v>
      </c>
      <c r="G9" t="str">
        <f>INDEX(REPORTE!$E:$E,$B9)</f>
        <v>14</v>
      </c>
      <c r="H9" t="str">
        <f t="shared" si="2"/>
        <v>HEXTJU</v>
      </c>
      <c r="I9">
        <f>CHOOSE($C9,N(INDEX(REPORTE!$F:$F,$B9))+N(INDEX(REPORTE!$G:$G,$B9)),N(INDEX(REPORTE!$H:$H,$B9)),N(INDEX(REPORTE!$I:$I,$B9)))</f>
        <v>0</v>
      </c>
      <c r="J9">
        <f t="shared" si="3"/>
        <v>0</v>
      </c>
      <c r="K9">
        <f>SUM($J$2:$J9)</f>
        <v>3</v>
      </c>
    </row>
    <row r="10" spans="1:11" x14ac:dyDescent="0.25">
      <c r="A10">
        <v>9</v>
      </c>
      <c r="B10">
        <f t="shared" si="0"/>
        <v>20</v>
      </c>
      <c r="C10">
        <f t="shared" si="1"/>
        <v>3</v>
      </c>
      <c r="D10" t="str">
        <f>IF(INDEX(REPORTE!$B:$B,$B10)="","",INDEX(REPORTE!$B:$B,$B10))</f>
        <v>26846090</v>
      </c>
      <c r="E10" t="str">
        <f>IF($D10="","",IFERROR(VLOOKUP($D10,BD_PLANTA!$A:$F,6,0),""))</f>
        <v>GOM** MAR**** GLE*** MAR**</v>
      </c>
      <c r="F10" t="str">
        <f>INDEX(REPORTE!$D:$D,$B10)</f>
        <v>Docente de aula</v>
      </c>
      <c r="G10" t="str">
        <f>INDEX(REPORTE!$E:$E,$B10)</f>
        <v>14</v>
      </c>
      <c r="H10" t="str">
        <f t="shared" si="2"/>
        <v>HEXTADUL</v>
      </c>
      <c r="I10">
        <f>CHOOSE($C10,N(INDEX(REPORTE!$F:$F,$B10))+N(INDEX(REPORTE!$G:$G,$B10)),N(INDEX(REPORTE!$H:$H,$B10)),N(INDEX(REPORTE!$I:$I,$B10)))</f>
        <v>0</v>
      </c>
      <c r="J10">
        <f t="shared" si="3"/>
        <v>0</v>
      </c>
      <c r="K10">
        <f>SUM($J$2:$J10)</f>
        <v>3</v>
      </c>
    </row>
    <row r="11" spans="1:11" x14ac:dyDescent="0.25">
      <c r="A11">
        <v>10</v>
      </c>
      <c r="B11">
        <f t="shared" si="0"/>
        <v>21</v>
      </c>
      <c r="C11">
        <f t="shared" si="1"/>
        <v>1</v>
      </c>
      <c r="D11" t="str">
        <f>IF(INDEX(REPORTE!$B:$B,$B11)="","",INDEX(REPORTE!$B:$B,$B11))</f>
        <v/>
      </c>
      <c r="E11" t="str">
        <f>IF($D11="","",IFERROR(VLOOKUP($D11,BD_PLANTA!$A:$F,6,0),""))</f>
        <v/>
      </c>
      <c r="F11" t="str">
        <f>INDEX(REPORTE!$D:$D,$B11)</f>
        <v/>
      </c>
      <c r="G11" t="str">
        <f>INDEX(REPORTE!$E:$E,$B11)</f>
        <v/>
      </c>
      <c r="H11" t="str">
        <f t="shared" si="2"/>
        <v>HEXTREG</v>
      </c>
      <c r="I11">
        <f>CHOOSE($C11,N(INDEX(REPORTE!$F:$F,$B11))+N(INDEX(REPORTE!$G:$G,$B11)),N(INDEX(REPORTE!$H:$H,$B11)),N(INDEX(REPORTE!$I:$I,$B11)))</f>
        <v>0</v>
      </c>
      <c r="J11">
        <f t="shared" si="3"/>
        <v>0</v>
      </c>
      <c r="K11">
        <f>SUM($J$2:$J11)</f>
        <v>3</v>
      </c>
    </row>
    <row r="12" spans="1:11" x14ac:dyDescent="0.25">
      <c r="A12">
        <v>11</v>
      </c>
      <c r="B12">
        <f t="shared" si="0"/>
        <v>21</v>
      </c>
      <c r="C12">
        <f t="shared" si="1"/>
        <v>2</v>
      </c>
      <c r="D12" t="str">
        <f>IF(INDEX(REPORTE!$B:$B,$B12)="","",INDEX(REPORTE!$B:$B,$B12))</f>
        <v/>
      </c>
      <c r="E12" t="str">
        <f>IF($D12="","",IFERROR(VLOOKUP($D12,BD_PLANTA!$A:$F,6,0),""))</f>
        <v/>
      </c>
      <c r="F12" t="str">
        <f>INDEX(REPORTE!$D:$D,$B12)</f>
        <v/>
      </c>
      <c r="G12" t="str">
        <f>INDEX(REPORTE!$E:$E,$B12)</f>
        <v/>
      </c>
      <c r="H12" t="str">
        <f t="shared" si="2"/>
        <v>HEXTJU</v>
      </c>
      <c r="I12">
        <f>CHOOSE($C12,N(INDEX(REPORTE!$F:$F,$B12))+N(INDEX(REPORTE!$G:$G,$B12)),N(INDEX(REPORTE!$H:$H,$B12)),N(INDEX(REPORTE!$I:$I,$B12)))</f>
        <v>0</v>
      </c>
      <c r="J12">
        <f t="shared" si="3"/>
        <v>0</v>
      </c>
      <c r="K12">
        <f>SUM($J$2:$J12)</f>
        <v>3</v>
      </c>
    </row>
    <row r="13" spans="1:11" x14ac:dyDescent="0.25">
      <c r="A13">
        <v>12</v>
      </c>
      <c r="B13">
        <f t="shared" si="0"/>
        <v>21</v>
      </c>
      <c r="C13">
        <f t="shared" si="1"/>
        <v>3</v>
      </c>
      <c r="D13" t="str">
        <f>IF(INDEX(REPORTE!$B:$B,$B13)="","",INDEX(REPORTE!$B:$B,$B13))</f>
        <v/>
      </c>
      <c r="E13" t="str">
        <f>IF($D13="","",IFERROR(VLOOKUP($D13,BD_PLANTA!$A:$F,6,0),""))</f>
        <v/>
      </c>
      <c r="F13" t="str">
        <f>INDEX(REPORTE!$D:$D,$B13)</f>
        <v/>
      </c>
      <c r="G13" t="str">
        <f>INDEX(REPORTE!$E:$E,$B13)</f>
        <v/>
      </c>
      <c r="H13" t="str">
        <f t="shared" si="2"/>
        <v>HEXTADUL</v>
      </c>
      <c r="I13">
        <f>CHOOSE($C13,N(INDEX(REPORTE!$F:$F,$B13))+N(INDEX(REPORTE!$G:$G,$B13)),N(INDEX(REPORTE!$H:$H,$B13)),N(INDEX(REPORTE!$I:$I,$B13)))</f>
        <v>0</v>
      </c>
      <c r="J13">
        <f t="shared" si="3"/>
        <v>0</v>
      </c>
      <c r="K13">
        <f>SUM($J$2:$J13)</f>
        <v>3</v>
      </c>
    </row>
    <row r="14" spans="1:11" x14ac:dyDescent="0.25">
      <c r="A14">
        <v>13</v>
      </c>
      <c r="B14">
        <f t="shared" si="0"/>
        <v>22</v>
      </c>
      <c r="C14">
        <f t="shared" si="1"/>
        <v>1</v>
      </c>
      <c r="D14" t="str">
        <f>IF(INDEX(REPORTE!$B:$B,$B14)="","",INDEX(REPORTE!$B:$B,$B14))</f>
        <v/>
      </c>
      <c r="E14" t="str">
        <f>IF($D14="","",IFERROR(VLOOKUP($D14,BD_PLANTA!$A:$F,6,0),""))</f>
        <v/>
      </c>
      <c r="F14" t="str">
        <f>INDEX(REPORTE!$D:$D,$B14)</f>
        <v/>
      </c>
      <c r="G14" t="str">
        <f>INDEX(REPORTE!$E:$E,$B14)</f>
        <v/>
      </c>
      <c r="H14" t="str">
        <f t="shared" si="2"/>
        <v>HEXTREG</v>
      </c>
      <c r="I14">
        <f>CHOOSE($C14,N(INDEX(REPORTE!$F:$F,$B14))+N(INDEX(REPORTE!$G:$G,$B14)),N(INDEX(REPORTE!$H:$H,$B14)),N(INDEX(REPORTE!$I:$I,$B14)))</f>
        <v>0</v>
      </c>
      <c r="J14">
        <f t="shared" si="3"/>
        <v>0</v>
      </c>
      <c r="K14">
        <f>SUM($J$2:$J14)</f>
        <v>3</v>
      </c>
    </row>
    <row r="15" spans="1:11" x14ac:dyDescent="0.25">
      <c r="A15">
        <v>14</v>
      </c>
      <c r="B15">
        <f t="shared" si="0"/>
        <v>22</v>
      </c>
      <c r="C15">
        <f t="shared" si="1"/>
        <v>2</v>
      </c>
      <c r="D15" t="str">
        <f>IF(INDEX(REPORTE!$B:$B,$B15)="","",INDEX(REPORTE!$B:$B,$B15))</f>
        <v/>
      </c>
      <c r="E15" t="str">
        <f>IF($D15="","",IFERROR(VLOOKUP($D15,BD_PLANTA!$A:$F,6,0),""))</f>
        <v/>
      </c>
      <c r="F15" t="str">
        <f>INDEX(REPORTE!$D:$D,$B15)</f>
        <v/>
      </c>
      <c r="G15" t="str">
        <f>INDEX(REPORTE!$E:$E,$B15)</f>
        <v/>
      </c>
      <c r="H15" t="str">
        <f t="shared" si="2"/>
        <v>HEXTJU</v>
      </c>
      <c r="I15">
        <f>CHOOSE($C15,N(INDEX(REPORTE!$F:$F,$B15))+N(INDEX(REPORTE!$G:$G,$B15)),N(INDEX(REPORTE!$H:$H,$B15)),N(INDEX(REPORTE!$I:$I,$B15)))</f>
        <v>0</v>
      </c>
      <c r="J15">
        <f t="shared" si="3"/>
        <v>0</v>
      </c>
      <c r="K15">
        <f>SUM($J$2:$J15)</f>
        <v>3</v>
      </c>
    </row>
    <row r="16" spans="1:11" x14ac:dyDescent="0.25">
      <c r="A16">
        <v>15</v>
      </c>
      <c r="B16">
        <f t="shared" si="0"/>
        <v>22</v>
      </c>
      <c r="C16">
        <f t="shared" si="1"/>
        <v>3</v>
      </c>
      <c r="D16" t="str">
        <f>IF(INDEX(REPORTE!$B:$B,$B16)="","",INDEX(REPORTE!$B:$B,$B16))</f>
        <v/>
      </c>
      <c r="E16" t="str">
        <f>IF($D16="","",IFERROR(VLOOKUP($D16,BD_PLANTA!$A:$F,6,0),""))</f>
        <v/>
      </c>
      <c r="F16" t="str">
        <f>INDEX(REPORTE!$D:$D,$B16)</f>
        <v/>
      </c>
      <c r="G16" t="str">
        <f>INDEX(REPORTE!$E:$E,$B16)</f>
        <v/>
      </c>
      <c r="H16" t="str">
        <f t="shared" si="2"/>
        <v>HEXTADUL</v>
      </c>
      <c r="I16">
        <f>CHOOSE($C16,N(INDEX(REPORTE!$F:$F,$B16))+N(INDEX(REPORTE!$G:$G,$B16)),N(INDEX(REPORTE!$H:$H,$B16)),N(INDEX(REPORTE!$I:$I,$B16)))</f>
        <v>0</v>
      </c>
      <c r="J16">
        <f t="shared" si="3"/>
        <v>0</v>
      </c>
      <c r="K16">
        <f>SUM($J$2:$J16)</f>
        <v>3</v>
      </c>
    </row>
    <row r="17" spans="1:11" x14ac:dyDescent="0.25">
      <c r="A17">
        <v>16</v>
      </c>
      <c r="B17">
        <f t="shared" si="0"/>
        <v>23</v>
      </c>
      <c r="C17">
        <f t="shared" si="1"/>
        <v>1</v>
      </c>
      <c r="D17" t="str">
        <f>IF(INDEX(REPORTE!$B:$B,$B17)="","",INDEX(REPORTE!$B:$B,$B17))</f>
        <v/>
      </c>
      <c r="E17" t="str">
        <f>IF($D17="","",IFERROR(VLOOKUP($D17,BD_PLANTA!$A:$F,6,0),""))</f>
        <v/>
      </c>
      <c r="F17" t="str">
        <f>INDEX(REPORTE!$D:$D,$B17)</f>
        <v/>
      </c>
      <c r="G17" t="str">
        <f>INDEX(REPORTE!$E:$E,$B17)</f>
        <v/>
      </c>
      <c r="H17" t="str">
        <f t="shared" si="2"/>
        <v>HEXTREG</v>
      </c>
      <c r="I17">
        <f>CHOOSE($C17,N(INDEX(REPORTE!$F:$F,$B17))+N(INDEX(REPORTE!$G:$G,$B17)),N(INDEX(REPORTE!$H:$H,$B17)),N(INDEX(REPORTE!$I:$I,$B17)))</f>
        <v>0</v>
      </c>
      <c r="J17">
        <f t="shared" si="3"/>
        <v>0</v>
      </c>
      <c r="K17">
        <f>SUM($J$2:$J17)</f>
        <v>3</v>
      </c>
    </row>
    <row r="18" spans="1:11" x14ac:dyDescent="0.25">
      <c r="A18">
        <v>17</v>
      </c>
      <c r="B18">
        <f t="shared" si="0"/>
        <v>23</v>
      </c>
      <c r="C18">
        <f t="shared" si="1"/>
        <v>2</v>
      </c>
      <c r="D18" t="str">
        <f>IF(INDEX(REPORTE!$B:$B,$B18)="","",INDEX(REPORTE!$B:$B,$B18))</f>
        <v/>
      </c>
      <c r="E18" t="str">
        <f>IF($D18="","",IFERROR(VLOOKUP($D18,BD_PLANTA!$A:$F,6,0),""))</f>
        <v/>
      </c>
      <c r="F18" t="str">
        <f>INDEX(REPORTE!$D:$D,$B18)</f>
        <v/>
      </c>
      <c r="G18" t="str">
        <f>INDEX(REPORTE!$E:$E,$B18)</f>
        <v/>
      </c>
      <c r="H18" t="str">
        <f t="shared" si="2"/>
        <v>HEXTJU</v>
      </c>
      <c r="I18">
        <f>CHOOSE($C18,N(INDEX(REPORTE!$F:$F,$B18))+N(INDEX(REPORTE!$G:$G,$B18)),N(INDEX(REPORTE!$H:$H,$B18)),N(INDEX(REPORTE!$I:$I,$B18)))</f>
        <v>0</v>
      </c>
      <c r="J18">
        <f t="shared" si="3"/>
        <v>0</v>
      </c>
      <c r="K18">
        <f>SUM($J$2:$J18)</f>
        <v>3</v>
      </c>
    </row>
    <row r="19" spans="1:11" x14ac:dyDescent="0.25">
      <c r="A19">
        <v>18</v>
      </c>
      <c r="B19">
        <f t="shared" si="0"/>
        <v>23</v>
      </c>
      <c r="C19">
        <f t="shared" si="1"/>
        <v>3</v>
      </c>
      <c r="D19" t="str">
        <f>IF(INDEX(REPORTE!$B:$B,$B19)="","",INDEX(REPORTE!$B:$B,$B19))</f>
        <v/>
      </c>
      <c r="E19" t="str">
        <f>IF($D19="","",IFERROR(VLOOKUP($D19,BD_PLANTA!$A:$F,6,0),""))</f>
        <v/>
      </c>
      <c r="F19" t="str">
        <f>INDEX(REPORTE!$D:$D,$B19)</f>
        <v/>
      </c>
      <c r="G19" t="str">
        <f>INDEX(REPORTE!$E:$E,$B19)</f>
        <v/>
      </c>
      <c r="H19" t="str">
        <f t="shared" si="2"/>
        <v>HEXTADUL</v>
      </c>
      <c r="I19">
        <f>CHOOSE($C19,N(INDEX(REPORTE!$F:$F,$B19))+N(INDEX(REPORTE!$G:$G,$B19)),N(INDEX(REPORTE!$H:$H,$B19)),N(INDEX(REPORTE!$I:$I,$B19)))</f>
        <v>0</v>
      </c>
      <c r="J19">
        <f t="shared" si="3"/>
        <v>0</v>
      </c>
      <c r="K19">
        <f>SUM($J$2:$J19)</f>
        <v>3</v>
      </c>
    </row>
    <row r="20" spans="1:11" x14ac:dyDescent="0.25">
      <c r="A20">
        <v>19</v>
      </c>
      <c r="B20">
        <f t="shared" si="0"/>
        <v>24</v>
      </c>
      <c r="C20">
        <f t="shared" si="1"/>
        <v>1</v>
      </c>
      <c r="D20" t="str">
        <f>IF(INDEX(REPORTE!$B:$B,$B20)="","",INDEX(REPORTE!$B:$B,$B20))</f>
        <v/>
      </c>
      <c r="E20" t="str">
        <f>IF($D20="","",IFERROR(VLOOKUP($D20,BD_PLANTA!$A:$F,6,0),""))</f>
        <v/>
      </c>
      <c r="F20" t="str">
        <f>INDEX(REPORTE!$D:$D,$B20)</f>
        <v/>
      </c>
      <c r="G20" t="str">
        <f>INDEX(REPORTE!$E:$E,$B20)</f>
        <v/>
      </c>
      <c r="H20" t="str">
        <f t="shared" si="2"/>
        <v>HEXTREG</v>
      </c>
      <c r="I20">
        <f>CHOOSE($C20,N(INDEX(REPORTE!$F:$F,$B20))+N(INDEX(REPORTE!$G:$G,$B20)),N(INDEX(REPORTE!$H:$H,$B20)),N(INDEX(REPORTE!$I:$I,$B20)))</f>
        <v>0</v>
      </c>
      <c r="J20">
        <f t="shared" si="3"/>
        <v>0</v>
      </c>
      <c r="K20">
        <f>SUM($J$2:$J20)</f>
        <v>3</v>
      </c>
    </row>
    <row r="21" spans="1:11" x14ac:dyDescent="0.25">
      <c r="A21">
        <v>20</v>
      </c>
      <c r="B21">
        <f t="shared" si="0"/>
        <v>24</v>
      </c>
      <c r="C21">
        <f t="shared" si="1"/>
        <v>2</v>
      </c>
      <c r="D21" t="str">
        <f>IF(INDEX(REPORTE!$B:$B,$B21)="","",INDEX(REPORTE!$B:$B,$B21))</f>
        <v/>
      </c>
      <c r="E21" t="str">
        <f>IF($D21="","",IFERROR(VLOOKUP($D21,BD_PLANTA!$A:$F,6,0),""))</f>
        <v/>
      </c>
      <c r="F21" t="str">
        <f>INDEX(REPORTE!$D:$D,$B21)</f>
        <v/>
      </c>
      <c r="G21" t="str">
        <f>INDEX(REPORTE!$E:$E,$B21)</f>
        <v/>
      </c>
      <c r="H21" t="str">
        <f t="shared" si="2"/>
        <v>HEXTJU</v>
      </c>
      <c r="I21">
        <f>CHOOSE($C21,N(INDEX(REPORTE!$F:$F,$B21))+N(INDEX(REPORTE!$G:$G,$B21)),N(INDEX(REPORTE!$H:$H,$B21)),N(INDEX(REPORTE!$I:$I,$B21)))</f>
        <v>0</v>
      </c>
      <c r="J21">
        <f t="shared" si="3"/>
        <v>0</v>
      </c>
      <c r="K21">
        <f>SUM($J$2:$J21)</f>
        <v>3</v>
      </c>
    </row>
    <row r="22" spans="1:11" x14ac:dyDescent="0.25">
      <c r="A22">
        <v>21</v>
      </c>
      <c r="B22">
        <f t="shared" si="0"/>
        <v>24</v>
      </c>
      <c r="C22">
        <f t="shared" si="1"/>
        <v>3</v>
      </c>
      <c r="D22" t="str">
        <f>IF(INDEX(REPORTE!$B:$B,$B22)="","",INDEX(REPORTE!$B:$B,$B22))</f>
        <v/>
      </c>
      <c r="E22" t="str">
        <f>IF($D22="","",IFERROR(VLOOKUP($D22,BD_PLANTA!$A:$F,6,0),""))</f>
        <v/>
      </c>
      <c r="F22" t="str">
        <f>INDEX(REPORTE!$D:$D,$B22)</f>
        <v/>
      </c>
      <c r="G22" t="str">
        <f>INDEX(REPORTE!$E:$E,$B22)</f>
        <v/>
      </c>
      <c r="H22" t="str">
        <f t="shared" si="2"/>
        <v>HEXTADUL</v>
      </c>
      <c r="I22">
        <f>CHOOSE($C22,N(INDEX(REPORTE!$F:$F,$B22))+N(INDEX(REPORTE!$G:$G,$B22)),N(INDEX(REPORTE!$H:$H,$B22)),N(INDEX(REPORTE!$I:$I,$B22)))</f>
        <v>0</v>
      </c>
      <c r="J22">
        <f t="shared" si="3"/>
        <v>0</v>
      </c>
      <c r="K22">
        <f>SUM($J$2:$J22)</f>
        <v>3</v>
      </c>
    </row>
    <row r="23" spans="1:11" x14ac:dyDescent="0.25">
      <c r="A23">
        <v>22</v>
      </c>
      <c r="B23">
        <f t="shared" si="0"/>
        <v>25</v>
      </c>
      <c r="C23">
        <f t="shared" si="1"/>
        <v>1</v>
      </c>
      <c r="D23" t="str">
        <f>IF(INDEX(REPORTE!$B:$B,$B23)="","",INDEX(REPORTE!$B:$B,$B23))</f>
        <v/>
      </c>
      <c r="E23" t="str">
        <f>IF($D23="","",IFERROR(VLOOKUP($D23,BD_PLANTA!$A:$F,6,0),""))</f>
        <v/>
      </c>
      <c r="F23" t="str">
        <f>INDEX(REPORTE!$D:$D,$B23)</f>
        <v/>
      </c>
      <c r="G23" t="str">
        <f>INDEX(REPORTE!$E:$E,$B23)</f>
        <v/>
      </c>
      <c r="H23" t="str">
        <f t="shared" si="2"/>
        <v>HEXTREG</v>
      </c>
      <c r="I23">
        <f>CHOOSE($C23,N(INDEX(REPORTE!$F:$F,$B23))+N(INDEX(REPORTE!$G:$G,$B23)),N(INDEX(REPORTE!$H:$H,$B23)),N(INDEX(REPORTE!$I:$I,$B23)))</f>
        <v>0</v>
      </c>
      <c r="J23">
        <f t="shared" si="3"/>
        <v>0</v>
      </c>
      <c r="K23">
        <f>SUM($J$2:$J23)</f>
        <v>3</v>
      </c>
    </row>
    <row r="24" spans="1:11" x14ac:dyDescent="0.25">
      <c r="A24">
        <v>23</v>
      </c>
      <c r="B24">
        <f t="shared" si="0"/>
        <v>25</v>
      </c>
      <c r="C24">
        <f t="shared" si="1"/>
        <v>2</v>
      </c>
      <c r="D24" t="str">
        <f>IF(INDEX(REPORTE!$B:$B,$B24)="","",INDEX(REPORTE!$B:$B,$B24))</f>
        <v/>
      </c>
      <c r="E24" t="str">
        <f>IF($D24="","",IFERROR(VLOOKUP($D24,BD_PLANTA!$A:$F,6,0),""))</f>
        <v/>
      </c>
      <c r="F24" t="str">
        <f>INDEX(REPORTE!$D:$D,$B24)</f>
        <v/>
      </c>
      <c r="G24" t="str">
        <f>INDEX(REPORTE!$E:$E,$B24)</f>
        <v/>
      </c>
      <c r="H24" t="str">
        <f t="shared" si="2"/>
        <v>HEXTJU</v>
      </c>
      <c r="I24">
        <f>CHOOSE($C24,N(INDEX(REPORTE!$F:$F,$B24))+N(INDEX(REPORTE!$G:$G,$B24)),N(INDEX(REPORTE!$H:$H,$B24)),N(INDEX(REPORTE!$I:$I,$B24)))</f>
        <v>0</v>
      </c>
      <c r="J24">
        <f t="shared" si="3"/>
        <v>0</v>
      </c>
      <c r="K24">
        <f>SUM($J$2:$J24)</f>
        <v>3</v>
      </c>
    </row>
    <row r="25" spans="1:11" x14ac:dyDescent="0.25">
      <c r="A25">
        <v>24</v>
      </c>
      <c r="B25">
        <f t="shared" si="0"/>
        <v>25</v>
      </c>
      <c r="C25">
        <f t="shared" si="1"/>
        <v>3</v>
      </c>
      <c r="D25" t="str">
        <f>IF(INDEX(REPORTE!$B:$B,$B25)="","",INDEX(REPORTE!$B:$B,$B25))</f>
        <v/>
      </c>
      <c r="E25" t="str">
        <f>IF($D25="","",IFERROR(VLOOKUP($D25,BD_PLANTA!$A:$F,6,0),""))</f>
        <v/>
      </c>
      <c r="F25" t="str">
        <f>INDEX(REPORTE!$D:$D,$B25)</f>
        <v/>
      </c>
      <c r="G25" t="str">
        <f>INDEX(REPORTE!$E:$E,$B25)</f>
        <v/>
      </c>
      <c r="H25" t="str">
        <f t="shared" si="2"/>
        <v>HEXTADUL</v>
      </c>
      <c r="I25">
        <f>CHOOSE($C25,N(INDEX(REPORTE!$F:$F,$B25))+N(INDEX(REPORTE!$G:$G,$B25)),N(INDEX(REPORTE!$H:$H,$B25)),N(INDEX(REPORTE!$I:$I,$B25)))</f>
        <v>0</v>
      </c>
      <c r="J25">
        <f t="shared" si="3"/>
        <v>0</v>
      </c>
      <c r="K25">
        <f>SUM($J$2:$J25)</f>
        <v>3</v>
      </c>
    </row>
    <row r="26" spans="1:11" x14ac:dyDescent="0.25">
      <c r="A26">
        <v>25</v>
      </c>
      <c r="B26">
        <f t="shared" si="0"/>
        <v>26</v>
      </c>
      <c r="C26">
        <f t="shared" si="1"/>
        <v>1</v>
      </c>
      <c r="D26" t="str">
        <f>IF(INDEX(REPORTE!$B:$B,$B26)="","",INDEX(REPORTE!$B:$B,$B26))</f>
        <v/>
      </c>
      <c r="E26" t="str">
        <f>IF($D26="","",IFERROR(VLOOKUP($D26,BD_PLANTA!$A:$F,6,0),""))</f>
        <v/>
      </c>
      <c r="F26" t="str">
        <f>INDEX(REPORTE!$D:$D,$B26)</f>
        <v/>
      </c>
      <c r="G26" t="str">
        <f>INDEX(REPORTE!$E:$E,$B26)</f>
        <v/>
      </c>
      <c r="H26" t="str">
        <f t="shared" si="2"/>
        <v>HEXTREG</v>
      </c>
      <c r="I26">
        <f>CHOOSE($C26,N(INDEX(REPORTE!$F:$F,$B26))+N(INDEX(REPORTE!$G:$G,$B26)),N(INDEX(REPORTE!$H:$H,$B26)),N(INDEX(REPORTE!$I:$I,$B26)))</f>
        <v>0</v>
      </c>
      <c r="J26">
        <f t="shared" si="3"/>
        <v>0</v>
      </c>
      <c r="K26">
        <f>SUM($J$2:$J26)</f>
        <v>3</v>
      </c>
    </row>
    <row r="27" spans="1:11" x14ac:dyDescent="0.25">
      <c r="A27">
        <v>26</v>
      </c>
      <c r="B27">
        <f t="shared" si="0"/>
        <v>26</v>
      </c>
      <c r="C27">
        <f t="shared" si="1"/>
        <v>2</v>
      </c>
      <c r="D27" t="str">
        <f>IF(INDEX(REPORTE!$B:$B,$B27)="","",INDEX(REPORTE!$B:$B,$B27))</f>
        <v/>
      </c>
      <c r="E27" t="str">
        <f>IF($D27="","",IFERROR(VLOOKUP($D27,BD_PLANTA!$A:$F,6,0),""))</f>
        <v/>
      </c>
      <c r="F27" t="str">
        <f>INDEX(REPORTE!$D:$D,$B27)</f>
        <v/>
      </c>
      <c r="G27" t="str">
        <f>INDEX(REPORTE!$E:$E,$B27)</f>
        <v/>
      </c>
      <c r="H27" t="str">
        <f t="shared" si="2"/>
        <v>HEXTJU</v>
      </c>
      <c r="I27">
        <f>CHOOSE($C27,N(INDEX(REPORTE!$F:$F,$B27))+N(INDEX(REPORTE!$G:$G,$B27)),N(INDEX(REPORTE!$H:$H,$B27)),N(INDEX(REPORTE!$I:$I,$B27)))</f>
        <v>0</v>
      </c>
      <c r="J27">
        <f t="shared" si="3"/>
        <v>0</v>
      </c>
      <c r="K27">
        <f>SUM($J$2:$J27)</f>
        <v>3</v>
      </c>
    </row>
    <row r="28" spans="1:11" x14ac:dyDescent="0.25">
      <c r="A28">
        <v>27</v>
      </c>
      <c r="B28">
        <f t="shared" si="0"/>
        <v>26</v>
      </c>
      <c r="C28">
        <f t="shared" si="1"/>
        <v>3</v>
      </c>
      <c r="D28" t="str">
        <f>IF(INDEX(REPORTE!$B:$B,$B28)="","",INDEX(REPORTE!$B:$B,$B28))</f>
        <v/>
      </c>
      <c r="E28" t="str">
        <f>IF($D28="","",IFERROR(VLOOKUP($D28,BD_PLANTA!$A:$F,6,0),""))</f>
        <v/>
      </c>
      <c r="F28" t="str">
        <f>INDEX(REPORTE!$D:$D,$B28)</f>
        <v/>
      </c>
      <c r="G28" t="str">
        <f>INDEX(REPORTE!$E:$E,$B28)</f>
        <v/>
      </c>
      <c r="H28" t="str">
        <f t="shared" si="2"/>
        <v>HEXTADUL</v>
      </c>
      <c r="I28">
        <f>CHOOSE($C28,N(INDEX(REPORTE!$F:$F,$B28))+N(INDEX(REPORTE!$G:$G,$B28)),N(INDEX(REPORTE!$H:$H,$B28)),N(INDEX(REPORTE!$I:$I,$B28)))</f>
        <v>0</v>
      </c>
      <c r="J28">
        <f t="shared" si="3"/>
        <v>0</v>
      </c>
      <c r="K28">
        <f>SUM($J$2:$J28)</f>
        <v>3</v>
      </c>
    </row>
    <row r="29" spans="1:11" x14ac:dyDescent="0.25">
      <c r="A29">
        <v>28</v>
      </c>
      <c r="B29">
        <f t="shared" si="0"/>
        <v>27</v>
      </c>
      <c r="C29">
        <f t="shared" si="1"/>
        <v>1</v>
      </c>
      <c r="D29" t="str">
        <f>IF(INDEX(REPORTE!$B:$B,$B29)="","",INDEX(REPORTE!$B:$B,$B29))</f>
        <v/>
      </c>
      <c r="E29" t="str">
        <f>IF($D29="","",IFERROR(VLOOKUP($D29,BD_PLANTA!$A:$F,6,0),""))</f>
        <v/>
      </c>
      <c r="F29" t="str">
        <f>INDEX(REPORTE!$D:$D,$B29)</f>
        <v/>
      </c>
      <c r="G29" t="str">
        <f>INDEX(REPORTE!$E:$E,$B29)</f>
        <v/>
      </c>
      <c r="H29" t="str">
        <f t="shared" si="2"/>
        <v>HEXTREG</v>
      </c>
      <c r="I29">
        <f>CHOOSE($C29,N(INDEX(REPORTE!$F:$F,$B29))+N(INDEX(REPORTE!$G:$G,$B29)),N(INDEX(REPORTE!$H:$H,$B29)),N(INDEX(REPORTE!$I:$I,$B29)))</f>
        <v>0</v>
      </c>
      <c r="J29">
        <f t="shared" si="3"/>
        <v>0</v>
      </c>
      <c r="K29">
        <f>SUM($J$2:$J29)</f>
        <v>3</v>
      </c>
    </row>
    <row r="30" spans="1:11" x14ac:dyDescent="0.25">
      <c r="A30">
        <v>29</v>
      </c>
      <c r="B30">
        <f t="shared" si="0"/>
        <v>27</v>
      </c>
      <c r="C30">
        <f t="shared" si="1"/>
        <v>2</v>
      </c>
      <c r="D30" t="str">
        <f>IF(INDEX(REPORTE!$B:$B,$B30)="","",INDEX(REPORTE!$B:$B,$B30))</f>
        <v/>
      </c>
      <c r="E30" t="str">
        <f>IF($D30="","",IFERROR(VLOOKUP($D30,BD_PLANTA!$A:$F,6,0),""))</f>
        <v/>
      </c>
      <c r="F30" t="str">
        <f>INDEX(REPORTE!$D:$D,$B30)</f>
        <v/>
      </c>
      <c r="G30" t="str">
        <f>INDEX(REPORTE!$E:$E,$B30)</f>
        <v/>
      </c>
      <c r="H30" t="str">
        <f t="shared" si="2"/>
        <v>HEXTJU</v>
      </c>
      <c r="I30">
        <f>CHOOSE($C30,N(INDEX(REPORTE!$F:$F,$B30))+N(INDEX(REPORTE!$G:$G,$B30)),N(INDEX(REPORTE!$H:$H,$B30)),N(INDEX(REPORTE!$I:$I,$B30)))</f>
        <v>0</v>
      </c>
      <c r="J30">
        <f t="shared" si="3"/>
        <v>0</v>
      </c>
      <c r="K30">
        <f>SUM($J$2:$J30)</f>
        <v>3</v>
      </c>
    </row>
    <row r="31" spans="1:11" x14ac:dyDescent="0.25">
      <c r="A31">
        <v>30</v>
      </c>
      <c r="B31">
        <f t="shared" si="0"/>
        <v>27</v>
      </c>
      <c r="C31">
        <f t="shared" si="1"/>
        <v>3</v>
      </c>
      <c r="D31" t="str">
        <f>IF(INDEX(REPORTE!$B:$B,$B31)="","",INDEX(REPORTE!$B:$B,$B31))</f>
        <v/>
      </c>
      <c r="E31" t="str">
        <f>IF($D31="","",IFERROR(VLOOKUP($D31,BD_PLANTA!$A:$F,6,0),""))</f>
        <v/>
      </c>
      <c r="F31" t="str">
        <f>INDEX(REPORTE!$D:$D,$B31)</f>
        <v/>
      </c>
      <c r="G31" t="str">
        <f>INDEX(REPORTE!$E:$E,$B31)</f>
        <v/>
      </c>
      <c r="H31" t="str">
        <f t="shared" si="2"/>
        <v>HEXTADUL</v>
      </c>
      <c r="I31">
        <f>CHOOSE($C31,N(INDEX(REPORTE!$F:$F,$B31))+N(INDEX(REPORTE!$G:$G,$B31)),N(INDEX(REPORTE!$H:$H,$B31)),N(INDEX(REPORTE!$I:$I,$B31)))</f>
        <v>0</v>
      </c>
      <c r="J31">
        <f t="shared" si="3"/>
        <v>0</v>
      </c>
      <c r="K31">
        <f>SUM($J$2:$J31)</f>
        <v>3</v>
      </c>
    </row>
    <row r="32" spans="1:11" x14ac:dyDescent="0.25">
      <c r="A32">
        <v>31</v>
      </c>
      <c r="B32">
        <f t="shared" si="0"/>
        <v>28</v>
      </c>
      <c r="C32">
        <f t="shared" si="1"/>
        <v>1</v>
      </c>
      <c r="D32" t="str">
        <f>IF(INDEX(REPORTE!$B:$B,$B32)="","",INDEX(REPORTE!$B:$B,$B32))</f>
        <v/>
      </c>
      <c r="E32" t="str">
        <f>IF($D32="","",IFERROR(VLOOKUP($D32,BD_PLANTA!$A:$F,6,0),""))</f>
        <v/>
      </c>
      <c r="F32" t="str">
        <f>INDEX(REPORTE!$D:$D,$B32)</f>
        <v/>
      </c>
      <c r="G32" t="str">
        <f>INDEX(REPORTE!$E:$E,$B32)</f>
        <v/>
      </c>
      <c r="H32" t="str">
        <f t="shared" si="2"/>
        <v>HEXTREG</v>
      </c>
      <c r="I32">
        <f>CHOOSE($C32,N(INDEX(REPORTE!$F:$F,$B32))+N(INDEX(REPORTE!$G:$G,$B32)),N(INDEX(REPORTE!$H:$H,$B32)),N(INDEX(REPORTE!$I:$I,$B32)))</f>
        <v>0</v>
      </c>
      <c r="J32">
        <f t="shared" si="3"/>
        <v>0</v>
      </c>
      <c r="K32">
        <f>SUM($J$2:$J32)</f>
        <v>3</v>
      </c>
    </row>
    <row r="33" spans="1:11" x14ac:dyDescent="0.25">
      <c r="A33">
        <v>32</v>
      </c>
      <c r="B33">
        <f t="shared" si="0"/>
        <v>28</v>
      </c>
      <c r="C33">
        <f t="shared" si="1"/>
        <v>2</v>
      </c>
      <c r="D33" t="str">
        <f>IF(INDEX(REPORTE!$B:$B,$B33)="","",INDEX(REPORTE!$B:$B,$B33))</f>
        <v/>
      </c>
      <c r="E33" t="str">
        <f>IF($D33="","",IFERROR(VLOOKUP($D33,BD_PLANTA!$A:$F,6,0),""))</f>
        <v/>
      </c>
      <c r="F33" t="str">
        <f>INDEX(REPORTE!$D:$D,$B33)</f>
        <v/>
      </c>
      <c r="G33" t="str">
        <f>INDEX(REPORTE!$E:$E,$B33)</f>
        <v/>
      </c>
      <c r="H33" t="str">
        <f t="shared" si="2"/>
        <v>HEXTJU</v>
      </c>
      <c r="I33">
        <f>CHOOSE($C33,N(INDEX(REPORTE!$F:$F,$B33))+N(INDEX(REPORTE!$G:$G,$B33)),N(INDEX(REPORTE!$H:$H,$B33)),N(INDEX(REPORTE!$I:$I,$B33)))</f>
        <v>0</v>
      </c>
      <c r="J33">
        <f t="shared" si="3"/>
        <v>0</v>
      </c>
      <c r="K33">
        <f>SUM($J$2:$J33)</f>
        <v>3</v>
      </c>
    </row>
    <row r="34" spans="1:11" x14ac:dyDescent="0.25">
      <c r="A34">
        <v>33</v>
      </c>
      <c r="B34">
        <f t="shared" si="0"/>
        <v>28</v>
      </c>
      <c r="C34">
        <f t="shared" si="1"/>
        <v>3</v>
      </c>
      <c r="D34" t="str">
        <f>IF(INDEX(REPORTE!$B:$B,$B34)="","",INDEX(REPORTE!$B:$B,$B34))</f>
        <v/>
      </c>
      <c r="E34" t="str">
        <f>IF($D34="","",IFERROR(VLOOKUP($D34,BD_PLANTA!$A:$F,6,0),""))</f>
        <v/>
      </c>
      <c r="F34" t="str">
        <f>INDEX(REPORTE!$D:$D,$B34)</f>
        <v/>
      </c>
      <c r="G34" t="str">
        <f>INDEX(REPORTE!$E:$E,$B34)</f>
        <v/>
      </c>
      <c r="H34" t="str">
        <f t="shared" si="2"/>
        <v>HEXTADUL</v>
      </c>
      <c r="I34">
        <f>CHOOSE($C34,N(INDEX(REPORTE!$F:$F,$B34))+N(INDEX(REPORTE!$G:$G,$B34)),N(INDEX(REPORTE!$H:$H,$B34)),N(INDEX(REPORTE!$I:$I,$B34)))</f>
        <v>0</v>
      </c>
      <c r="J34">
        <f t="shared" si="3"/>
        <v>0</v>
      </c>
      <c r="K34">
        <f>SUM($J$2:$J34)</f>
        <v>3</v>
      </c>
    </row>
    <row r="35" spans="1:11" x14ac:dyDescent="0.25">
      <c r="A35">
        <v>34</v>
      </c>
      <c r="B35">
        <f t="shared" si="0"/>
        <v>29</v>
      </c>
      <c r="C35">
        <f t="shared" si="1"/>
        <v>1</v>
      </c>
      <c r="D35" t="str">
        <f>IF(INDEX(REPORTE!$B:$B,$B35)="","",INDEX(REPORTE!$B:$B,$B35))</f>
        <v/>
      </c>
      <c r="E35" t="str">
        <f>IF($D35="","",IFERROR(VLOOKUP($D35,BD_PLANTA!$A:$F,6,0),""))</f>
        <v/>
      </c>
      <c r="F35" t="str">
        <f>INDEX(REPORTE!$D:$D,$B35)</f>
        <v/>
      </c>
      <c r="G35" t="str">
        <f>INDEX(REPORTE!$E:$E,$B35)</f>
        <v/>
      </c>
      <c r="H35" t="str">
        <f t="shared" si="2"/>
        <v>HEXTREG</v>
      </c>
      <c r="I35">
        <f>CHOOSE($C35,N(INDEX(REPORTE!$F:$F,$B35))+N(INDEX(REPORTE!$G:$G,$B35)),N(INDEX(REPORTE!$H:$H,$B35)),N(INDEX(REPORTE!$I:$I,$B35)))</f>
        <v>0</v>
      </c>
      <c r="J35">
        <f t="shared" si="3"/>
        <v>0</v>
      </c>
      <c r="K35">
        <f>SUM($J$2:$J35)</f>
        <v>3</v>
      </c>
    </row>
    <row r="36" spans="1:11" x14ac:dyDescent="0.25">
      <c r="A36">
        <v>35</v>
      </c>
      <c r="B36">
        <f t="shared" si="0"/>
        <v>29</v>
      </c>
      <c r="C36">
        <f t="shared" si="1"/>
        <v>2</v>
      </c>
      <c r="D36" t="str">
        <f>IF(INDEX(REPORTE!$B:$B,$B36)="","",INDEX(REPORTE!$B:$B,$B36))</f>
        <v/>
      </c>
      <c r="E36" t="str">
        <f>IF($D36="","",IFERROR(VLOOKUP($D36,BD_PLANTA!$A:$F,6,0),""))</f>
        <v/>
      </c>
      <c r="F36" t="str">
        <f>INDEX(REPORTE!$D:$D,$B36)</f>
        <v/>
      </c>
      <c r="G36" t="str">
        <f>INDEX(REPORTE!$E:$E,$B36)</f>
        <v/>
      </c>
      <c r="H36" t="str">
        <f t="shared" si="2"/>
        <v>HEXTJU</v>
      </c>
      <c r="I36">
        <f>CHOOSE($C36,N(INDEX(REPORTE!$F:$F,$B36))+N(INDEX(REPORTE!$G:$G,$B36)),N(INDEX(REPORTE!$H:$H,$B36)),N(INDEX(REPORTE!$I:$I,$B36)))</f>
        <v>0</v>
      </c>
      <c r="J36">
        <f t="shared" si="3"/>
        <v>0</v>
      </c>
      <c r="K36">
        <f>SUM($J$2:$J36)</f>
        <v>3</v>
      </c>
    </row>
    <row r="37" spans="1:11" x14ac:dyDescent="0.25">
      <c r="A37">
        <v>36</v>
      </c>
      <c r="B37">
        <f t="shared" si="0"/>
        <v>29</v>
      </c>
      <c r="C37">
        <f t="shared" si="1"/>
        <v>3</v>
      </c>
      <c r="D37" t="str">
        <f>IF(INDEX(REPORTE!$B:$B,$B37)="","",INDEX(REPORTE!$B:$B,$B37))</f>
        <v/>
      </c>
      <c r="E37" t="str">
        <f>IF($D37="","",IFERROR(VLOOKUP($D37,BD_PLANTA!$A:$F,6,0),""))</f>
        <v/>
      </c>
      <c r="F37" t="str">
        <f>INDEX(REPORTE!$D:$D,$B37)</f>
        <v/>
      </c>
      <c r="G37" t="str">
        <f>INDEX(REPORTE!$E:$E,$B37)</f>
        <v/>
      </c>
      <c r="H37" t="str">
        <f t="shared" si="2"/>
        <v>HEXTADUL</v>
      </c>
      <c r="I37">
        <f>CHOOSE($C37,N(INDEX(REPORTE!$F:$F,$B37))+N(INDEX(REPORTE!$G:$G,$B37)),N(INDEX(REPORTE!$H:$H,$B37)),N(INDEX(REPORTE!$I:$I,$B37)))</f>
        <v>0</v>
      </c>
      <c r="J37">
        <f t="shared" si="3"/>
        <v>0</v>
      </c>
      <c r="K37">
        <f>SUM($J$2:$J37)</f>
        <v>3</v>
      </c>
    </row>
    <row r="38" spans="1:11" x14ac:dyDescent="0.25">
      <c r="A38">
        <v>37</v>
      </c>
      <c r="B38">
        <f t="shared" si="0"/>
        <v>30</v>
      </c>
      <c r="C38">
        <f t="shared" si="1"/>
        <v>1</v>
      </c>
      <c r="D38" t="str">
        <f>IF(INDEX(REPORTE!$B:$B,$B38)="","",INDEX(REPORTE!$B:$B,$B38))</f>
        <v/>
      </c>
      <c r="E38" t="str">
        <f>IF($D38="","",IFERROR(VLOOKUP($D38,BD_PLANTA!$A:$F,6,0),""))</f>
        <v/>
      </c>
      <c r="F38" t="str">
        <f>INDEX(REPORTE!$D:$D,$B38)</f>
        <v/>
      </c>
      <c r="G38" t="str">
        <f>INDEX(REPORTE!$E:$E,$B38)</f>
        <v/>
      </c>
      <c r="H38" t="str">
        <f t="shared" si="2"/>
        <v>HEXTREG</v>
      </c>
      <c r="I38">
        <f>CHOOSE($C38,N(INDEX(REPORTE!$F:$F,$B38))+N(INDEX(REPORTE!$G:$G,$B38)),N(INDEX(REPORTE!$H:$H,$B38)),N(INDEX(REPORTE!$I:$I,$B38)))</f>
        <v>0</v>
      </c>
      <c r="J38">
        <f t="shared" si="3"/>
        <v>0</v>
      </c>
      <c r="K38">
        <f>SUM($J$2:$J38)</f>
        <v>3</v>
      </c>
    </row>
    <row r="39" spans="1:11" x14ac:dyDescent="0.25">
      <c r="A39">
        <v>38</v>
      </c>
      <c r="B39">
        <f t="shared" si="0"/>
        <v>30</v>
      </c>
      <c r="C39">
        <f t="shared" si="1"/>
        <v>2</v>
      </c>
      <c r="D39" t="str">
        <f>IF(INDEX(REPORTE!$B:$B,$B39)="","",INDEX(REPORTE!$B:$B,$B39))</f>
        <v/>
      </c>
      <c r="E39" t="str">
        <f>IF($D39="","",IFERROR(VLOOKUP($D39,BD_PLANTA!$A:$F,6,0),""))</f>
        <v/>
      </c>
      <c r="F39" t="str">
        <f>INDEX(REPORTE!$D:$D,$B39)</f>
        <v/>
      </c>
      <c r="G39" t="str">
        <f>INDEX(REPORTE!$E:$E,$B39)</f>
        <v/>
      </c>
      <c r="H39" t="str">
        <f t="shared" si="2"/>
        <v>HEXTJU</v>
      </c>
      <c r="I39">
        <f>CHOOSE($C39,N(INDEX(REPORTE!$F:$F,$B39))+N(INDEX(REPORTE!$G:$G,$B39)),N(INDEX(REPORTE!$H:$H,$B39)),N(INDEX(REPORTE!$I:$I,$B39)))</f>
        <v>0</v>
      </c>
      <c r="J39">
        <f t="shared" si="3"/>
        <v>0</v>
      </c>
      <c r="K39">
        <f>SUM($J$2:$J39)</f>
        <v>3</v>
      </c>
    </row>
    <row r="40" spans="1:11" x14ac:dyDescent="0.25">
      <c r="A40">
        <v>39</v>
      </c>
      <c r="B40">
        <f t="shared" si="0"/>
        <v>30</v>
      </c>
      <c r="C40">
        <f t="shared" si="1"/>
        <v>3</v>
      </c>
      <c r="D40" t="str">
        <f>IF(INDEX(REPORTE!$B:$B,$B40)="","",INDEX(REPORTE!$B:$B,$B40))</f>
        <v/>
      </c>
      <c r="E40" t="str">
        <f>IF($D40="","",IFERROR(VLOOKUP($D40,BD_PLANTA!$A:$F,6,0),""))</f>
        <v/>
      </c>
      <c r="F40" t="str">
        <f>INDEX(REPORTE!$D:$D,$B40)</f>
        <v/>
      </c>
      <c r="G40" t="str">
        <f>INDEX(REPORTE!$E:$E,$B40)</f>
        <v/>
      </c>
      <c r="H40" t="str">
        <f t="shared" si="2"/>
        <v>HEXTADUL</v>
      </c>
      <c r="I40">
        <f>CHOOSE($C40,N(INDEX(REPORTE!$F:$F,$B40))+N(INDEX(REPORTE!$G:$G,$B40)),N(INDEX(REPORTE!$H:$H,$B40)),N(INDEX(REPORTE!$I:$I,$B40)))</f>
        <v>0</v>
      </c>
      <c r="J40">
        <f t="shared" si="3"/>
        <v>0</v>
      </c>
      <c r="K40">
        <f>SUM($J$2:$J40)</f>
        <v>3</v>
      </c>
    </row>
    <row r="41" spans="1:11" x14ac:dyDescent="0.25">
      <c r="A41">
        <v>40</v>
      </c>
      <c r="B41">
        <f t="shared" si="0"/>
        <v>31</v>
      </c>
      <c r="C41">
        <f t="shared" si="1"/>
        <v>1</v>
      </c>
      <c r="D41" t="str">
        <f>IF(INDEX(REPORTE!$B:$B,$B41)="","",INDEX(REPORTE!$B:$B,$B41))</f>
        <v/>
      </c>
      <c r="E41" t="str">
        <f>IF($D41="","",IFERROR(VLOOKUP($D41,BD_PLANTA!$A:$F,6,0),""))</f>
        <v/>
      </c>
      <c r="F41" t="str">
        <f>INDEX(REPORTE!$D:$D,$B41)</f>
        <v/>
      </c>
      <c r="G41" t="str">
        <f>INDEX(REPORTE!$E:$E,$B41)</f>
        <v/>
      </c>
      <c r="H41" t="str">
        <f t="shared" si="2"/>
        <v>HEXTREG</v>
      </c>
      <c r="I41">
        <f>CHOOSE($C41,N(INDEX(REPORTE!$F:$F,$B41))+N(INDEX(REPORTE!$G:$G,$B41)),N(INDEX(REPORTE!$H:$H,$B41)),N(INDEX(REPORTE!$I:$I,$B41)))</f>
        <v>0</v>
      </c>
      <c r="J41">
        <f t="shared" si="3"/>
        <v>0</v>
      </c>
      <c r="K41">
        <f>SUM($J$2:$J41)</f>
        <v>3</v>
      </c>
    </row>
    <row r="42" spans="1:11" x14ac:dyDescent="0.25">
      <c r="A42">
        <v>41</v>
      </c>
      <c r="B42">
        <f t="shared" si="0"/>
        <v>31</v>
      </c>
      <c r="C42">
        <f t="shared" si="1"/>
        <v>2</v>
      </c>
      <c r="D42" t="str">
        <f>IF(INDEX(REPORTE!$B:$B,$B42)="","",INDEX(REPORTE!$B:$B,$B42))</f>
        <v/>
      </c>
      <c r="E42" t="str">
        <f>IF($D42="","",IFERROR(VLOOKUP($D42,BD_PLANTA!$A:$F,6,0),""))</f>
        <v/>
      </c>
      <c r="F42" t="str">
        <f>INDEX(REPORTE!$D:$D,$B42)</f>
        <v/>
      </c>
      <c r="G42" t="str">
        <f>INDEX(REPORTE!$E:$E,$B42)</f>
        <v/>
      </c>
      <c r="H42" t="str">
        <f t="shared" si="2"/>
        <v>HEXTJU</v>
      </c>
      <c r="I42">
        <f>CHOOSE($C42,N(INDEX(REPORTE!$F:$F,$B42))+N(INDEX(REPORTE!$G:$G,$B42)),N(INDEX(REPORTE!$H:$H,$B42)),N(INDEX(REPORTE!$I:$I,$B42)))</f>
        <v>0</v>
      </c>
      <c r="J42">
        <f t="shared" si="3"/>
        <v>0</v>
      </c>
      <c r="K42">
        <f>SUM($J$2:$J42)</f>
        <v>3</v>
      </c>
    </row>
    <row r="43" spans="1:11" x14ac:dyDescent="0.25">
      <c r="A43">
        <v>42</v>
      </c>
      <c r="B43">
        <f t="shared" si="0"/>
        <v>31</v>
      </c>
      <c r="C43">
        <f t="shared" si="1"/>
        <v>3</v>
      </c>
      <c r="D43" t="str">
        <f>IF(INDEX(REPORTE!$B:$B,$B43)="","",INDEX(REPORTE!$B:$B,$B43))</f>
        <v/>
      </c>
      <c r="E43" t="str">
        <f>IF($D43="","",IFERROR(VLOOKUP($D43,BD_PLANTA!$A:$F,6,0),""))</f>
        <v/>
      </c>
      <c r="F43" t="str">
        <f>INDEX(REPORTE!$D:$D,$B43)</f>
        <v/>
      </c>
      <c r="G43" t="str">
        <f>INDEX(REPORTE!$E:$E,$B43)</f>
        <v/>
      </c>
      <c r="H43" t="str">
        <f t="shared" si="2"/>
        <v>HEXTADUL</v>
      </c>
      <c r="I43">
        <f>CHOOSE($C43,N(INDEX(REPORTE!$F:$F,$B43))+N(INDEX(REPORTE!$G:$G,$B43)),N(INDEX(REPORTE!$H:$H,$B43)),N(INDEX(REPORTE!$I:$I,$B43)))</f>
        <v>0</v>
      </c>
      <c r="J43">
        <f t="shared" si="3"/>
        <v>0</v>
      </c>
      <c r="K43">
        <f>SUM($J$2:$J43)</f>
        <v>3</v>
      </c>
    </row>
    <row r="44" spans="1:11" x14ac:dyDescent="0.25">
      <c r="A44">
        <v>43</v>
      </c>
      <c r="B44">
        <f t="shared" si="0"/>
        <v>32</v>
      </c>
      <c r="C44">
        <f t="shared" si="1"/>
        <v>1</v>
      </c>
      <c r="D44" t="str">
        <f>IF(INDEX(REPORTE!$B:$B,$B44)="","",INDEX(REPORTE!$B:$B,$B44))</f>
        <v/>
      </c>
      <c r="E44" t="str">
        <f>IF($D44="","",IFERROR(VLOOKUP($D44,BD_PLANTA!$A:$F,6,0),""))</f>
        <v/>
      </c>
      <c r="F44" t="str">
        <f>INDEX(REPORTE!$D:$D,$B44)</f>
        <v/>
      </c>
      <c r="G44" t="str">
        <f>INDEX(REPORTE!$E:$E,$B44)</f>
        <v/>
      </c>
      <c r="H44" t="str">
        <f t="shared" si="2"/>
        <v>HEXTREG</v>
      </c>
      <c r="I44">
        <f>CHOOSE($C44,N(INDEX(REPORTE!$F:$F,$B44))+N(INDEX(REPORTE!$G:$G,$B44)),N(INDEX(REPORTE!$H:$H,$B44)),N(INDEX(REPORTE!$I:$I,$B44)))</f>
        <v>0</v>
      </c>
      <c r="J44">
        <f t="shared" si="3"/>
        <v>0</v>
      </c>
      <c r="K44">
        <f>SUM($J$2:$J44)</f>
        <v>3</v>
      </c>
    </row>
    <row r="45" spans="1:11" x14ac:dyDescent="0.25">
      <c r="A45">
        <v>44</v>
      </c>
      <c r="B45">
        <f t="shared" si="0"/>
        <v>32</v>
      </c>
      <c r="C45">
        <f t="shared" si="1"/>
        <v>2</v>
      </c>
      <c r="D45" t="str">
        <f>IF(INDEX(REPORTE!$B:$B,$B45)="","",INDEX(REPORTE!$B:$B,$B45))</f>
        <v/>
      </c>
      <c r="E45" t="str">
        <f>IF($D45="","",IFERROR(VLOOKUP($D45,BD_PLANTA!$A:$F,6,0),""))</f>
        <v/>
      </c>
      <c r="F45" t="str">
        <f>INDEX(REPORTE!$D:$D,$B45)</f>
        <v/>
      </c>
      <c r="G45" t="str">
        <f>INDEX(REPORTE!$E:$E,$B45)</f>
        <v/>
      </c>
      <c r="H45" t="str">
        <f t="shared" si="2"/>
        <v>HEXTJU</v>
      </c>
      <c r="I45">
        <f>CHOOSE($C45,N(INDEX(REPORTE!$F:$F,$B45))+N(INDEX(REPORTE!$G:$G,$B45)),N(INDEX(REPORTE!$H:$H,$B45)),N(INDEX(REPORTE!$I:$I,$B45)))</f>
        <v>0</v>
      </c>
      <c r="J45">
        <f t="shared" si="3"/>
        <v>0</v>
      </c>
      <c r="K45">
        <f>SUM($J$2:$J45)</f>
        <v>3</v>
      </c>
    </row>
    <row r="46" spans="1:11" x14ac:dyDescent="0.25">
      <c r="A46">
        <v>45</v>
      </c>
      <c r="B46">
        <f t="shared" si="0"/>
        <v>32</v>
      </c>
      <c r="C46">
        <f t="shared" si="1"/>
        <v>3</v>
      </c>
      <c r="D46" t="str">
        <f>IF(INDEX(REPORTE!$B:$B,$B46)="","",INDEX(REPORTE!$B:$B,$B46))</f>
        <v/>
      </c>
      <c r="E46" t="str">
        <f>IF($D46="","",IFERROR(VLOOKUP($D46,BD_PLANTA!$A:$F,6,0),""))</f>
        <v/>
      </c>
      <c r="F46" t="str">
        <f>INDEX(REPORTE!$D:$D,$B46)</f>
        <v/>
      </c>
      <c r="G46" t="str">
        <f>INDEX(REPORTE!$E:$E,$B46)</f>
        <v/>
      </c>
      <c r="H46" t="str">
        <f t="shared" si="2"/>
        <v>HEXTADUL</v>
      </c>
      <c r="I46">
        <f>CHOOSE($C46,N(INDEX(REPORTE!$F:$F,$B46))+N(INDEX(REPORTE!$G:$G,$B46)),N(INDEX(REPORTE!$H:$H,$B46)),N(INDEX(REPORTE!$I:$I,$B46)))</f>
        <v>0</v>
      </c>
      <c r="J46">
        <f t="shared" si="3"/>
        <v>0</v>
      </c>
      <c r="K46">
        <f>SUM($J$2:$J46)</f>
        <v>3</v>
      </c>
    </row>
    <row r="47" spans="1:11" x14ac:dyDescent="0.25">
      <c r="A47">
        <v>46</v>
      </c>
      <c r="B47">
        <f t="shared" si="0"/>
        <v>33</v>
      </c>
      <c r="C47">
        <f t="shared" si="1"/>
        <v>1</v>
      </c>
      <c r="D47" t="str">
        <f>IF(INDEX(REPORTE!$B:$B,$B47)="","",INDEX(REPORTE!$B:$B,$B47))</f>
        <v/>
      </c>
      <c r="E47" t="str">
        <f>IF($D47="","",IFERROR(VLOOKUP($D47,BD_PLANTA!$A:$F,6,0),""))</f>
        <v/>
      </c>
      <c r="F47" t="str">
        <f>INDEX(REPORTE!$D:$D,$B47)</f>
        <v/>
      </c>
      <c r="G47" t="str">
        <f>INDEX(REPORTE!$E:$E,$B47)</f>
        <v/>
      </c>
      <c r="H47" t="str">
        <f t="shared" si="2"/>
        <v>HEXTREG</v>
      </c>
      <c r="I47">
        <f>CHOOSE($C47,N(INDEX(REPORTE!$F:$F,$B47))+N(INDEX(REPORTE!$G:$G,$B47)),N(INDEX(REPORTE!$H:$H,$B47)),N(INDEX(REPORTE!$I:$I,$B47)))</f>
        <v>0</v>
      </c>
      <c r="J47">
        <f t="shared" si="3"/>
        <v>0</v>
      </c>
      <c r="K47">
        <f>SUM($J$2:$J47)</f>
        <v>3</v>
      </c>
    </row>
    <row r="48" spans="1:11" x14ac:dyDescent="0.25">
      <c r="A48">
        <v>47</v>
      </c>
      <c r="B48">
        <f t="shared" si="0"/>
        <v>33</v>
      </c>
      <c r="C48">
        <f t="shared" si="1"/>
        <v>2</v>
      </c>
      <c r="D48" t="str">
        <f>IF(INDEX(REPORTE!$B:$B,$B48)="","",INDEX(REPORTE!$B:$B,$B48))</f>
        <v/>
      </c>
      <c r="E48" t="str">
        <f>IF($D48="","",IFERROR(VLOOKUP($D48,BD_PLANTA!$A:$F,6,0),""))</f>
        <v/>
      </c>
      <c r="F48" t="str">
        <f>INDEX(REPORTE!$D:$D,$B48)</f>
        <v/>
      </c>
      <c r="G48" t="str">
        <f>INDEX(REPORTE!$E:$E,$B48)</f>
        <v/>
      </c>
      <c r="H48" t="str">
        <f t="shared" si="2"/>
        <v>HEXTJU</v>
      </c>
      <c r="I48">
        <f>CHOOSE($C48,N(INDEX(REPORTE!$F:$F,$B48))+N(INDEX(REPORTE!$G:$G,$B48)),N(INDEX(REPORTE!$H:$H,$B48)),N(INDEX(REPORTE!$I:$I,$B48)))</f>
        <v>0</v>
      </c>
      <c r="J48">
        <f t="shared" si="3"/>
        <v>0</v>
      </c>
      <c r="K48">
        <f>SUM($J$2:$J48)</f>
        <v>3</v>
      </c>
    </row>
    <row r="49" spans="1:11" x14ac:dyDescent="0.25">
      <c r="A49">
        <v>48</v>
      </c>
      <c r="B49">
        <f t="shared" si="0"/>
        <v>33</v>
      </c>
      <c r="C49">
        <f t="shared" si="1"/>
        <v>3</v>
      </c>
      <c r="D49" t="str">
        <f>IF(INDEX(REPORTE!$B:$B,$B49)="","",INDEX(REPORTE!$B:$B,$B49))</f>
        <v/>
      </c>
      <c r="E49" t="str">
        <f>IF($D49="","",IFERROR(VLOOKUP($D49,BD_PLANTA!$A:$F,6,0),""))</f>
        <v/>
      </c>
      <c r="F49" t="str">
        <f>INDEX(REPORTE!$D:$D,$B49)</f>
        <v/>
      </c>
      <c r="G49" t="str">
        <f>INDEX(REPORTE!$E:$E,$B49)</f>
        <v/>
      </c>
      <c r="H49" t="str">
        <f t="shared" si="2"/>
        <v>HEXTADUL</v>
      </c>
      <c r="I49">
        <f>CHOOSE($C49,N(INDEX(REPORTE!$F:$F,$B49))+N(INDEX(REPORTE!$G:$G,$B49)),N(INDEX(REPORTE!$H:$H,$B49)),N(INDEX(REPORTE!$I:$I,$B49)))</f>
        <v>0</v>
      </c>
      <c r="J49">
        <f t="shared" si="3"/>
        <v>0</v>
      </c>
      <c r="K49">
        <f>SUM($J$2:$J49)</f>
        <v>3</v>
      </c>
    </row>
    <row r="50" spans="1:11" x14ac:dyDescent="0.25">
      <c r="A50">
        <v>49</v>
      </c>
      <c r="B50">
        <f t="shared" si="0"/>
        <v>34</v>
      </c>
      <c r="C50">
        <f t="shared" si="1"/>
        <v>1</v>
      </c>
      <c r="D50" t="str">
        <f>IF(INDEX(REPORTE!$B:$B,$B50)="","",INDEX(REPORTE!$B:$B,$B50))</f>
        <v/>
      </c>
      <c r="E50" t="str">
        <f>IF($D50="","",IFERROR(VLOOKUP($D50,BD_PLANTA!$A:$F,6,0),""))</f>
        <v/>
      </c>
      <c r="F50" t="str">
        <f>INDEX(REPORTE!$D:$D,$B50)</f>
        <v/>
      </c>
      <c r="G50" t="str">
        <f>INDEX(REPORTE!$E:$E,$B50)</f>
        <v/>
      </c>
      <c r="H50" t="str">
        <f t="shared" si="2"/>
        <v>HEXTREG</v>
      </c>
      <c r="I50">
        <f>CHOOSE($C50,N(INDEX(REPORTE!$F:$F,$B50))+N(INDEX(REPORTE!$G:$G,$B50)),N(INDEX(REPORTE!$H:$H,$B50)),N(INDEX(REPORTE!$I:$I,$B50)))</f>
        <v>0</v>
      </c>
      <c r="J50">
        <f t="shared" si="3"/>
        <v>0</v>
      </c>
      <c r="K50">
        <f>SUM($J$2:$J50)</f>
        <v>3</v>
      </c>
    </row>
    <row r="51" spans="1:11" x14ac:dyDescent="0.25">
      <c r="A51">
        <v>50</v>
      </c>
      <c r="B51">
        <f t="shared" si="0"/>
        <v>34</v>
      </c>
      <c r="C51">
        <f t="shared" si="1"/>
        <v>2</v>
      </c>
      <c r="D51" t="str">
        <f>IF(INDEX(REPORTE!$B:$B,$B51)="","",INDEX(REPORTE!$B:$B,$B51))</f>
        <v/>
      </c>
      <c r="E51" t="str">
        <f>IF($D51="","",IFERROR(VLOOKUP($D51,BD_PLANTA!$A:$F,6,0),""))</f>
        <v/>
      </c>
      <c r="F51" t="str">
        <f>INDEX(REPORTE!$D:$D,$B51)</f>
        <v/>
      </c>
      <c r="G51" t="str">
        <f>INDEX(REPORTE!$E:$E,$B51)</f>
        <v/>
      </c>
      <c r="H51" t="str">
        <f t="shared" si="2"/>
        <v>HEXTJU</v>
      </c>
      <c r="I51">
        <f>CHOOSE($C51,N(INDEX(REPORTE!$F:$F,$B51))+N(INDEX(REPORTE!$G:$G,$B51)),N(INDEX(REPORTE!$H:$H,$B51)),N(INDEX(REPORTE!$I:$I,$B51)))</f>
        <v>0</v>
      </c>
      <c r="J51">
        <f t="shared" si="3"/>
        <v>0</v>
      </c>
      <c r="K51">
        <f>SUM($J$2:$J51)</f>
        <v>3</v>
      </c>
    </row>
    <row r="52" spans="1:11" x14ac:dyDescent="0.25">
      <c r="A52">
        <v>51</v>
      </c>
      <c r="B52">
        <f t="shared" si="0"/>
        <v>34</v>
      </c>
      <c r="C52">
        <f t="shared" si="1"/>
        <v>3</v>
      </c>
      <c r="D52" t="str">
        <f>IF(INDEX(REPORTE!$B:$B,$B52)="","",INDEX(REPORTE!$B:$B,$B52))</f>
        <v/>
      </c>
      <c r="E52" t="str">
        <f>IF($D52="","",IFERROR(VLOOKUP($D52,BD_PLANTA!$A:$F,6,0),""))</f>
        <v/>
      </c>
      <c r="F52" t="str">
        <f>INDEX(REPORTE!$D:$D,$B52)</f>
        <v/>
      </c>
      <c r="G52" t="str">
        <f>INDEX(REPORTE!$E:$E,$B52)</f>
        <v/>
      </c>
      <c r="H52" t="str">
        <f t="shared" si="2"/>
        <v>HEXTADUL</v>
      </c>
      <c r="I52">
        <f>CHOOSE($C52,N(INDEX(REPORTE!$F:$F,$B52))+N(INDEX(REPORTE!$G:$G,$B52)),N(INDEX(REPORTE!$H:$H,$B52)),N(INDEX(REPORTE!$I:$I,$B52)))</f>
        <v>0</v>
      </c>
      <c r="J52">
        <f t="shared" si="3"/>
        <v>0</v>
      </c>
      <c r="K52">
        <f>SUM($J$2:$J52)</f>
        <v>3</v>
      </c>
    </row>
    <row r="53" spans="1:11" x14ac:dyDescent="0.25">
      <c r="A53">
        <v>52</v>
      </c>
      <c r="B53">
        <f t="shared" si="0"/>
        <v>35</v>
      </c>
      <c r="C53">
        <f t="shared" si="1"/>
        <v>1</v>
      </c>
      <c r="D53" t="str">
        <f>IF(INDEX(REPORTE!$B:$B,$B53)="","",INDEX(REPORTE!$B:$B,$B53))</f>
        <v/>
      </c>
      <c r="E53" t="str">
        <f>IF($D53="","",IFERROR(VLOOKUP($D53,BD_PLANTA!$A:$F,6,0),""))</f>
        <v/>
      </c>
      <c r="F53" t="str">
        <f>INDEX(REPORTE!$D:$D,$B53)</f>
        <v/>
      </c>
      <c r="G53" t="str">
        <f>INDEX(REPORTE!$E:$E,$B53)</f>
        <v/>
      </c>
      <c r="H53" t="str">
        <f t="shared" si="2"/>
        <v>HEXTREG</v>
      </c>
      <c r="I53">
        <f>CHOOSE($C53,N(INDEX(REPORTE!$F:$F,$B53))+N(INDEX(REPORTE!$G:$G,$B53)),N(INDEX(REPORTE!$H:$H,$B53)),N(INDEX(REPORTE!$I:$I,$B53)))</f>
        <v>0</v>
      </c>
      <c r="J53">
        <f t="shared" si="3"/>
        <v>0</v>
      </c>
      <c r="K53">
        <f>SUM($J$2:$J53)</f>
        <v>3</v>
      </c>
    </row>
    <row r="54" spans="1:11" x14ac:dyDescent="0.25">
      <c r="A54">
        <v>53</v>
      </c>
      <c r="B54">
        <f t="shared" si="0"/>
        <v>35</v>
      </c>
      <c r="C54">
        <f t="shared" si="1"/>
        <v>2</v>
      </c>
      <c r="D54" t="str">
        <f>IF(INDEX(REPORTE!$B:$B,$B54)="","",INDEX(REPORTE!$B:$B,$B54))</f>
        <v/>
      </c>
      <c r="E54" t="str">
        <f>IF($D54="","",IFERROR(VLOOKUP($D54,BD_PLANTA!$A:$F,6,0),""))</f>
        <v/>
      </c>
      <c r="F54" t="str">
        <f>INDEX(REPORTE!$D:$D,$B54)</f>
        <v/>
      </c>
      <c r="G54" t="str">
        <f>INDEX(REPORTE!$E:$E,$B54)</f>
        <v/>
      </c>
      <c r="H54" t="str">
        <f t="shared" si="2"/>
        <v>HEXTJU</v>
      </c>
      <c r="I54">
        <f>CHOOSE($C54,N(INDEX(REPORTE!$F:$F,$B54))+N(INDEX(REPORTE!$G:$G,$B54)),N(INDEX(REPORTE!$H:$H,$B54)),N(INDEX(REPORTE!$I:$I,$B54)))</f>
        <v>0</v>
      </c>
      <c r="J54">
        <f t="shared" si="3"/>
        <v>0</v>
      </c>
      <c r="K54">
        <f>SUM($J$2:$J54)</f>
        <v>3</v>
      </c>
    </row>
    <row r="55" spans="1:11" x14ac:dyDescent="0.25">
      <c r="A55">
        <v>54</v>
      </c>
      <c r="B55">
        <f t="shared" si="0"/>
        <v>35</v>
      </c>
      <c r="C55">
        <f t="shared" si="1"/>
        <v>3</v>
      </c>
      <c r="D55" t="str">
        <f>IF(INDEX(REPORTE!$B:$B,$B55)="","",INDEX(REPORTE!$B:$B,$B55))</f>
        <v/>
      </c>
      <c r="E55" t="str">
        <f>IF($D55="","",IFERROR(VLOOKUP($D55,BD_PLANTA!$A:$F,6,0),""))</f>
        <v/>
      </c>
      <c r="F55" t="str">
        <f>INDEX(REPORTE!$D:$D,$B55)</f>
        <v/>
      </c>
      <c r="G55" t="str">
        <f>INDEX(REPORTE!$E:$E,$B55)</f>
        <v/>
      </c>
      <c r="H55" t="str">
        <f t="shared" si="2"/>
        <v>HEXTADUL</v>
      </c>
      <c r="I55">
        <f>CHOOSE($C55,N(INDEX(REPORTE!$F:$F,$B55))+N(INDEX(REPORTE!$G:$G,$B55)),N(INDEX(REPORTE!$H:$H,$B55)),N(INDEX(REPORTE!$I:$I,$B55)))</f>
        <v>0</v>
      </c>
      <c r="J55">
        <f t="shared" si="3"/>
        <v>0</v>
      </c>
      <c r="K55">
        <f>SUM($J$2:$J55)</f>
        <v>3</v>
      </c>
    </row>
    <row r="56" spans="1:11" x14ac:dyDescent="0.25">
      <c r="A56">
        <v>55</v>
      </c>
      <c r="B56">
        <f t="shared" si="0"/>
        <v>36</v>
      </c>
      <c r="C56">
        <f t="shared" si="1"/>
        <v>1</v>
      </c>
      <c r="D56" t="str">
        <f>IF(INDEX(REPORTE!$B:$B,$B56)="","",INDEX(REPORTE!$B:$B,$B56))</f>
        <v/>
      </c>
      <c r="E56" t="str">
        <f>IF($D56="","",IFERROR(VLOOKUP($D56,BD_PLANTA!$A:$F,6,0),""))</f>
        <v/>
      </c>
      <c r="F56" t="str">
        <f>INDEX(REPORTE!$D:$D,$B56)</f>
        <v/>
      </c>
      <c r="G56" t="str">
        <f>INDEX(REPORTE!$E:$E,$B56)</f>
        <v/>
      </c>
      <c r="H56" t="str">
        <f t="shared" si="2"/>
        <v>HEXTREG</v>
      </c>
      <c r="I56">
        <f>CHOOSE($C56,N(INDEX(REPORTE!$F:$F,$B56))+N(INDEX(REPORTE!$G:$G,$B56)),N(INDEX(REPORTE!$H:$H,$B56)),N(INDEX(REPORTE!$I:$I,$B56)))</f>
        <v>0</v>
      </c>
      <c r="J56">
        <f t="shared" si="3"/>
        <v>0</v>
      </c>
      <c r="K56">
        <f>SUM($J$2:$J56)</f>
        <v>3</v>
      </c>
    </row>
    <row r="57" spans="1:11" x14ac:dyDescent="0.25">
      <c r="A57">
        <v>56</v>
      </c>
      <c r="B57">
        <f t="shared" si="0"/>
        <v>36</v>
      </c>
      <c r="C57">
        <f t="shared" si="1"/>
        <v>2</v>
      </c>
      <c r="D57" t="str">
        <f>IF(INDEX(REPORTE!$B:$B,$B57)="","",INDEX(REPORTE!$B:$B,$B57))</f>
        <v/>
      </c>
      <c r="E57" t="str">
        <f>IF($D57="","",IFERROR(VLOOKUP($D57,BD_PLANTA!$A:$F,6,0),""))</f>
        <v/>
      </c>
      <c r="F57" t="str">
        <f>INDEX(REPORTE!$D:$D,$B57)</f>
        <v/>
      </c>
      <c r="G57" t="str">
        <f>INDEX(REPORTE!$E:$E,$B57)</f>
        <v/>
      </c>
      <c r="H57" t="str">
        <f t="shared" si="2"/>
        <v>HEXTJU</v>
      </c>
      <c r="I57">
        <f>CHOOSE($C57,N(INDEX(REPORTE!$F:$F,$B57))+N(INDEX(REPORTE!$G:$G,$B57)),N(INDEX(REPORTE!$H:$H,$B57)),N(INDEX(REPORTE!$I:$I,$B57)))</f>
        <v>0</v>
      </c>
      <c r="J57">
        <f t="shared" si="3"/>
        <v>0</v>
      </c>
      <c r="K57">
        <f>SUM($J$2:$J57)</f>
        <v>3</v>
      </c>
    </row>
    <row r="58" spans="1:11" x14ac:dyDescent="0.25">
      <c r="A58">
        <v>57</v>
      </c>
      <c r="B58">
        <f t="shared" si="0"/>
        <v>36</v>
      </c>
      <c r="C58">
        <f t="shared" si="1"/>
        <v>3</v>
      </c>
      <c r="D58" t="str">
        <f>IF(INDEX(REPORTE!$B:$B,$B58)="","",INDEX(REPORTE!$B:$B,$B58))</f>
        <v/>
      </c>
      <c r="E58" t="str">
        <f>IF($D58="","",IFERROR(VLOOKUP($D58,BD_PLANTA!$A:$F,6,0),""))</f>
        <v/>
      </c>
      <c r="F58" t="str">
        <f>INDEX(REPORTE!$D:$D,$B58)</f>
        <v/>
      </c>
      <c r="G58" t="str">
        <f>INDEX(REPORTE!$E:$E,$B58)</f>
        <v/>
      </c>
      <c r="H58" t="str">
        <f t="shared" si="2"/>
        <v>HEXTADUL</v>
      </c>
      <c r="I58">
        <f>CHOOSE($C58,N(INDEX(REPORTE!$F:$F,$B58))+N(INDEX(REPORTE!$G:$G,$B58)),N(INDEX(REPORTE!$H:$H,$B58)),N(INDEX(REPORTE!$I:$I,$B58)))</f>
        <v>0</v>
      </c>
      <c r="J58">
        <f t="shared" si="3"/>
        <v>0</v>
      </c>
      <c r="K58">
        <f>SUM($J$2:$J58)</f>
        <v>3</v>
      </c>
    </row>
    <row r="59" spans="1:11" x14ac:dyDescent="0.25">
      <c r="A59">
        <v>58</v>
      </c>
      <c r="B59">
        <f t="shared" si="0"/>
        <v>37</v>
      </c>
      <c r="C59">
        <f t="shared" si="1"/>
        <v>1</v>
      </c>
      <c r="D59" t="str">
        <f>IF(INDEX(REPORTE!$B:$B,$B59)="","",INDEX(REPORTE!$B:$B,$B59))</f>
        <v/>
      </c>
      <c r="E59" t="str">
        <f>IF($D59="","",IFERROR(VLOOKUP($D59,BD_PLANTA!$A:$F,6,0),""))</f>
        <v/>
      </c>
      <c r="F59" t="str">
        <f>INDEX(REPORTE!$D:$D,$B59)</f>
        <v/>
      </c>
      <c r="G59" t="str">
        <f>INDEX(REPORTE!$E:$E,$B59)</f>
        <v/>
      </c>
      <c r="H59" t="str">
        <f t="shared" si="2"/>
        <v>HEXTREG</v>
      </c>
      <c r="I59">
        <f>CHOOSE($C59,N(INDEX(REPORTE!$F:$F,$B59))+N(INDEX(REPORTE!$G:$G,$B59)),N(INDEX(REPORTE!$H:$H,$B59)),N(INDEX(REPORTE!$I:$I,$B59)))</f>
        <v>0</v>
      </c>
      <c r="J59">
        <f t="shared" si="3"/>
        <v>0</v>
      </c>
      <c r="K59">
        <f>SUM($J$2:$J59)</f>
        <v>3</v>
      </c>
    </row>
    <row r="60" spans="1:11" x14ac:dyDescent="0.25">
      <c r="A60">
        <v>59</v>
      </c>
      <c r="B60">
        <f t="shared" si="0"/>
        <v>37</v>
      </c>
      <c r="C60">
        <f t="shared" si="1"/>
        <v>2</v>
      </c>
      <c r="D60" t="str">
        <f>IF(INDEX(REPORTE!$B:$B,$B60)="","",INDEX(REPORTE!$B:$B,$B60))</f>
        <v/>
      </c>
      <c r="E60" t="str">
        <f>IF($D60="","",IFERROR(VLOOKUP($D60,BD_PLANTA!$A:$F,6,0),""))</f>
        <v/>
      </c>
      <c r="F60" t="str">
        <f>INDEX(REPORTE!$D:$D,$B60)</f>
        <v/>
      </c>
      <c r="G60" t="str">
        <f>INDEX(REPORTE!$E:$E,$B60)</f>
        <v/>
      </c>
      <c r="H60" t="str">
        <f t="shared" si="2"/>
        <v>HEXTJU</v>
      </c>
      <c r="I60">
        <f>CHOOSE($C60,N(INDEX(REPORTE!$F:$F,$B60))+N(INDEX(REPORTE!$G:$G,$B60)),N(INDEX(REPORTE!$H:$H,$B60)),N(INDEX(REPORTE!$I:$I,$B60)))</f>
        <v>0</v>
      </c>
      <c r="J60">
        <f t="shared" si="3"/>
        <v>0</v>
      </c>
      <c r="K60">
        <f>SUM($J$2:$J60)</f>
        <v>3</v>
      </c>
    </row>
    <row r="61" spans="1:11" x14ac:dyDescent="0.25">
      <c r="A61">
        <v>60</v>
      </c>
      <c r="B61">
        <f t="shared" si="0"/>
        <v>37</v>
      </c>
      <c r="C61">
        <f t="shared" si="1"/>
        <v>3</v>
      </c>
      <c r="D61" t="str">
        <f>IF(INDEX(REPORTE!$B:$B,$B61)="","",INDEX(REPORTE!$B:$B,$B61))</f>
        <v/>
      </c>
      <c r="E61" t="str">
        <f>IF($D61="","",IFERROR(VLOOKUP($D61,BD_PLANTA!$A:$F,6,0),""))</f>
        <v/>
      </c>
      <c r="F61" t="str">
        <f>INDEX(REPORTE!$D:$D,$B61)</f>
        <v/>
      </c>
      <c r="G61" t="str">
        <f>INDEX(REPORTE!$E:$E,$B61)</f>
        <v/>
      </c>
      <c r="H61" t="str">
        <f t="shared" si="2"/>
        <v>HEXTADUL</v>
      </c>
      <c r="I61">
        <f>CHOOSE($C61,N(INDEX(REPORTE!$F:$F,$B61))+N(INDEX(REPORTE!$G:$G,$B61)),N(INDEX(REPORTE!$H:$H,$B61)),N(INDEX(REPORTE!$I:$I,$B61)))</f>
        <v>0</v>
      </c>
      <c r="J61">
        <f t="shared" si="3"/>
        <v>0</v>
      </c>
      <c r="K61">
        <f>SUM($J$2:$J61)</f>
        <v>3</v>
      </c>
    </row>
    <row r="62" spans="1:11" x14ac:dyDescent="0.25">
      <c r="A62">
        <v>61</v>
      </c>
      <c r="B62">
        <f t="shared" si="0"/>
        <v>38</v>
      </c>
      <c r="C62">
        <f t="shared" si="1"/>
        <v>1</v>
      </c>
      <c r="D62" t="str">
        <f>IF(INDEX(REPORTE!$B:$B,$B62)="","",INDEX(REPORTE!$B:$B,$B62))</f>
        <v/>
      </c>
      <c r="E62" t="str">
        <f>IF($D62="","",IFERROR(VLOOKUP($D62,BD_PLANTA!$A:$F,6,0),""))</f>
        <v/>
      </c>
      <c r="F62" t="str">
        <f>INDEX(REPORTE!$D:$D,$B62)</f>
        <v/>
      </c>
      <c r="G62" t="str">
        <f>INDEX(REPORTE!$E:$E,$B62)</f>
        <v/>
      </c>
      <c r="H62" t="str">
        <f t="shared" si="2"/>
        <v>HEXTREG</v>
      </c>
      <c r="I62">
        <f>CHOOSE($C62,N(INDEX(REPORTE!$F:$F,$B62))+N(INDEX(REPORTE!$G:$G,$B62)),N(INDEX(REPORTE!$H:$H,$B62)),N(INDEX(REPORTE!$I:$I,$B62)))</f>
        <v>0</v>
      </c>
      <c r="J62">
        <f t="shared" si="3"/>
        <v>0</v>
      </c>
      <c r="K62">
        <f>SUM($J$2:$J62)</f>
        <v>3</v>
      </c>
    </row>
    <row r="63" spans="1:11" x14ac:dyDescent="0.25">
      <c r="A63">
        <v>62</v>
      </c>
      <c r="B63">
        <f t="shared" si="0"/>
        <v>38</v>
      </c>
      <c r="C63">
        <f t="shared" si="1"/>
        <v>2</v>
      </c>
      <c r="D63" t="str">
        <f>IF(INDEX(REPORTE!$B:$B,$B63)="","",INDEX(REPORTE!$B:$B,$B63))</f>
        <v/>
      </c>
      <c r="E63" t="str">
        <f>IF($D63="","",IFERROR(VLOOKUP($D63,BD_PLANTA!$A:$F,6,0),""))</f>
        <v/>
      </c>
      <c r="F63" t="str">
        <f>INDEX(REPORTE!$D:$D,$B63)</f>
        <v/>
      </c>
      <c r="G63" t="str">
        <f>INDEX(REPORTE!$E:$E,$B63)</f>
        <v/>
      </c>
      <c r="H63" t="str">
        <f t="shared" si="2"/>
        <v>HEXTJU</v>
      </c>
      <c r="I63">
        <f>CHOOSE($C63,N(INDEX(REPORTE!$F:$F,$B63))+N(INDEX(REPORTE!$G:$G,$B63)),N(INDEX(REPORTE!$H:$H,$B63)),N(INDEX(REPORTE!$I:$I,$B63)))</f>
        <v>0</v>
      </c>
      <c r="J63">
        <f t="shared" si="3"/>
        <v>0</v>
      </c>
      <c r="K63">
        <f>SUM($J$2:$J63)</f>
        <v>3</v>
      </c>
    </row>
    <row r="64" spans="1:11" x14ac:dyDescent="0.25">
      <c r="A64">
        <v>63</v>
      </c>
      <c r="B64">
        <f t="shared" si="0"/>
        <v>38</v>
      </c>
      <c r="C64">
        <f t="shared" si="1"/>
        <v>3</v>
      </c>
      <c r="D64" t="str">
        <f>IF(INDEX(REPORTE!$B:$B,$B64)="","",INDEX(REPORTE!$B:$B,$B64))</f>
        <v/>
      </c>
      <c r="E64" t="str">
        <f>IF($D64="","",IFERROR(VLOOKUP($D64,BD_PLANTA!$A:$F,6,0),""))</f>
        <v/>
      </c>
      <c r="F64" t="str">
        <f>INDEX(REPORTE!$D:$D,$B64)</f>
        <v/>
      </c>
      <c r="G64" t="str">
        <f>INDEX(REPORTE!$E:$E,$B64)</f>
        <v/>
      </c>
      <c r="H64" t="str">
        <f t="shared" si="2"/>
        <v>HEXTADUL</v>
      </c>
      <c r="I64">
        <f>CHOOSE($C64,N(INDEX(REPORTE!$F:$F,$B64))+N(INDEX(REPORTE!$G:$G,$B64)),N(INDEX(REPORTE!$H:$H,$B64)),N(INDEX(REPORTE!$I:$I,$B64)))</f>
        <v>0</v>
      </c>
      <c r="J64">
        <f t="shared" si="3"/>
        <v>0</v>
      </c>
      <c r="K64">
        <f>SUM($J$2:$J64)</f>
        <v>3</v>
      </c>
    </row>
    <row r="65" spans="1:11" x14ac:dyDescent="0.25">
      <c r="A65">
        <v>64</v>
      </c>
      <c r="B65">
        <f t="shared" si="0"/>
        <v>39</v>
      </c>
      <c r="C65">
        <f t="shared" si="1"/>
        <v>1</v>
      </c>
      <c r="D65" t="str">
        <f>IF(INDEX(REPORTE!$B:$B,$B65)="","",INDEX(REPORTE!$B:$B,$B65))</f>
        <v/>
      </c>
      <c r="E65" t="str">
        <f>IF($D65="","",IFERROR(VLOOKUP($D65,BD_PLANTA!$A:$F,6,0),""))</f>
        <v/>
      </c>
      <c r="F65" t="str">
        <f>INDEX(REPORTE!$D:$D,$B65)</f>
        <v/>
      </c>
      <c r="G65" t="str">
        <f>INDEX(REPORTE!$E:$E,$B65)</f>
        <v/>
      </c>
      <c r="H65" t="str">
        <f t="shared" si="2"/>
        <v>HEXTREG</v>
      </c>
      <c r="I65">
        <f>CHOOSE($C65,N(INDEX(REPORTE!$F:$F,$B65))+N(INDEX(REPORTE!$G:$G,$B65)),N(INDEX(REPORTE!$H:$H,$B65)),N(INDEX(REPORTE!$I:$I,$B65)))</f>
        <v>0</v>
      </c>
      <c r="J65">
        <f t="shared" si="3"/>
        <v>0</v>
      </c>
      <c r="K65">
        <f>SUM($J$2:$J65)</f>
        <v>3</v>
      </c>
    </row>
    <row r="66" spans="1:11" x14ac:dyDescent="0.25">
      <c r="A66">
        <v>65</v>
      </c>
      <c r="B66">
        <f t="shared" ref="B66:B129" si="4">18+INT(($A66-1)/3)</f>
        <v>39</v>
      </c>
      <c r="C66">
        <f t="shared" ref="C66:C129" si="5">MOD($A66-1,3)+1</f>
        <v>2</v>
      </c>
      <c r="D66" t="str">
        <f>IF(INDEX(REPORTE!$B:$B,$B66)="","",INDEX(REPORTE!$B:$B,$B66))</f>
        <v/>
      </c>
      <c r="E66" t="str">
        <f>IF($D66="","",IFERROR(VLOOKUP($D66,BD_PLANTA!$A:$F,6,0),""))</f>
        <v/>
      </c>
      <c r="F66" t="str">
        <f>INDEX(REPORTE!$D:$D,$B66)</f>
        <v/>
      </c>
      <c r="G66" t="str">
        <f>INDEX(REPORTE!$E:$E,$B66)</f>
        <v/>
      </c>
      <c r="H66" t="str">
        <f t="shared" ref="H66:H129" si="6">CHOOSE($C66,"HEXTREG","HEXTJU","HEXTADUL")</f>
        <v>HEXTJU</v>
      </c>
      <c r="I66">
        <f>CHOOSE($C66,N(INDEX(REPORTE!$F:$F,$B66))+N(INDEX(REPORTE!$G:$G,$B66)),N(INDEX(REPORTE!$H:$H,$B66)),N(INDEX(REPORTE!$I:$I,$B66)))</f>
        <v>0</v>
      </c>
      <c r="J66">
        <f t="shared" ref="J66:J129" si="7">IF(AND($D66&lt;&gt;"",$I66&gt;0),1,0)</f>
        <v>0</v>
      </c>
      <c r="K66">
        <f>SUM($J$2:$J66)</f>
        <v>3</v>
      </c>
    </row>
    <row r="67" spans="1:11" x14ac:dyDescent="0.25">
      <c r="A67">
        <v>66</v>
      </c>
      <c r="B67">
        <f t="shared" si="4"/>
        <v>39</v>
      </c>
      <c r="C67">
        <f t="shared" si="5"/>
        <v>3</v>
      </c>
      <c r="D67" t="str">
        <f>IF(INDEX(REPORTE!$B:$B,$B67)="","",INDEX(REPORTE!$B:$B,$B67))</f>
        <v/>
      </c>
      <c r="E67" t="str">
        <f>IF($D67="","",IFERROR(VLOOKUP($D67,BD_PLANTA!$A:$F,6,0),""))</f>
        <v/>
      </c>
      <c r="F67" t="str">
        <f>INDEX(REPORTE!$D:$D,$B67)</f>
        <v/>
      </c>
      <c r="G67" t="str">
        <f>INDEX(REPORTE!$E:$E,$B67)</f>
        <v/>
      </c>
      <c r="H67" t="str">
        <f t="shared" si="6"/>
        <v>HEXTADUL</v>
      </c>
      <c r="I67">
        <f>CHOOSE($C67,N(INDEX(REPORTE!$F:$F,$B67))+N(INDEX(REPORTE!$G:$G,$B67)),N(INDEX(REPORTE!$H:$H,$B67)),N(INDEX(REPORTE!$I:$I,$B67)))</f>
        <v>0</v>
      </c>
      <c r="J67">
        <f t="shared" si="7"/>
        <v>0</v>
      </c>
      <c r="K67">
        <f>SUM($J$2:$J67)</f>
        <v>3</v>
      </c>
    </row>
    <row r="68" spans="1:11" x14ac:dyDescent="0.25">
      <c r="A68">
        <v>67</v>
      </c>
      <c r="B68">
        <f t="shared" si="4"/>
        <v>40</v>
      </c>
      <c r="C68">
        <f t="shared" si="5"/>
        <v>1</v>
      </c>
      <c r="D68" t="str">
        <f>IF(INDEX(REPORTE!$B:$B,$B68)="","",INDEX(REPORTE!$B:$B,$B68))</f>
        <v/>
      </c>
      <c r="E68" t="str">
        <f>IF($D68="","",IFERROR(VLOOKUP($D68,BD_PLANTA!$A:$F,6,0),""))</f>
        <v/>
      </c>
      <c r="F68" t="str">
        <f>INDEX(REPORTE!$D:$D,$B68)</f>
        <v/>
      </c>
      <c r="G68" t="str">
        <f>INDEX(REPORTE!$E:$E,$B68)</f>
        <v/>
      </c>
      <c r="H68" t="str">
        <f t="shared" si="6"/>
        <v>HEXTREG</v>
      </c>
      <c r="I68">
        <f>CHOOSE($C68,N(INDEX(REPORTE!$F:$F,$B68))+N(INDEX(REPORTE!$G:$G,$B68)),N(INDEX(REPORTE!$H:$H,$B68)),N(INDEX(REPORTE!$I:$I,$B68)))</f>
        <v>0</v>
      </c>
      <c r="J68">
        <f t="shared" si="7"/>
        <v>0</v>
      </c>
      <c r="K68">
        <f>SUM($J$2:$J68)</f>
        <v>3</v>
      </c>
    </row>
    <row r="69" spans="1:11" x14ac:dyDescent="0.25">
      <c r="A69">
        <v>68</v>
      </c>
      <c r="B69">
        <f t="shared" si="4"/>
        <v>40</v>
      </c>
      <c r="C69">
        <f t="shared" si="5"/>
        <v>2</v>
      </c>
      <c r="D69" t="str">
        <f>IF(INDEX(REPORTE!$B:$B,$B69)="","",INDEX(REPORTE!$B:$B,$B69))</f>
        <v/>
      </c>
      <c r="E69" t="str">
        <f>IF($D69="","",IFERROR(VLOOKUP($D69,BD_PLANTA!$A:$F,6,0),""))</f>
        <v/>
      </c>
      <c r="F69" t="str">
        <f>INDEX(REPORTE!$D:$D,$B69)</f>
        <v/>
      </c>
      <c r="G69" t="str">
        <f>INDEX(REPORTE!$E:$E,$B69)</f>
        <v/>
      </c>
      <c r="H69" t="str">
        <f t="shared" si="6"/>
        <v>HEXTJU</v>
      </c>
      <c r="I69">
        <f>CHOOSE($C69,N(INDEX(REPORTE!$F:$F,$B69))+N(INDEX(REPORTE!$G:$G,$B69)),N(INDEX(REPORTE!$H:$H,$B69)),N(INDEX(REPORTE!$I:$I,$B69)))</f>
        <v>0</v>
      </c>
      <c r="J69">
        <f t="shared" si="7"/>
        <v>0</v>
      </c>
      <c r="K69">
        <f>SUM($J$2:$J69)</f>
        <v>3</v>
      </c>
    </row>
    <row r="70" spans="1:11" x14ac:dyDescent="0.25">
      <c r="A70">
        <v>69</v>
      </c>
      <c r="B70">
        <f t="shared" si="4"/>
        <v>40</v>
      </c>
      <c r="C70">
        <f t="shared" si="5"/>
        <v>3</v>
      </c>
      <c r="D70" t="str">
        <f>IF(INDEX(REPORTE!$B:$B,$B70)="","",INDEX(REPORTE!$B:$B,$B70))</f>
        <v/>
      </c>
      <c r="E70" t="str">
        <f>IF($D70="","",IFERROR(VLOOKUP($D70,BD_PLANTA!$A:$F,6,0),""))</f>
        <v/>
      </c>
      <c r="F70" t="str">
        <f>INDEX(REPORTE!$D:$D,$B70)</f>
        <v/>
      </c>
      <c r="G70" t="str">
        <f>INDEX(REPORTE!$E:$E,$B70)</f>
        <v/>
      </c>
      <c r="H70" t="str">
        <f t="shared" si="6"/>
        <v>HEXTADUL</v>
      </c>
      <c r="I70">
        <f>CHOOSE($C70,N(INDEX(REPORTE!$F:$F,$B70))+N(INDEX(REPORTE!$G:$G,$B70)),N(INDEX(REPORTE!$H:$H,$B70)),N(INDEX(REPORTE!$I:$I,$B70)))</f>
        <v>0</v>
      </c>
      <c r="J70">
        <f t="shared" si="7"/>
        <v>0</v>
      </c>
      <c r="K70">
        <f>SUM($J$2:$J70)</f>
        <v>3</v>
      </c>
    </row>
    <row r="71" spans="1:11" x14ac:dyDescent="0.25">
      <c r="A71">
        <v>70</v>
      </c>
      <c r="B71">
        <f t="shared" si="4"/>
        <v>41</v>
      </c>
      <c r="C71">
        <f t="shared" si="5"/>
        <v>1</v>
      </c>
      <c r="D71" t="str">
        <f>IF(INDEX(REPORTE!$B:$B,$B71)="","",INDEX(REPORTE!$B:$B,$B71))</f>
        <v/>
      </c>
      <c r="E71" t="str">
        <f>IF($D71="","",IFERROR(VLOOKUP($D71,BD_PLANTA!$A:$F,6,0),""))</f>
        <v/>
      </c>
      <c r="F71" t="str">
        <f>INDEX(REPORTE!$D:$D,$B71)</f>
        <v/>
      </c>
      <c r="G71" t="str">
        <f>INDEX(REPORTE!$E:$E,$B71)</f>
        <v/>
      </c>
      <c r="H71" t="str">
        <f t="shared" si="6"/>
        <v>HEXTREG</v>
      </c>
      <c r="I71">
        <f>CHOOSE($C71,N(INDEX(REPORTE!$F:$F,$B71))+N(INDEX(REPORTE!$G:$G,$B71)),N(INDEX(REPORTE!$H:$H,$B71)),N(INDEX(REPORTE!$I:$I,$B71)))</f>
        <v>0</v>
      </c>
      <c r="J71">
        <f t="shared" si="7"/>
        <v>0</v>
      </c>
      <c r="K71">
        <f>SUM($J$2:$J71)</f>
        <v>3</v>
      </c>
    </row>
    <row r="72" spans="1:11" x14ac:dyDescent="0.25">
      <c r="A72">
        <v>71</v>
      </c>
      <c r="B72">
        <f t="shared" si="4"/>
        <v>41</v>
      </c>
      <c r="C72">
        <f t="shared" si="5"/>
        <v>2</v>
      </c>
      <c r="D72" t="str">
        <f>IF(INDEX(REPORTE!$B:$B,$B72)="","",INDEX(REPORTE!$B:$B,$B72))</f>
        <v/>
      </c>
      <c r="E72" t="str">
        <f>IF($D72="","",IFERROR(VLOOKUP($D72,BD_PLANTA!$A:$F,6,0),""))</f>
        <v/>
      </c>
      <c r="F72" t="str">
        <f>INDEX(REPORTE!$D:$D,$B72)</f>
        <v/>
      </c>
      <c r="G72" t="str">
        <f>INDEX(REPORTE!$E:$E,$B72)</f>
        <v/>
      </c>
      <c r="H72" t="str">
        <f t="shared" si="6"/>
        <v>HEXTJU</v>
      </c>
      <c r="I72">
        <f>CHOOSE($C72,N(INDEX(REPORTE!$F:$F,$B72))+N(INDEX(REPORTE!$G:$G,$B72)),N(INDEX(REPORTE!$H:$H,$B72)),N(INDEX(REPORTE!$I:$I,$B72)))</f>
        <v>0</v>
      </c>
      <c r="J72">
        <f t="shared" si="7"/>
        <v>0</v>
      </c>
      <c r="K72">
        <f>SUM($J$2:$J72)</f>
        <v>3</v>
      </c>
    </row>
    <row r="73" spans="1:11" x14ac:dyDescent="0.25">
      <c r="A73">
        <v>72</v>
      </c>
      <c r="B73">
        <f t="shared" si="4"/>
        <v>41</v>
      </c>
      <c r="C73">
        <f t="shared" si="5"/>
        <v>3</v>
      </c>
      <c r="D73" t="str">
        <f>IF(INDEX(REPORTE!$B:$B,$B73)="","",INDEX(REPORTE!$B:$B,$B73))</f>
        <v/>
      </c>
      <c r="E73" t="str">
        <f>IF($D73="","",IFERROR(VLOOKUP($D73,BD_PLANTA!$A:$F,6,0),""))</f>
        <v/>
      </c>
      <c r="F73" t="str">
        <f>INDEX(REPORTE!$D:$D,$B73)</f>
        <v/>
      </c>
      <c r="G73" t="str">
        <f>INDEX(REPORTE!$E:$E,$B73)</f>
        <v/>
      </c>
      <c r="H73" t="str">
        <f t="shared" si="6"/>
        <v>HEXTADUL</v>
      </c>
      <c r="I73">
        <f>CHOOSE($C73,N(INDEX(REPORTE!$F:$F,$B73))+N(INDEX(REPORTE!$G:$G,$B73)),N(INDEX(REPORTE!$H:$H,$B73)),N(INDEX(REPORTE!$I:$I,$B73)))</f>
        <v>0</v>
      </c>
      <c r="J73">
        <f t="shared" si="7"/>
        <v>0</v>
      </c>
      <c r="K73">
        <f>SUM($J$2:$J73)</f>
        <v>3</v>
      </c>
    </row>
    <row r="74" spans="1:11" x14ac:dyDescent="0.25">
      <c r="A74">
        <v>73</v>
      </c>
      <c r="B74">
        <f t="shared" si="4"/>
        <v>42</v>
      </c>
      <c r="C74">
        <f t="shared" si="5"/>
        <v>1</v>
      </c>
      <c r="D74" t="str">
        <f>IF(INDEX(REPORTE!$B:$B,$B74)="","",INDEX(REPORTE!$B:$B,$B74))</f>
        <v/>
      </c>
      <c r="E74" t="str">
        <f>IF($D74="","",IFERROR(VLOOKUP($D74,BD_PLANTA!$A:$F,6,0),""))</f>
        <v/>
      </c>
      <c r="F74" t="str">
        <f>INDEX(REPORTE!$D:$D,$B74)</f>
        <v/>
      </c>
      <c r="G74" t="str">
        <f>INDEX(REPORTE!$E:$E,$B74)</f>
        <v/>
      </c>
      <c r="H74" t="str">
        <f t="shared" si="6"/>
        <v>HEXTREG</v>
      </c>
      <c r="I74">
        <f>CHOOSE($C74,N(INDEX(REPORTE!$F:$F,$B74))+N(INDEX(REPORTE!$G:$G,$B74)),N(INDEX(REPORTE!$H:$H,$B74)),N(INDEX(REPORTE!$I:$I,$B74)))</f>
        <v>0</v>
      </c>
      <c r="J74">
        <f t="shared" si="7"/>
        <v>0</v>
      </c>
      <c r="K74">
        <f>SUM($J$2:$J74)</f>
        <v>3</v>
      </c>
    </row>
    <row r="75" spans="1:11" x14ac:dyDescent="0.25">
      <c r="A75">
        <v>74</v>
      </c>
      <c r="B75">
        <f t="shared" si="4"/>
        <v>42</v>
      </c>
      <c r="C75">
        <f t="shared" si="5"/>
        <v>2</v>
      </c>
      <c r="D75" t="str">
        <f>IF(INDEX(REPORTE!$B:$B,$B75)="","",INDEX(REPORTE!$B:$B,$B75))</f>
        <v/>
      </c>
      <c r="E75" t="str">
        <f>IF($D75="","",IFERROR(VLOOKUP($D75,BD_PLANTA!$A:$F,6,0),""))</f>
        <v/>
      </c>
      <c r="F75" t="str">
        <f>INDEX(REPORTE!$D:$D,$B75)</f>
        <v/>
      </c>
      <c r="G75" t="str">
        <f>INDEX(REPORTE!$E:$E,$B75)</f>
        <v/>
      </c>
      <c r="H75" t="str">
        <f t="shared" si="6"/>
        <v>HEXTJU</v>
      </c>
      <c r="I75">
        <f>CHOOSE($C75,N(INDEX(REPORTE!$F:$F,$B75))+N(INDEX(REPORTE!$G:$G,$B75)),N(INDEX(REPORTE!$H:$H,$B75)),N(INDEX(REPORTE!$I:$I,$B75)))</f>
        <v>0</v>
      </c>
      <c r="J75">
        <f t="shared" si="7"/>
        <v>0</v>
      </c>
      <c r="K75">
        <f>SUM($J$2:$J75)</f>
        <v>3</v>
      </c>
    </row>
    <row r="76" spans="1:11" x14ac:dyDescent="0.25">
      <c r="A76">
        <v>75</v>
      </c>
      <c r="B76">
        <f t="shared" si="4"/>
        <v>42</v>
      </c>
      <c r="C76">
        <f t="shared" si="5"/>
        <v>3</v>
      </c>
      <c r="D76" t="str">
        <f>IF(INDEX(REPORTE!$B:$B,$B76)="","",INDEX(REPORTE!$B:$B,$B76))</f>
        <v/>
      </c>
      <c r="E76" t="str">
        <f>IF($D76="","",IFERROR(VLOOKUP($D76,BD_PLANTA!$A:$F,6,0),""))</f>
        <v/>
      </c>
      <c r="F76" t="str">
        <f>INDEX(REPORTE!$D:$D,$B76)</f>
        <v/>
      </c>
      <c r="G76" t="str">
        <f>INDEX(REPORTE!$E:$E,$B76)</f>
        <v/>
      </c>
      <c r="H76" t="str">
        <f t="shared" si="6"/>
        <v>HEXTADUL</v>
      </c>
      <c r="I76">
        <f>CHOOSE($C76,N(INDEX(REPORTE!$F:$F,$B76))+N(INDEX(REPORTE!$G:$G,$B76)),N(INDEX(REPORTE!$H:$H,$B76)),N(INDEX(REPORTE!$I:$I,$B76)))</f>
        <v>0</v>
      </c>
      <c r="J76">
        <f t="shared" si="7"/>
        <v>0</v>
      </c>
      <c r="K76">
        <f>SUM($J$2:$J76)</f>
        <v>3</v>
      </c>
    </row>
    <row r="77" spans="1:11" x14ac:dyDescent="0.25">
      <c r="A77">
        <v>76</v>
      </c>
      <c r="B77">
        <f t="shared" si="4"/>
        <v>43</v>
      </c>
      <c r="C77">
        <f t="shared" si="5"/>
        <v>1</v>
      </c>
      <c r="D77" t="str">
        <f>IF(INDEX(REPORTE!$B:$B,$B77)="","",INDEX(REPORTE!$B:$B,$B77))</f>
        <v/>
      </c>
      <c r="E77" t="str">
        <f>IF($D77="","",IFERROR(VLOOKUP($D77,BD_PLANTA!$A:$F,6,0),""))</f>
        <v/>
      </c>
      <c r="F77" t="str">
        <f>INDEX(REPORTE!$D:$D,$B77)</f>
        <v/>
      </c>
      <c r="G77" t="str">
        <f>INDEX(REPORTE!$E:$E,$B77)</f>
        <v/>
      </c>
      <c r="H77" t="str">
        <f t="shared" si="6"/>
        <v>HEXTREG</v>
      </c>
      <c r="I77">
        <f>CHOOSE($C77,N(INDEX(REPORTE!$F:$F,$B77))+N(INDEX(REPORTE!$G:$G,$B77)),N(INDEX(REPORTE!$H:$H,$B77)),N(INDEX(REPORTE!$I:$I,$B77)))</f>
        <v>0</v>
      </c>
      <c r="J77">
        <f t="shared" si="7"/>
        <v>0</v>
      </c>
      <c r="K77">
        <f>SUM($J$2:$J77)</f>
        <v>3</v>
      </c>
    </row>
    <row r="78" spans="1:11" x14ac:dyDescent="0.25">
      <c r="A78">
        <v>77</v>
      </c>
      <c r="B78">
        <f t="shared" si="4"/>
        <v>43</v>
      </c>
      <c r="C78">
        <f t="shared" si="5"/>
        <v>2</v>
      </c>
      <c r="D78" t="str">
        <f>IF(INDEX(REPORTE!$B:$B,$B78)="","",INDEX(REPORTE!$B:$B,$B78))</f>
        <v/>
      </c>
      <c r="E78" t="str">
        <f>IF($D78="","",IFERROR(VLOOKUP($D78,BD_PLANTA!$A:$F,6,0),""))</f>
        <v/>
      </c>
      <c r="F78" t="str">
        <f>INDEX(REPORTE!$D:$D,$B78)</f>
        <v/>
      </c>
      <c r="G78" t="str">
        <f>INDEX(REPORTE!$E:$E,$B78)</f>
        <v/>
      </c>
      <c r="H78" t="str">
        <f t="shared" si="6"/>
        <v>HEXTJU</v>
      </c>
      <c r="I78">
        <f>CHOOSE($C78,N(INDEX(REPORTE!$F:$F,$B78))+N(INDEX(REPORTE!$G:$G,$B78)),N(INDEX(REPORTE!$H:$H,$B78)),N(INDEX(REPORTE!$I:$I,$B78)))</f>
        <v>0</v>
      </c>
      <c r="J78">
        <f t="shared" si="7"/>
        <v>0</v>
      </c>
      <c r="K78">
        <f>SUM($J$2:$J78)</f>
        <v>3</v>
      </c>
    </row>
    <row r="79" spans="1:11" x14ac:dyDescent="0.25">
      <c r="A79">
        <v>78</v>
      </c>
      <c r="B79">
        <f t="shared" si="4"/>
        <v>43</v>
      </c>
      <c r="C79">
        <f t="shared" si="5"/>
        <v>3</v>
      </c>
      <c r="D79" t="str">
        <f>IF(INDEX(REPORTE!$B:$B,$B79)="","",INDEX(REPORTE!$B:$B,$B79))</f>
        <v/>
      </c>
      <c r="E79" t="str">
        <f>IF($D79="","",IFERROR(VLOOKUP($D79,BD_PLANTA!$A:$F,6,0),""))</f>
        <v/>
      </c>
      <c r="F79" t="str">
        <f>INDEX(REPORTE!$D:$D,$B79)</f>
        <v/>
      </c>
      <c r="G79" t="str">
        <f>INDEX(REPORTE!$E:$E,$B79)</f>
        <v/>
      </c>
      <c r="H79" t="str">
        <f t="shared" si="6"/>
        <v>HEXTADUL</v>
      </c>
      <c r="I79">
        <f>CHOOSE($C79,N(INDEX(REPORTE!$F:$F,$B79))+N(INDEX(REPORTE!$G:$G,$B79)),N(INDEX(REPORTE!$H:$H,$B79)),N(INDEX(REPORTE!$I:$I,$B79)))</f>
        <v>0</v>
      </c>
      <c r="J79">
        <f t="shared" si="7"/>
        <v>0</v>
      </c>
      <c r="K79">
        <f>SUM($J$2:$J79)</f>
        <v>3</v>
      </c>
    </row>
    <row r="80" spans="1:11" x14ac:dyDescent="0.25">
      <c r="A80">
        <v>79</v>
      </c>
      <c r="B80">
        <f t="shared" si="4"/>
        <v>44</v>
      </c>
      <c r="C80">
        <f t="shared" si="5"/>
        <v>1</v>
      </c>
      <c r="D80" t="str">
        <f>IF(INDEX(REPORTE!$B:$B,$B80)="","",INDEX(REPORTE!$B:$B,$B80))</f>
        <v/>
      </c>
      <c r="E80" t="str">
        <f>IF($D80="","",IFERROR(VLOOKUP($D80,BD_PLANTA!$A:$F,6,0),""))</f>
        <v/>
      </c>
      <c r="F80" t="str">
        <f>INDEX(REPORTE!$D:$D,$B80)</f>
        <v/>
      </c>
      <c r="G80" t="str">
        <f>INDEX(REPORTE!$E:$E,$B80)</f>
        <v/>
      </c>
      <c r="H80" t="str">
        <f t="shared" si="6"/>
        <v>HEXTREG</v>
      </c>
      <c r="I80">
        <f>CHOOSE($C80,N(INDEX(REPORTE!$F:$F,$B80))+N(INDEX(REPORTE!$G:$G,$B80)),N(INDEX(REPORTE!$H:$H,$B80)),N(INDEX(REPORTE!$I:$I,$B80)))</f>
        <v>0</v>
      </c>
      <c r="J80">
        <f t="shared" si="7"/>
        <v>0</v>
      </c>
      <c r="K80">
        <f>SUM($J$2:$J80)</f>
        <v>3</v>
      </c>
    </row>
    <row r="81" spans="1:11" x14ac:dyDescent="0.25">
      <c r="A81">
        <v>80</v>
      </c>
      <c r="B81">
        <f t="shared" si="4"/>
        <v>44</v>
      </c>
      <c r="C81">
        <f t="shared" si="5"/>
        <v>2</v>
      </c>
      <c r="D81" t="str">
        <f>IF(INDEX(REPORTE!$B:$B,$B81)="","",INDEX(REPORTE!$B:$B,$B81))</f>
        <v/>
      </c>
      <c r="E81" t="str">
        <f>IF($D81="","",IFERROR(VLOOKUP($D81,BD_PLANTA!$A:$F,6,0),""))</f>
        <v/>
      </c>
      <c r="F81" t="str">
        <f>INDEX(REPORTE!$D:$D,$B81)</f>
        <v/>
      </c>
      <c r="G81" t="str">
        <f>INDEX(REPORTE!$E:$E,$B81)</f>
        <v/>
      </c>
      <c r="H81" t="str">
        <f t="shared" si="6"/>
        <v>HEXTJU</v>
      </c>
      <c r="I81">
        <f>CHOOSE($C81,N(INDEX(REPORTE!$F:$F,$B81))+N(INDEX(REPORTE!$G:$G,$B81)),N(INDEX(REPORTE!$H:$H,$B81)),N(INDEX(REPORTE!$I:$I,$B81)))</f>
        <v>0</v>
      </c>
      <c r="J81">
        <f t="shared" si="7"/>
        <v>0</v>
      </c>
      <c r="K81">
        <f>SUM($J$2:$J81)</f>
        <v>3</v>
      </c>
    </row>
    <row r="82" spans="1:11" x14ac:dyDescent="0.25">
      <c r="A82">
        <v>81</v>
      </c>
      <c r="B82">
        <f t="shared" si="4"/>
        <v>44</v>
      </c>
      <c r="C82">
        <f t="shared" si="5"/>
        <v>3</v>
      </c>
      <c r="D82" t="str">
        <f>IF(INDEX(REPORTE!$B:$B,$B82)="","",INDEX(REPORTE!$B:$B,$B82))</f>
        <v/>
      </c>
      <c r="E82" t="str">
        <f>IF($D82="","",IFERROR(VLOOKUP($D82,BD_PLANTA!$A:$F,6,0),""))</f>
        <v/>
      </c>
      <c r="F82" t="str">
        <f>INDEX(REPORTE!$D:$D,$B82)</f>
        <v/>
      </c>
      <c r="G82" t="str">
        <f>INDEX(REPORTE!$E:$E,$B82)</f>
        <v/>
      </c>
      <c r="H82" t="str">
        <f t="shared" si="6"/>
        <v>HEXTADUL</v>
      </c>
      <c r="I82">
        <f>CHOOSE($C82,N(INDEX(REPORTE!$F:$F,$B82))+N(INDEX(REPORTE!$G:$G,$B82)),N(INDEX(REPORTE!$H:$H,$B82)),N(INDEX(REPORTE!$I:$I,$B82)))</f>
        <v>0</v>
      </c>
      <c r="J82">
        <f t="shared" si="7"/>
        <v>0</v>
      </c>
      <c r="K82">
        <f>SUM($J$2:$J82)</f>
        <v>3</v>
      </c>
    </row>
    <row r="83" spans="1:11" x14ac:dyDescent="0.25">
      <c r="A83">
        <v>82</v>
      </c>
      <c r="B83">
        <f t="shared" si="4"/>
        <v>45</v>
      </c>
      <c r="C83">
        <f t="shared" si="5"/>
        <v>1</v>
      </c>
      <c r="D83" t="str">
        <f>IF(INDEX(REPORTE!$B:$B,$B83)="","",INDEX(REPORTE!$B:$B,$B83))</f>
        <v/>
      </c>
      <c r="E83" t="str">
        <f>IF($D83="","",IFERROR(VLOOKUP($D83,BD_PLANTA!$A:$F,6,0),""))</f>
        <v/>
      </c>
      <c r="F83" t="str">
        <f>INDEX(REPORTE!$D:$D,$B83)</f>
        <v/>
      </c>
      <c r="G83" t="str">
        <f>INDEX(REPORTE!$E:$E,$B83)</f>
        <v/>
      </c>
      <c r="H83" t="str">
        <f t="shared" si="6"/>
        <v>HEXTREG</v>
      </c>
      <c r="I83">
        <f>CHOOSE($C83,N(INDEX(REPORTE!$F:$F,$B83))+N(INDEX(REPORTE!$G:$G,$B83)),N(INDEX(REPORTE!$H:$H,$B83)),N(INDEX(REPORTE!$I:$I,$B83)))</f>
        <v>0</v>
      </c>
      <c r="J83">
        <f t="shared" si="7"/>
        <v>0</v>
      </c>
      <c r="K83">
        <f>SUM($J$2:$J83)</f>
        <v>3</v>
      </c>
    </row>
    <row r="84" spans="1:11" x14ac:dyDescent="0.25">
      <c r="A84">
        <v>83</v>
      </c>
      <c r="B84">
        <f t="shared" si="4"/>
        <v>45</v>
      </c>
      <c r="C84">
        <f t="shared" si="5"/>
        <v>2</v>
      </c>
      <c r="D84" t="str">
        <f>IF(INDEX(REPORTE!$B:$B,$B84)="","",INDEX(REPORTE!$B:$B,$B84))</f>
        <v/>
      </c>
      <c r="E84" t="str">
        <f>IF($D84="","",IFERROR(VLOOKUP($D84,BD_PLANTA!$A:$F,6,0),""))</f>
        <v/>
      </c>
      <c r="F84" t="str">
        <f>INDEX(REPORTE!$D:$D,$B84)</f>
        <v/>
      </c>
      <c r="G84" t="str">
        <f>INDEX(REPORTE!$E:$E,$B84)</f>
        <v/>
      </c>
      <c r="H84" t="str">
        <f t="shared" si="6"/>
        <v>HEXTJU</v>
      </c>
      <c r="I84">
        <f>CHOOSE($C84,N(INDEX(REPORTE!$F:$F,$B84))+N(INDEX(REPORTE!$G:$G,$B84)),N(INDEX(REPORTE!$H:$H,$B84)),N(INDEX(REPORTE!$I:$I,$B84)))</f>
        <v>0</v>
      </c>
      <c r="J84">
        <f t="shared" si="7"/>
        <v>0</v>
      </c>
      <c r="K84">
        <f>SUM($J$2:$J84)</f>
        <v>3</v>
      </c>
    </row>
    <row r="85" spans="1:11" x14ac:dyDescent="0.25">
      <c r="A85">
        <v>84</v>
      </c>
      <c r="B85">
        <f t="shared" si="4"/>
        <v>45</v>
      </c>
      <c r="C85">
        <f t="shared" si="5"/>
        <v>3</v>
      </c>
      <c r="D85" t="str">
        <f>IF(INDEX(REPORTE!$B:$B,$B85)="","",INDEX(REPORTE!$B:$B,$B85))</f>
        <v/>
      </c>
      <c r="E85" t="str">
        <f>IF($D85="","",IFERROR(VLOOKUP($D85,BD_PLANTA!$A:$F,6,0),""))</f>
        <v/>
      </c>
      <c r="F85" t="str">
        <f>INDEX(REPORTE!$D:$D,$B85)</f>
        <v/>
      </c>
      <c r="G85" t="str">
        <f>INDEX(REPORTE!$E:$E,$B85)</f>
        <v/>
      </c>
      <c r="H85" t="str">
        <f t="shared" si="6"/>
        <v>HEXTADUL</v>
      </c>
      <c r="I85">
        <f>CHOOSE($C85,N(INDEX(REPORTE!$F:$F,$B85))+N(INDEX(REPORTE!$G:$G,$B85)),N(INDEX(REPORTE!$H:$H,$B85)),N(INDEX(REPORTE!$I:$I,$B85)))</f>
        <v>0</v>
      </c>
      <c r="J85">
        <f t="shared" si="7"/>
        <v>0</v>
      </c>
      <c r="K85">
        <f>SUM($J$2:$J85)</f>
        <v>3</v>
      </c>
    </row>
    <row r="86" spans="1:11" x14ac:dyDescent="0.25">
      <c r="A86">
        <v>85</v>
      </c>
      <c r="B86">
        <f t="shared" si="4"/>
        <v>46</v>
      </c>
      <c r="C86">
        <f t="shared" si="5"/>
        <v>1</v>
      </c>
      <c r="D86" t="str">
        <f>IF(INDEX(REPORTE!$B:$B,$B86)="","",INDEX(REPORTE!$B:$B,$B86))</f>
        <v/>
      </c>
      <c r="E86" t="str">
        <f>IF($D86="","",IFERROR(VLOOKUP($D86,BD_PLANTA!$A:$F,6,0),""))</f>
        <v/>
      </c>
      <c r="F86" t="str">
        <f>INDEX(REPORTE!$D:$D,$B86)</f>
        <v/>
      </c>
      <c r="G86" t="str">
        <f>INDEX(REPORTE!$E:$E,$B86)</f>
        <v/>
      </c>
      <c r="H86" t="str">
        <f t="shared" si="6"/>
        <v>HEXTREG</v>
      </c>
      <c r="I86">
        <f>CHOOSE($C86,N(INDEX(REPORTE!$F:$F,$B86))+N(INDEX(REPORTE!$G:$G,$B86)),N(INDEX(REPORTE!$H:$H,$B86)),N(INDEX(REPORTE!$I:$I,$B86)))</f>
        <v>0</v>
      </c>
      <c r="J86">
        <f t="shared" si="7"/>
        <v>0</v>
      </c>
      <c r="K86">
        <f>SUM($J$2:$J86)</f>
        <v>3</v>
      </c>
    </row>
    <row r="87" spans="1:11" x14ac:dyDescent="0.25">
      <c r="A87">
        <v>86</v>
      </c>
      <c r="B87">
        <f t="shared" si="4"/>
        <v>46</v>
      </c>
      <c r="C87">
        <f t="shared" si="5"/>
        <v>2</v>
      </c>
      <c r="D87" t="str">
        <f>IF(INDEX(REPORTE!$B:$B,$B87)="","",INDEX(REPORTE!$B:$B,$B87))</f>
        <v/>
      </c>
      <c r="E87" t="str">
        <f>IF($D87="","",IFERROR(VLOOKUP($D87,BD_PLANTA!$A:$F,6,0),""))</f>
        <v/>
      </c>
      <c r="F87" t="str">
        <f>INDEX(REPORTE!$D:$D,$B87)</f>
        <v/>
      </c>
      <c r="G87" t="str">
        <f>INDEX(REPORTE!$E:$E,$B87)</f>
        <v/>
      </c>
      <c r="H87" t="str">
        <f t="shared" si="6"/>
        <v>HEXTJU</v>
      </c>
      <c r="I87">
        <f>CHOOSE($C87,N(INDEX(REPORTE!$F:$F,$B87))+N(INDEX(REPORTE!$G:$G,$B87)),N(INDEX(REPORTE!$H:$H,$B87)),N(INDEX(REPORTE!$I:$I,$B87)))</f>
        <v>0</v>
      </c>
      <c r="J87">
        <f t="shared" si="7"/>
        <v>0</v>
      </c>
      <c r="K87">
        <f>SUM($J$2:$J87)</f>
        <v>3</v>
      </c>
    </row>
    <row r="88" spans="1:11" x14ac:dyDescent="0.25">
      <c r="A88">
        <v>87</v>
      </c>
      <c r="B88">
        <f t="shared" si="4"/>
        <v>46</v>
      </c>
      <c r="C88">
        <f t="shared" si="5"/>
        <v>3</v>
      </c>
      <c r="D88" t="str">
        <f>IF(INDEX(REPORTE!$B:$B,$B88)="","",INDEX(REPORTE!$B:$B,$B88))</f>
        <v/>
      </c>
      <c r="E88" t="str">
        <f>IF($D88="","",IFERROR(VLOOKUP($D88,BD_PLANTA!$A:$F,6,0),""))</f>
        <v/>
      </c>
      <c r="F88" t="str">
        <f>INDEX(REPORTE!$D:$D,$B88)</f>
        <v/>
      </c>
      <c r="G88" t="str">
        <f>INDEX(REPORTE!$E:$E,$B88)</f>
        <v/>
      </c>
      <c r="H88" t="str">
        <f t="shared" si="6"/>
        <v>HEXTADUL</v>
      </c>
      <c r="I88">
        <f>CHOOSE($C88,N(INDEX(REPORTE!$F:$F,$B88))+N(INDEX(REPORTE!$G:$G,$B88)),N(INDEX(REPORTE!$H:$H,$B88)),N(INDEX(REPORTE!$I:$I,$B88)))</f>
        <v>0</v>
      </c>
      <c r="J88">
        <f t="shared" si="7"/>
        <v>0</v>
      </c>
      <c r="K88">
        <f>SUM($J$2:$J88)</f>
        <v>3</v>
      </c>
    </row>
    <row r="89" spans="1:11" x14ac:dyDescent="0.25">
      <c r="A89">
        <v>88</v>
      </c>
      <c r="B89">
        <f t="shared" si="4"/>
        <v>47</v>
      </c>
      <c r="C89">
        <f t="shared" si="5"/>
        <v>1</v>
      </c>
      <c r="D89" t="str">
        <f>IF(INDEX(REPORTE!$B:$B,$B89)="","",INDEX(REPORTE!$B:$B,$B89))</f>
        <v/>
      </c>
      <c r="E89" t="str">
        <f>IF($D89="","",IFERROR(VLOOKUP($D89,BD_PLANTA!$A:$F,6,0),""))</f>
        <v/>
      </c>
      <c r="F89" t="str">
        <f>INDEX(REPORTE!$D:$D,$B89)</f>
        <v/>
      </c>
      <c r="G89" t="str">
        <f>INDEX(REPORTE!$E:$E,$B89)</f>
        <v/>
      </c>
      <c r="H89" t="str">
        <f t="shared" si="6"/>
        <v>HEXTREG</v>
      </c>
      <c r="I89">
        <f>CHOOSE($C89,N(INDEX(REPORTE!$F:$F,$B89))+N(INDEX(REPORTE!$G:$G,$B89)),N(INDEX(REPORTE!$H:$H,$B89)),N(INDEX(REPORTE!$I:$I,$B89)))</f>
        <v>0</v>
      </c>
      <c r="J89">
        <f t="shared" si="7"/>
        <v>0</v>
      </c>
      <c r="K89">
        <f>SUM($J$2:$J89)</f>
        <v>3</v>
      </c>
    </row>
    <row r="90" spans="1:11" x14ac:dyDescent="0.25">
      <c r="A90">
        <v>89</v>
      </c>
      <c r="B90">
        <f t="shared" si="4"/>
        <v>47</v>
      </c>
      <c r="C90">
        <f t="shared" si="5"/>
        <v>2</v>
      </c>
      <c r="D90" t="str">
        <f>IF(INDEX(REPORTE!$B:$B,$B90)="","",INDEX(REPORTE!$B:$B,$B90))</f>
        <v/>
      </c>
      <c r="E90" t="str">
        <f>IF($D90="","",IFERROR(VLOOKUP($D90,BD_PLANTA!$A:$F,6,0),""))</f>
        <v/>
      </c>
      <c r="F90" t="str">
        <f>INDEX(REPORTE!$D:$D,$B90)</f>
        <v/>
      </c>
      <c r="G90" t="str">
        <f>INDEX(REPORTE!$E:$E,$B90)</f>
        <v/>
      </c>
      <c r="H90" t="str">
        <f t="shared" si="6"/>
        <v>HEXTJU</v>
      </c>
      <c r="I90">
        <f>CHOOSE($C90,N(INDEX(REPORTE!$F:$F,$B90))+N(INDEX(REPORTE!$G:$G,$B90)),N(INDEX(REPORTE!$H:$H,$B90)),N(INDEX(REPORTE!$I:$I,$B90)))</f>
        <v>0</v>
      </c>
      <c r="J90">
        <f t="shared" si="7"/>
        <v>0</v>
      </c>
      <c r="K90">
        <f>SUM($J$2:$J90)</f>
        <v>3</v>
      </c>
    </row>
    <row r="91" spans="1:11" x14ac:dyDescent="0.25">
      <c r="A91">
        <v>90</v>
      </c>
      <c r="B91">
        <f t="shared" si="4"/>
        <v>47</v>
      </c>
      <c r="C91">
        <f t="shared" si="5"/>
        <v>3</v>
      </c>
      <c r="D91" t="str">
        <f>IF(INDEX(REPORTE!$B:$B,$B91)="","",INDEX(REPORTE!$B:$B,$B91))</f>
        <v/>
      </c>
      <c r="E91" t="str">
        <f>IF($D91="","",IFERROR(VLOOKUP($D91,BD_PLANTA!$A:$F,6,0),""))</f>
        <v/>
      </c>
      <c r="F91" t="str">
        <f>INDEX(REPORTE!$D:$D,$B91)</f>
        <v/>
      </c>
      <c r="G91" t="str">
        <f>INDEX(REPORTE!$E:$E,$B91)</f>
        <v/>
      </c>
      <c r="H91" t="str">
        <f t="shared" si="6"/>
        <v>HEXTADUL</v>
      </c>
      <c r="I91">
        <f>CHOOSE($C91,N(INDEX(REPORTE!$F:$F,$B91))+N(INDEX(REPORTE!$G:$G,$B91)),N(INDEX(REPORTE!$H:$H,$B91)),N(INDEX(REPORTE!$I:$I,$B91)))</f>
        <v>0</v>
      </c>
      <c r="J91">
        <f t="shared" si="7"/>
        <v>0</v>
      </c>
      <c r="K91">
        <f>SUM($J$2:$J91)</f>
        <v>3</v>
      </c>
    </row>
    <row r="92" spans="1:11" x14ac:dyDescent="0.25">
      <c r="A92">
        <v>91</v>
      </c>
      <c r="B92">
        <f t="shared" si="4"/>
        <v>48</v>
      </c>
      <c r="C92">
        <f t="shared" si="5"/>
        <v>1</v>
      </c>
      <c r="D92" t="str">
        <f>IF(INDEX(REPORTE!$B:$B,$B92)="","",INDEX(REPORTE!$B:$B,$B92))</f>
        <v/>
      </c>
      <c r="E92" t="str">
        <f>IF($D92="","",IFERROR(VLOOKUP($D92,BD_PLANTA!$A:$F,6,0),""))</f>
        <v/>
      </c>
      <c r="F92" t="str">
        <f>INDEX(REPORTE!$D:$D,$B92)</f>
        <v/>
      </c>
      <c r="G92" t="str">
        <f>INDEX(REPORTE!$E:$E,$B92)</f>
        <v/>
      </c>
      <c r="H92" t="str">
        <f t="shared" si="6"/>
        <v>HEXTREG</v>
      </c>
      <c r="I92">
        <f>CHOOSE($C92,N(INDEX(REPORTE!$F:$F,$B92))+N(INDEX(REPORTE!$G:$G,$B92)),N(INDEX(REPORTE!$H:$H,$B92)),N(INDEX(REPORTE!$I:$I,$B92)))</f>
        <v>0</v>
      </c>
      <c r="J92">
        <f t="shared" si="7"/>
        <v>0</v>
      </c>
      <c r="K92">
        <f>SUM($J$2:$J92)</f>
        <v>3</v>
      </c>
    </row>
    <row r="93" spans="1:11" x14ac:dyDescent="0.25">
      <c r="A93">
        <v>92</v>
      </c>
      <c r="B93">
        <f t="shared" si="4"/>
        <v>48</v>
      </c>
      <c r="C93">
        <f t="shared" si="5"/>
        <v>2</v>
      </c>
      <c r="D93" t="str">
        <f>IF(INDEX(REPORTE!$B:$B,$B93)="","",INDEX(REPORTE!$B:$B,$B93))</f>
        <v/>
      </c>
      <c r="E93" t="str">
        <f>IF($D93="","",IFERROR(VLOOKUP($D93,BD_PLANTA!$A:$F,6,0),""))</f>
        <v/>
      </c>
      <c r="F93" t="str">
        <f>INDEX(REPORTE!$D:$D,$B93)</f>
        <v/>
      </c>
      <c r="G93" t="str">
        <f>INDEX(REPORTE!$E:$E,$B93)</f>
        <v/>
      </c>
      <c r="H93" t="str">
        <f t="shared" si="6"/>
        <v>HEXTJU</v>
      </c>
      <c r="I93">
        <f>CHOOSE($C93,N(INDEX(REPORTE!$F:$F,$B93))+N(INDEX(REPORTE!$G:$G,$B93)),N(INDEX(REPORTE!$H:$H,$B93)),N(INDEX(REPORTE!$I:$I,$B93)))</f>
        <v>0</v>
      </c>
      <c r="J93">
        <f t="shared" si="7"/>
        <v>0</v>
      </c>
      <c r="K93">
        <f>SUM($J$2:$J93)</f>
        <v>3</v>
      </c>
    </row>
    <row r="94" spans="1:11" x14ac:dyDescent="0.25">
      <c r="A94">
        <v>93</v>
      </c>
      <c r="B94">
        <f t="shared" si="4"/>
        <v>48</v>
      </c>
      <c r="C94">
        <f t="shared" si="5"/>
        <v>3</v>
      </c>
      <c r="D94" t="str">
        <f>IF(INDEX(REPORTE!$B:$B,$B94)="","",INDEX(REPORTE!$B:$B,$B94))</f>
        <v/>
      </c>
      <c r="E94" t="str">
        <f>IF($D94="","",IFERROR(VLOOKUP($D94,BD_PLANTA!$A:$F,6,0),""))</f>
        <v/>
      </c>
      <c r="F94" t="str">
        <f>INDEX(REPORTE!$D:$D,$B94)</f>
        <v/>
      </c>
      <c r="G94" t="str">
        <f>INDEX(REPORTE!$E:$E,$B94)</f>
        <v/>
      </c>
      <c r="H94" t="str">
        <f t="shared" si="6"/>
        <v>HEXTADUL</v>
      </c>
      <c r="I94">
        <f>CHOOSE($C94,N(INDEX(REPORTE!$F:$F,$B94))+N(INDEX(REPORTE!$G:$G,$B94)),N(INDEX(REPORTE!$H:$H,$B94)),N(INDEX(REPORTE!$I:$I,$B94)))</f>
        <v>0</v>
      </c>
      <c r="J94">
        <f t="shared" si="7"/>
        <v>0</v>
      </c>
      <c r="K94">
        <f>SUM($J$2:$J94)</f>
        <v>3</v>
      </c>
    </row>
    <row r="95" spans="1:11" x14ac:dyDescent="0.25">
      <c r="A95">
        <v>94</v>
      </c>
      <c r="B95">
        <f t="shared" si="4"/>
        <v>49</v>
      </c>
      <c r="C95">
        <f t="shared" si="5"/>
        <v>1</v>
      </c>
      <c r="D95" t="str">
        <f>IF(INDEX(REPORTE!$B:$B,$B95)="","",INDEX(REPORTE!$B:$B,$B95))</f>
        <v/>
      </c>
      <c r="E95" t="str">
        <f>IF($D95="","",IFERROR(VLOOKUP($D95,BD_PLANTA!$A:$F,6,0),""))</f>
        <v/>
      </c>
      <c r="F95" t="str">
        <f>INDEX(REPORTE!$D:$D,$B95)</f>
        <v/>
      </c>
      <c r="G95" t="str">
        <f>INDEX(REPORTE!$E:$E,$B95)</f>
        <v/>
      </c>
      <c r="H95" t="str">
        <f t="shared" si="6"/>
        <v>HEXTREG</v>
      </c>
      <c r="I95">
        <f>CHOOSE($C95,N(INDEX(REPORTE!$F:$F,$B95))+N(INDEX(REPORTE!$G:$G,$B95)),N(INDEX(REPORTE!$H:$H,$B95)),N(INDEX(REPORTE!$I:$I,$B95)))</f>
        <v>0</v>
      </c>
      <c r="J95">
        <f t="shared" si="7"/>
        <v>0</v>
      </c>
      <c r="K95">
        <f>SUM($J$2:$J95)</f>
        <v>3</v>
      </c>
    </row>
    <row r="96" spans="1:11" x14ac:dyDescent="0.25">
      <c r="A96">
        <v>95</v>
      </c>
      <c r="B96">
        <f t="shared" si="4"/>
        <v>49</v>
      </c>
      <c r="C96">
        <f t="shared" si="5"/>
        <v>2</v>
      </c>
      <c r="D96" t="str">
        <f>IF(INDEX(REPORTE!$B:$B,$B96)="","",INDEX(REPORTE!$B:$B,$B96))</f>
        <v/>
      </c>
      <c r="E96" t="str">
        <f>IF($D96="","",IFERROR(VLOOKUP($D96,BD_PLANTA!$A:$F,6,0),""))</f>
        <v/>
      </c>
      <c r="F96" t="str">
        <f>INDEX(REPORTE!$D:$D,$B96)</f>
        <v/>
      </c>
      <c r="G96" t="str">
        <f>INDEX(REPORTE!$E:$E,$B96)</f>
        <v/>
      </c>
      <c r="H96" t="str">
        <f t="shared" si="6"/>
        <v>HEXTJU</v>
      </c>
      <c r="I96">
        <f>CHOOSE($C96,N(INDEX(REPORTE!$F:$F,$B96))+N(INDEX(REPORTE!$G:$G,$B96)),N(INDEX(REPORTE!$H:$H,$B96)),N(INDEX(REPORTE!$I:$I,$B96)))</f>
        <v>0</v>
      </c>
      <c r="J96">
        <f t="shared" si="7"/>
        <v>0</v>
      </c>
      <c r="K96">
        <f>SUM($J$2:$J96)</f>
        <v>3</v>
      </c>
    </row>
    <row r="97" spans="1:11" x14ac:dyDescent="0.25">
      <c r="A97">
        <v>96</v>
      </c>
      <c r="B97">
        <f t="shared" si="4"/>
        <v>49</v>
      </c>
      <c r="C97">
        <f t="shared" si="5"/>
        <v>3</v>
      </c>
      <c r="D97" t="str">
        <f>IF(INDEX(REPORTE!$B:$B,$B97)="","",INDEX(REPORTE!$B:$B,$B97))</f>
        <v/>
      </c>
      <c r="E97" t="str">
        <f>IF($D97="","",IFERROR(VLOOKUP($D97,BD_PLANTA!$A:$F,6,0),""))</f>
        <v/>
      </c>
      <c r="F97" t="str">
        <f>INDEX(REPORTE!$D:$D,$B97)</f>
        <v/>
      </c>
      <c r="G97" t="str">
        <f>INDEX(REPORTE!$E:$E,$B97)</f>
        <v/>
      </c>
      <c r="H97" t="str">
        <f t="shared" si="6"/>
        <v>HEXTADUL</v>
      </c>
      <c r="I97">
        <f>CHOOSE($C97,N(INDEX(REPORTE!$F:$F,$B97))+N(INDEX(REPORTE!$G:$G,$B97)),N(INDEX(REPORTE!$H:$H,$B97)),N(INDEX(REPORTE!$I:$I,$B97)))</f>
        <v>0</v>
      </c>
      <c r="J97">
        <f t="shared" si="7"/>
        <v>0</v>
      </c>
      <c r="K97">
        <f>SUM($J$2:$J97)</f>
        <v>3</v>
      </c>
    </row>
    <row r="98" spans="1:11" x14ac:dyDescent="0.25">
      <c r="A98">
        <v>97</v>
      </c>
      <c r="B98">
        <f t="shared" si="4"/>
        <v>50</v>
      </c>
      <c r="C98">
        <f t="shared" si="5"/>
        <v>1</v>
      </c>
      <c r="D98" t="str">
        <f>IF(INDEX(REPORTE!$B:$B,$B98)="","",INDEX(REPORTE!$B:$B,$B98))</f>
        <v/>
      </c>
      <c r="E98" t="str">
        <f>IF($D98="","",IFERROR(VLOOKUP($D98,BD_PLANTA!$A:$F,6,0),""))</f>
        <v/>
      </c>
      <c r="F98" t="str">
        <f>INDEX(REPORTE!$D:$D,$B98)</f>
        <v/>
      </c>
      <c r="G98" t="str">
        <f>INDEX(REPORTE!$E:$E,$B98)</f>
        <v/>
      </c>
      <c r="H98" t="str">
        <f t="shared" si="6"/>
        <v>HEXTREG</v>
      </c>
      <c r="I98">
        <f>CHOOSE($C98,N(INDEX(REPORTE!$F:$F,$B98))+N(INDEX(REPORTE!$G:$G,$B98)),N(INDEX(REPORTE!$H:$H,$B98)),N(INDEX(REPORTE!$I:$I,$B98)))</f>
        <v>0</v>
      </c>
      <c r="J98">
        <f t="shared" si="7"/>
        <v>0</v>
      </c>
      <c r="K98">
        <f>SUM($J$2:$J98)</f>
        <v>3</v>
      </c>
    </row>
    <row r="99" spans="1:11" x14ac:dyDescent="0.25">
      <c r="A99">
        <v>98</v>
      </c>
      <c r="B99">
        <f t="shared" si="4"/>
        <v>50</v>
      </c>
      <c r="C99">
        <f t="shared" si="5"/>
        <v>2</v>
      </c>
      <c r="D99" t="str">
        <f>IF(INDEX(REPORTE!$B:$B,$B99)="","",INDEX(REPORTE!$B:$B,$B99))</f>
        <v/>
      </c>
      <c r="E99" t="str">
        <f>IF($D99="","",IFERROR(VLOOKUP($D99,BD_PLANTA!$A:$F,6,0),""))</f>
        <v/>
      </c>
      <c r="F99" t="str">
        <f>INDEX(REPORTE!$D:$D,$B99)</f>
        <v/>
      </c>
      <c r="G99" t="str">
        <f>INDEX(REPORTE!$E:$E,$B99)</f>
        <v/>
      </c>
      <c r="H99" t="str">
        <f t="shared" si="6"/>
        <v>HEXTJU</v>
      </c>
      <c r="I99">
        <f>CHOOSE($C99,N(INDEX(REPORTE!$F:$F,$B99))+N(INDEX(REPORTE!$G:$G,$B99)),N(INDEX(REPORTE!$H:$H,$B99)),N(INDEX(REPORTE!$I:$I,$B99)))</f>
        <v>0</v>
      </c>
      <c r="J99">
        <f t="shared" si="7"/>
        <v>0</v>
      </c>
      <c r="K99">
        <f>SUM($J$2:$J99)</f>
        <v>3</v>
      </c>
    </row>
    <row r="100" spans="1:11" x14ac:dyDescent="0.25">
      <c r="A100">
        <v>99</v>
      </c>
      <c r="B100">
        <f t="shared" si="4"/>
        <v>50</v>
      </c>
      <c r="C100">
        <f t="shared" si="5"/>
        <v>3</v>
      </c>
      <c r="D100" t="str">
        <f>IF(INDEX(REPORTE!$B:$B,$B100)="","",INDEX(REPORTE!$B:$B,$B100))</f>
        <v/>
      </c>
      <c r="E100" t="str">
        <f>IF($D100="","",IFERROR(VLOOKUP($D100,BD_PLANTA!$A:$F,6,0),""))</f>
        <v/>
      </c>
      <c r="F100" t="str">
        <f>INDEX(REPORTE!$D:$D,$B100)</f>
        <v/>
      </c>
      <c r="G100" t="str">
        <f>INDEX(REPORTE!$E:$E,$B100)</f>
        <v/>
      </c>
      <c r="H100" t="str">
        <f t="shared" si="6"/>
        <v>HEXTADUL</v>
      </c>
      <c r="I100">
        <f>CHOOSE($C100,N(INDEX(REPORTE!$F:$F,$B100))+N(INDEX(REPORTE!$G:$G,$B100)),N(INDEX(REPORTE!$H:$H,$B100)),N(INDEX(REPORTE!$I:$I,$B100)))</f>
        <v>0</v>
      </c>
      <c r="J100">
        <f t="shared" si="7"/>
        <v>0</v>
      </c>
      <c r="K100">
        <f>SUM($J$2:$J100)</f>
        <v>3</v>
      </c>
    </row>
    <row r="101" spans="1:11" x14ac:dyDescent="0.25">
      <c r="A101">
        <v>100</v>
      </c>
      <c r="B101">
        <f t="shared" si="4"/>
        <v>51</v>
      </c>
      <c r="C101">
        <f t="shared" si="5"/>
        <v>1</v>
      </c>
      <c r="D101" t="str">
        <f>IF(INDEX(REPORTE!$B:$B,$B101)="","",INDEX(REPORTE!$B:$B,$B101))</f>
        <v/>
      </c>
      <c r="E101" t="str">
        <f>IF($D101="","",IFERROR(VLOOKUP($D101,BD_PLANTA!$A:$F,6,0),""))</f>
        <v/>
      </c>
      <c r="F101" t="str">
        <f>INDEX(REPORTE!$D:$D,$B101)</f>
        <v/>
      </c>
      <c r="G101" t="str">
        <f>INDEX(REPORTE!$E:$E,$B101)</f>
        <v/>
      </c>
      <c r="H101" t="str">
        <f t="shared" si="6"/>
        <v>HEXTREG</v>
      </c>
      <c r="I101">
        <f>CHOOSE($C101,N(INDEX(REPORTE!$F:$F,$B101))+N(INDEX(REPORTE!$G:$G,$B101)),N(INDEX(REPORTE!$H:$H,$B101)),N(INDEX(REPORTE!$I:$I,$B101)))</f>
        <v>0</v>
      </c>
      <c r="J101">
        <f t="shared" si="7"/>
        <v>0</v>
      </c>
      <c r="K101">
        <f>SUM($J$2:$J101)</f>
        <v>3</v>
      </c>
    </row>
    <row r="102" spans="1:11" x14ac:dyDescent="0.25">
      <c r="A102">
        <v>101</v>
      </c>
      <c r="B102">
        <f t="shared" si="4"/>
        <v>51</v>
      </c>
      <c r="C102">
        <f t="shared" si="5"/>
        <v>2</v>
      </c>
      <c r="D102" t="str">
        <f>IF(INDEX(REPORTE!$B:$B,$B102)="","",INDEX(REPORTE!$B:$B,$B102))</f>
        <v/>
      </c>
      <c r="E102" t="str">
        <f>IF($D102="","",IFERROR(VLOOKUP($D102,BD_PLANTA!$A:$F,6,0),""))</f>
        <v/>
      </c>
      <c r="F102" t="str">
        <f>INDEX(REPORTE!$D:$D,$B102)</f>
        <v/>
      </c>
      <c r="G102" t="str">
        <f>INDEX(REPORTE!$E:$E,$B102)</f>
        <v/>
      </c>
      <c r="H102" t="str">
        <f t="shared" si="6"/>
        <v>HEXTJU</v>
      </c>
      <c r="I102">
        <f>CHOOSE($C102,N(INDEX(REPORTE!$F:$F,$B102))+N(INDEX(REPORTE!$G:$G,$B102)),N(INDEX(REPORTE!$H:$H,$B102)),N(INDEX(REPORTE!$I:$I,$B102)))</f>
        <v>0</v>
      </c>
      <c r="J102">
        <f t="shared" si="7"/>
        <v>0</v>
      </c>
      <c r="K102">
        <f>SUM($J$2:$J102)</f>
        <v>3</v>
      </c>
    </row>
    <row r="103" spans="1:11" x14ac:dyDescent="0.25">
      <c r="A103">
        <v>102</v>
      </c>
      <c r="B103">
        <f t="shared" si="4"/>
        <v>51</v>
      </c>
      <c r="C103">
        <f t="shared" si="5"/>
        <v>3</v>
      </c>
      <c r="D103" t="str">
        <f>IF(INDEX(REPORTE!$B:$B,$B103)="","",INDEX(REPORTE!$B:$B,$B103))</f>
        <v/>
      </c>
      <c r="E103" t="str">
        <f>IF($D103="","",IFERROR(VLOOKUP($D103,BD_PLANTA!$A:$F,6,0),""))</f>
        <v/>
      </c>
      <c r="F103" t="str">
        <f>INDEX(REPORTE!$D:$D,$B103)</f>
        <v/>
      </c>
      <c r="G103" t="str">
        <f>INDEX(REPORTE!$E:$E,$B103)</f>
        <v/>
      </c>
      <c r="H103" t="str">
        <f t="shared" si="6"/>
        <v>HEXTADUL</v>
      </c>
      <c r="I103">
        <f>CHOOSE($C103,N(INDEX(REPORTE!$F:$F,$B103))+N(INDEX(REPORTE!$G:$G,$B103)),N(INDEX(REPORTE!$H:$H,$B103)),N(INDEX(REPORTE!$I:$I,$B103)))</f>
        <v>0</v>
      </c>
      <c r="J103">
        <f t="shared" si="7"/>
        <v>0</v>
      </c>
      <c r="K103">
        <f>SUM($J$2:$J103)</f>
        <v>3</v>
      </c>
    </row>
    <row r="104" spans="1:11" x14ac:dyDescent="0.25">
      <c r="A104">
        <v>103</v>
      </c>
      <c r="B104">
        <f t="shared" si="4"/>
        <v>52</v>
      </c>
      <c r="C104">
        <f t="shared" si="5"/>
        <v>1</v>
      </c>
      <c r="D104" t="str">
        <f>IF(INDEX(REPORTE!$B:$B,$B104)="","",INDEX(REPORTE!$B:$B,$B104))</f>
        <v/>
      </c>
      <c r="E104" t="str">
        <f>IF($D104="","",IFERROR(VLOOKUP($D104,BD_PLANTA!$A:$F,6,0),""))</f>
        <v/>
      </c>
      <c r="F104" t="str">
        <f>INDEX(REPORTE!$D:$D,$B104)</f>
        <v/>
      </c>
      <c r="G104" t="str">
        <f>INDEX(REPORTE!$E:$E,$B104)</f>
        <v/>
      </c>
      <c r="H104" t="str">
        <f t="shared" si="6"/>
        <v>HEXTREG</v>
      </c>
      <c r="I104">
        <f>CHOOSE($C104,N(INDEX(REPORTE!$F:$F,$B104))+N(INDEX(REPORTE!$G:$G,$B104)),N(INDEX(REPORTE!$H:$H,$B104)),N(INDEX(REPORTE!$I:$I,$B104)))</f>
        <v>0</v>
      </c>
      <c r="J104">
        <f t="shared" si="7"/>
        <v>0</v>
      </c>
      <c r="K104">
        <f>SUM($J$2:$J104)</f>
        <v>3</v>
      </c>
    </row>
    <row r="105" spans="1:11" x14ac:dyDescent="0.25">
      <c r="A105">
        <v>104</v>
      </c>
      <c r="B105">
        <f t="shared" si="4"/>
        <v>52</v>
      </c>
      <c r="C105">
        <f t="shared" si="5"/>
        <v>2</v>
      </c>
      <c r="D105" t="str">
        <f>IF(INDEX(REPORTE!$B:$B,$B105)="","",INDEX(REPORTE!$B:$B,$B105))</f>
        <v/>
      </c>
      <c r="E105" t="str">
        <f>IF($D105="","",IFERROR(VLOOKUP($D105,BD_PLANTA!$A:$F,6,0),""))</f>
        <v/>
      </c>
      <c r="F105" t="str">
        <f>INDEX(REPORTE!$D:$D,$B105)</f>
        <v/>
      </c>
      <c r="G105" t="str">
        <f>INDEX(REPORTE!$E:$E,$B105)</f>
        <v/>
      </c>
      <c r="H105" t="str">
        <f t="shared" si="6"/>
        <v>HEXTJU</v>
      </c>
      <c r="I105">
        <f>CHOOSE($C105,N(INDEX(REPORTE!$F:$F,$B105))+N(INDEX(REPORTE!$G:$G,$B105)),N(INDEX(REPORTE!$H:$H,$B105)),N(INDEX(REPORTE!$I:$I,$B105)))</f>
        <v>0</v>
      </c>
      <c r="J105">
        <f t="shared" si="7"/>
        <v>0</v>
      </c>
      <c r="K105">
        <f>SUM($J$2:$J105)</f>
        <v>3</v>
      </c>
    </row>
    <row r="106" spans="1:11" x14ac:dyDescent="0.25">
      <c r="A106">
        <v>105</v>
      </c>
      <c r="B106">
        <f t="shared" si="4"/>
        <v>52</v>
      </c>
      <c r="C106">
        <f t="shared" si="5"/>
        <v>3</v>
      </c>
      <c r="D106" t="str">
        <f>IF(INDEX(REPORTE!$B:$B,$B106)="","",INDEX(REPORTE!$B:$B,$B106))</f>
        <v/>
      </c>
      <c r="E106" t="str">
        <f>IF($D106="","",IFERROR(VLOOKUP($D106,BD_PLANTA!$A:$F,6,0),""))</f>
        <v/>
      </c>
      <c r="F106" t="str">
        <f>INDEX(REPORTE!$D:$D,$B106)</f>
        <v/>
      </c>
      <c r="G106" t="str">
        <f>INDEX(REPORTE!$E:$E,$B106)</f>
        <v/>
      </c>
      <c r="H106" t="str">
        <f t="shared" si="6"/>
        <v>HEXTADUL</v>
      </c>
      <c r="I106">
        <f>CHOOSE($C106,N(INDEX(REPORTE!$F:$F,$B106))+N(INDEX(REPORTE!$G:$G,$B106)),N(INDEX(REPORTE!$H:$H,$B106)),N(INDEX(REPORTE!$I:$I,$B106)))</f>
        <v>0</v>
      </c>
      <c r="J106">
        <f t="shared" si="7"/>
        <v>0</v>
      </c>
      <c r="K106">
        <f>SUM($J$2:$J106)</f>
        <v>3</v>
      </c>
    </row>
    <row r="107" spans="1:11" x14ac:dyDescent="0.25">
      <c r="A107">
        <v>106</v>
      </c>
      <c r="B107">
        <f t="shared" si="4"/>
        <v>53</v>
      </c>
      <c r="C107">
        <f t="shared" si="5"/>
        <v>1</v>
      </c>
      <c r="D107" t="str">
        <f>IF(INDEX(REPORTE!$B:$B,$B107)="","",INDEX(REPORTE!$B:$B,$B107))</f>
        <v/>
      </c>
      <c r="E107" t="str">
        <f>IF($D107="","",IFERROR(VLOOKUP($D107,BD_PLANTA!$A:$F,6,0),""))</f>
        <v/>
      </c>
      <c r="F107" t="str">
        <f>INDEX(REPORTE!$D:$D,$B107)</f>
        <v/>
      </c>
      <c r="G107" t="str">
        <f>INDEX(REPORTE!$E:$E,$B107)</f>
        <v/>
      </c>
      <c r="H107" t="str">
        <f t="shared" si="6"/>
        <v>HEXTREG</v>
      </c>
      <c r="I107">
        <f>CHOOSE($C107,N(INDEX(REPORTE!$F:$F,$B107))+N(INDEX(REPORTE!$G:$G,$B107)),N(INDEX(REPORTE!$H:$H,$B107)),N(INDEX(REPORTE!$I:$I,$B107)))</f>
        <v>0</v>
      </c>
      <c r="J107">
        <f t="shared" si="7"/>
        <v>0</v>
      </c>
      <c r="K107">
        <f>SUM($J$2:$J107)</f>
        <v>3</v>
      </c>
    </row>
    <row r="108" spans="1:11" x14ac:dyDescent="0.25">
      <c r="A108">
        <v>107</v>
      </c>
      <c r="B108">
        <f t="shared" si="4"/>
        <v>53</v>
      </c>
      <c r="C108">
        <f t="shared" si="5"/>
        <v>2</v>
      </c>
      <c r="D108" t="str">
        <f>IF(INDEX(REPORTE!$B:$B,$B108)="","",INDEX(REPORTE!$B:$B,$B108))</f>
        <v/>
      </c>
      <c r="E108" t="str">
        <f>IF($D108="","",IFERROR(VLOOKUP($D108,BD_PLANTA!$A:$F,6,0),""))</f>
        <v/>
      </c>
      <c r="F108" t="str">
        <f>INDEX(REPORTE!$D:$D,$B108)</f>
        <v/>
      </c>
      <c r="G108" t="str">
        <f>INDEX(REPORTE!$E:$E,$B108)</f>
        <v/>
      </c>
      <c r="H108" t="str">
        <f t="shared" si="6"/>
        <v>HEXTJU</v>
      </c>
      <c r="I108">
        <f>CHOOSE($C108,N(INDEX(REPORTE!$F:$F,$B108))+N(INDEX(REPORTE!$G:$G,$B108)),N(INDEX(REPORTE!$H:$H,$B108)),N(INDEX(REPORTE!$I:$I,$B108)))</f>
        <v>0</v>
      </c>
      <c r="J108">
        <f t="shared" si="7"/>
        <v>0</v>
      </c>
      <c r="K108">
        <f>SUM($J$2:$J108)</f>
        <v>3</v>
      </c>
    </row>
    <row r="109" spans="1:11" x14ac:dyDescent="0.25">
      <c r="A109">
        <v>108</v>
      </c>
      <c r="B109">
        <f t="shared" si="4"/>
        <v>53</v>
      </c>
      <c r="C109">
        <f t="shared" si="5"/>
        <v>3</v>
      </c>
      <c r="D109" t="str">
        <f>IF(INDEX(REPORTE!$B:$B,$B109)="","",INDEX(REPORTE!$B:$B,$B109))</f>
        <v/>
      </c>
      <c r="E109" t="str">
        <f>IF($D109="","",IFERROR(VLOOKUP($D109,BD_PLANTA!$A:$F,6,0),""))</f>
        <v/>
      </c>
      <c r="F109" t="str">
        <f>INDEX(REPORTE!$D:$D,$B109)</f>
        <v/>
      </c>
      <c r="G109" t="str">
        <f>INDEX(REPORTE!$E:$E,$B109)</f>
        <v/>
      </c>
      <c r="H109" t="str">
        <f t="shared" si="6"/>
        <v>HEXTADUL</v>
      </c>
      <c r="I109">
        <f>CHOOSE($C109,N(INDEX(REPORTE!$F:$F,$B109))+N(INDEX(REPORTE!$G:$G,$B109)),N(INDEX(REPORTE!$H:$H,$B109)),N(INDEX(REPORTE!$I:$I,$B109)))</f>
        <v>0</v>
      </c>
      <c r="J109">
        <f t="shared" si="7"/>
        <v>0</v>
      </c>
      <c r="K109">
        <f>SUM($J$2:$J109)</f>
        <v>3</v>
      </c>
    </row>
    <row r="110" spans="1:11" x14ac:dyDescent="0.25">
      <c r="A110">
        <v>109</v>
      </c>
      <c r="B110">
        <f t="shared" si="4"/>
        <v>54</v>
      </c>
      <c r="C110">
        <f t="shared" si="5"/>
        <v>1</v>
      </c>
      <c r="D110" t="str">
        <f>IF(INDEX(REPORTE!$B:$B,$B110)="","",INDEX(REPORTE!$B:$B,$B110))</f>
        <v/>
      </c>
      <c r="E110" t="str">
        <f>IF($D110="","",IFERROR(VLOOKUP($D110,BD_PLANTA!$A:$F,6,0),""))</f>
        <v/>
      </c>
      <c r="F110" t="str">
        <f>INDEX(REPORTE!$D:$D,$B110)</f>
        <v/>
      </c>
      <c r="G110" t="str">
        <f>INDEX(REPORTE!$E:$E,$B110)</f>
        <v/>
      </c>
      <c r="H110" t="str">
        <f t="shared" si="6"/>
        <v>HEXTREG</v>
      </c>
      <c r="I110">
        <f>CHOOSE($C110,N(INDEX(REPORTE!$F:$F,$B110))+N(INDEX(REPORTE!$G:$G,$B110)),N(INDEX(REPORTE!$H:$H,$B110)),N(INDEX(REPORTE!$I:$I,$B110)))</f>
        <v>0</v>
      </c>
      <c r="J110">
        <f t="shared" si="7"/>
        <v>0</v>
      </c>
      <c r="K110">
        <f>SUM($J$2:$J110)</f>
        <v>3</v>
      </c>
    </row>
    <row r="111" spans="1:11" x14ac:dyDescent="0.25">
      <c r="A111">
        <v>110</v>
      </c>
      <c r="B111">
        <f t="shared" si="4"/>
        <v>54</v>
      </c>
      <c r="C111">
        <f t="shared" si="5"/>
        <v>2</v>
      </c>
      <c r="D111" t="str">
        <f>IF(INDEX(REPORTE!$B:$B,$B111)="","",INDEX(REPORTE!$B:$B,$B111))</f>
        <v/>
      </c>
      <c r="E111" t="str">
        <f>IF($D111="","",IFERROR(VLOOKUP($D111,BD_PLANTA!$A:$F,6,0),""))</f>
        <v/>
      </c>
      <c r="F111" t="str">
        <f>INDEX(REPORTE!$D:$D,$B111)</f>
        <v/>
      </c>
      <c r="G111" t="str">
        <f>INDEX(REPORTE!$E:$E,$B111)</f>
        <v/>
      </c>
      <c r="H111" t="str">
        <f t="shared" si="6"/>
        <v>HEXTJU</v>
      </c>
      <c r="I111">
        <f>CHOOSE($C111,N(INDEX(REPORTE!$F:$F,$B111))+N(INDEX(REPORTE!$G:$G,$B111)),N(INDEX(REPORTE!$H:$H,$B111)),N(INDEX(REPORTE!$I:$I,$B111)))</f>
        <v>0</v>
      </c>
      <c r="J111">
        <f t="shared" si="7"/>
        <v>0</v>
      </c>
      <c r="K111">
        <f>SUM($J$2:$J111)</f>
        <v>3</v>
      </c>
    </row>
    <row r="112" spans="1:11" x14ac:dyDescent="0.25">
      <c r="A112">
        <v>111</v>
      </c>
      <c r="B112">
        <f t="shared" si="4"/>
        <v>54</v>
      </c>
      <c r="C112">
        <f t="shared" si="5"/>
        <v>3</v>
      </c>
      <c r="D112" t="str">
        <f>IF(INDEX(REPORTE!$B:$B,$B112)="","",INDEX(REPORTE!$B:$B,$B112))</f>
        <v/>
      </c>
      <c r="E112" t="str">
        <f>IF($D112="","",IFERROR(VLOOKUP($D112,BD_PLANTA!$A:$F,6,0),""))</f>
        <v/>
      </c>
      <c r="F112" t="str">
        <f>INDEX(REPORTE!$D:$D,$B112)</f>
        <v/>
      </c>
      <c r="G112" t="str">
        <f>INDEX(REPORTE!$E:$E,$B112)</f>
        <v/>
      </c>
      <c r="H112" t="str">
        <f t="shared" si="6"/>
        <v>HEXTADUL</v>
      </c>
      <c r="I112">
        <f>CHOOSE($C112,N(INDEX(REPORTE!$F:$F,$B112))+N(INDEX(REPORTE!$G:$G,$B112)),N(INDEX(REPORTE!$H:$H,$B112)),N(INDEX(REPORTE!$I:$I,$B112)))</f>
        <v>0</v>
      </c>
      <c r="J112">
        <f t="shared" si="7"/>
        <v>0</v>
      </c>
      <c r="K112">
        <f>SUM($J$2:$J112)</f>
        <v>3</v>
      </c>
    </row>
    <row r="113" spans="1:11" x14ac:dyDescent="0.25">
      <c r="A113">
        <v>112</v>
      </c>
      <c r="B113">
        <f t="shared" si="4"/>
        <v>55</v>
      </c>
      <c r="C113">
        <f t="shared" si="5"/>
        <v>1</v>
      </c>
      <c r="D113" t="str">
        <f>IF(INDEX(REPORTE!$B:$B,$B113)="","",INDEX(REPORTE!$B:$B,$B113))</f>
        <v/>
      </c>
      <c r="E113" t="str">
        <f>IF($D113="","",IFERROR(VLOOKUP($D113,BD_PLANTA!$A:$F,6,0),""))</f>
        <v/>
      </c>
      <c r="F113" t="str">
        <f>INDEX(REPORTE!$D:$D,$B113)</f>
        <v/>
      </c>
      <c r="G113" t="str">
        <f>INDEX(REPORTE!$E:$E,$B113)</f>
        <v/>
      </c>
      <c r="H113" t="str">
        <f t="shared" si="6"/>
        <v>HEXTREG</v>
      </c>
      <c r="I113">
        <f>CHOOSE($C113,N(INDEX(REPORTE!$F:$F,$B113))+N(INDEX(REPORTE!$G:$G,$B113)),N(INDEX(REPORTE!$H:$H,$B113)),N(INDEX(REPORTE!$I:$I,$B113)))</f>
        <v>0</v>
      </c>
      <c r="J113">
        <f t="shared" si="7"/>
        <v>0</v>
      </c>
      <c r="K113">
        <f>SUM($J$2:$J113)</f>
        <v>3</v>
      </c>
    </row>
    <row r="114" spans="1:11" x14ac:dyDescent="0.25">
      <c r="A114">
        <v>113</v>
      </c>
      <c r="B114">
        <f t="shared" si="4"/>
        <v>55</v>
      </c>
      <c r="C114">
        <f t="shared" si="5"/>
        <v>2</v>
      </c>
      <c r="D114" t="str">
        <f>IF(INDEX(REPORTE!$B:$B,$B114)="","",INDEX(REPORTE!$B:$B,$B114))</f>
        <v/>
      </c>
      <c r="E114" t="str">
        <f>IF($D114="","",IFERROR(VLOOKUP($D114,BD_PLANTA!$A:$F,6,0),""))</f>
        <v/>
      </c>
      <c r="F114" t="str">
        <f>INDEX(REPORTE!$D:$D,$B114)</f>
        <v/>
      </c>
      <c r="G114" t="str">
        <f>INDEX(REPORTE!$E:$E,$B114)</f>
        <v/>
      </c>
      <c r="H114" t="str">
        <f t="shared" si="6"/>
        <v>HEXTJU</v>
      </c>
      <c r="I114">
        <f>CHOOSE($C114,N(INDEX(REPORTE!$F:$F,$B114))+N(INDEX(REPORTE!$G:$G,$B114)),N(INDEX(REPORTE!$H:$H,$B114)),N(INDEX(REPORTE!$I:$I,$B114)))</f>
        <v>0</v>
      </c>
      <c r="J114">
        <f t="shared" si="7"/>
        <v>0</v>
      </c>
      <c r="K114">
        <f>SUM($J$2:$J114)</f>
        <v>3</v>
      </c>
    </row>
    <row r="115" spans="1:11" x14ac:dyDescent="0.25">
      <c r="A115">
        <v>114</v>
      </c>
      <c r="B115">
        <f t="shared" si="4"/>
        <v>55</v>
      </c>
      <c r="C115">
        <f t="shared" si="5"/>
        <v>3</v>
      </c>
      <c r="D115" t="str">
        <f>IF(INDEX(REPORTE!$B:$B,$B115)="","",INDEX(REPORTE!$B:$B,$B115))</f>
        <v/>
      </c>
      <c r="E115" t="str">
        <f>IF($D115="","",IFERROR(VLOOKUP($D115,BD_PLANTA!$A:$F,6,0),""))</f>
        <v/>
      </c>
      <c r="F115" t="str">
        <f>INDEX(REPORTE!$D:$D,$B115)</f>
        <v/>
      </c>
      <c r="G115" t="str">
        <f>INDEX(REPORTE!$E:$E,$B115)</f>
        <v/>
      </c>
      <c r="H115" t="str">
        <f t="shared" si="6"/>
        <v>HEXTADUL</v>
      </c>
      <c r="I115">
        <f>CHOOSE($C115,N(INDEX(REPORTE!$F:$F,$B115))+N(INDEX(REPORTE!$G:$G,$B115)),N(INDEX(REPORTE!$H:$H,$B115)),N(INDEX(REPORTE!$I:$I,$B115)))</f>
        <v>0</v>
      </c>
      <c r="J115">
        <f t="shared" si="7"/>
        <v>0</v>
      </c>
      <c r="K115">
        <f>SUM($J$2:$J115)</f>
        <v>3</v>
      </c>
    </row>
    <row r="116" spans="1:11" x14ac:dyDescent="0.25">
      <c r="A116">
        <v>115</v>
      </c>
      <c r="B116">
        <f t="shared" si="4"/>
        <v>56</v>
      </c>
      <c r="C116">
        <f t="shared" si="5"/>
        <v>1</v>
      </c>
      <c r="D116" t="str">
        <f>IF(INDEX(REPORTE!$B:$B,$B116)="","",INDEX(REPORTE!$B:$B,$B116))</f>
        <v/>
      </c>
      <c r="E116" t="str">
        <f>IF($D116="","",IFERROR(VLOOKUP($D116,BD_PLANTA!$A:$F,6,0),""))</f>
        <v/>
      </c>
      <c r="F116" t="str">
        <f>INDEX(REPORTE!$D:$D,$B116)</f>
        <v/>
      </c>
      <c r="G116" t="str">
        <f>INDEX(REPORTE!$E:$E,$B116)</f>
        <v/>
      </c>
      <c r="H116" t="str">
        <f t="shared" si="6"/>
        <v>HEXTREG</v>
      </c>
      <c r="I116">
        <f>CHOOSE($C116,N(INDEX(REPORTE!$F:$F,$B116))+N(INDEX(REPORTE!$G:$G,$B116)),N(INDEX(REPORTE!$H:$H,$B116)),N(INDEX(REPORTE!$I:$I,$B116)))</f>
        <v>0</v>
      </c>
      <c r="J116">
        <f t="shared" si="7"/>
        <v>0</v>
      </c>
      <c r="K116">
        <f>SUM($J$2:$J116)</f>
        <v>3</v>
      </c>
    </row>
    <row r="117" spans="1:11" x14ac:dyDescent="0.25">
      <c r="A117">
        <v>116</v>
      </c>
      <c r="B117">
        <f t="shared" si="4"/>
        <v>56</v>
      </c>
      <c r="C117">
        <f t="shared" si="5"/>
        <v>2</v>
      </c>
      <c r="D117" t="str">
        <f>IF(INDEX(REPORTE!$B:$B,$B117)="","",INDEX(REPORTE!$B:$B,$B117))</f>
        <v/>
      </c>
      <c r="E117" t="str">
        <f>IF($D117="","",IFERROR(VLOOKUP($D117,BD_PLANTA!$A:$F,6,0),""))</f>
        <v/>
      </c>
      <c r="F117" t="str">
        <f>INDEX(REPORTE!$D:$D,$B117)</f>
        <v/>
      </c>
      <c r="G117" t="str">
        <f>INDEX(REPORTE!$E:$E,$B117)</f>
        <v/>
      </c>
      <c r="H117" t="str">
        <f t="shared" si="6"/>
        <v>HEXTJU</v>
      </c>
      <c r="I117">
        <f>CHOOSE($C117,N(INDEX(REPORTE!$F:$F,$B117))+N(INDEX(REPORTE!$G:$G,$B117)),N(INDEX(REPORTE!$H:$H,$B117)),N(INDEX(REPORTE!$I:$I,$B117)))</f>
        <v>0</v>
      </c>
      <c r="J117">
        <f t="shared" si="7"/>
        <v>0</v>
      </c>
      <c r="K117">
        <f>SUM($J$2:$J117)</f>
        <v>3</v>
      </c>
    </row>
    <row r="118" spans="1:11" x14ac:dyDescent="0.25">
      <c r="A118">
        <v>117</v>
      </c>
      <c r="B118">
        <f t="shared" si="4"/>
        <v>56</v>
      </c>
      <c r="C118">
        <f t="shared" si="5"/>
        <v>3</v>
      </c>
      <c r="D118" t="str">
        <f>IF(INDEX(REPORTE!$B:$B,$B118)="","",INDEX(REPORTE!$B:$B,$B118))</f>
        <v/>
      </c>
      <c r="E118" t="str">
        <f>IF($D118="","",IFERROR(VLOOKUP($D118,BD_PLANTA!$A:$F,6,0),""))</f>
        <v/>
      </c>
      <c r="F118" t="str">
        <f>INDEX(REPORTE!$D:$D,$B118)</f>
        <v/>
      </c>
      <c r="G118" t="str">
        <f>INDEX(REPORTE!$E:$E,$B118)</f>
        <v/>
      </c>
      <c r="H118" t="str">
        <f t="shared" si="6"/>
        <v>HEXTADUL</v>
      </c>
      <c r="I118">
        <f>CHOOSE($C118,N(INDEX(REPORTE!$F:$F,$B118))+N(INDEX(REPORTE!$G:$G,$B118)),N(INDEX(REPORTE!$H:$H,$B118)),N(INDEX(REPORTE!$I:$I,$B118)))</f>
        <v>0</v>
      </c>
      <c r="J118">
        <f t="shared" si="7"/>
        <v>0</v>
      </c>
      <c r="K118">
        <f>SUM($J$2:$J118)</f>
        <v>3</v>
      </c>
    </row>
    <row r="119" spans="1:11" x14ac:dyDescent="0.25">
      <c r="A119">
        <v>118</v>
      </c>
      <c r="B119">
        <f t="shared" si="4"/>
        <v>57</v>
      </c>
      <c r="C119">
        <f t="shared" si="5"/>
        <v>1</v>
      </c>
      <c r="D119" t="str">
        <f>IF(INDEX(REPORTE!$B:$B,$B119)="","",INDEX(REPORTE!$B:$B,$B119))</f>
        <v/>
      </c>
      <c r="E119" t="str">
        <f>IF($D119="","",IFERROR(VLOOKUP($D119,BD_PLANTA!$A:$F,6,0),""))</f>
        <v/>
      </c>
      <c r="F119" t="str">
        <f>INDEX(REPORTE!$D:$D,$B119)</f>
        <v/>
      </c>
      <c r="G119" t="str">
        <f>INDEX(REPORTE!$E:$E,$B119)</f>
        <v/>
      </c>
      <c r="H119" t="str">
        <f t="shared" si="6"/>
        <v>HEXTREG</v>
      </c>
      <c r="I119">
        <f>CHOOSE($C119,N(INDEX(REPORTE!$F:$F,$B119))+N(INDEX(REPORTE!$G:$G,$B119)),N(INDEX(REPORTE!$H:$H,$B119)),N(INDEX(REPORTE!$I:$I,$B119)))</f>
        <v>0</v>
      </c>
      <c r="J119">
        <f t="shared" si="7"/>
        <v>0</v>
      </c>
      <c r="K119">
        <f>SUM($J$2:$J119)</f>
        <v>3</v>
      </c>
    </row>
    <row r="120" spans="1:11" x14ac:dyDescent="0.25">
      <c r="A120">
        <v>119</v>
      </c>
      <c r="B120">
        <f t="shared" si="4"/>
        <v>57</v>
      </c>
      <c r="C120">
        <f t="shared" si="5"/>
        <v>2</v>
      </c>
      <c r="D120" t="str">
        <f>IF(INDEX(REPORTE!$B:$B,$B120)="","",INDEX(REPORTE!$B:$B,$B120))</f>
        <v/>
      </c>
      <c r="E120" t="str">
        <f>IF($D120="","",IFERROR(VLOOKUP($D120,BD_PLANTA!$A:$F,6,0),""))</f>
        <v/>
      </c>
      <c r="F120" t="str">
        <f>INDEX(REPORTE!$D:$D,$B120)</f>
        <v/>
      </c>
      <c r="G120" t="str">
        <f>INDEX(REPORTE!$E:$E,$B120)</f>
        <v/>
      </c>
      <c r="H120" t="str">
        <f t="shared" si="6"/>
        <v>HEXTJU</v>
      </c>
      <c r="I120">
        <f>CHOOSE($C120,N(INDEX(REPORTE!$F:$F,$B120))+N(INDEX(REPORTE!$G:$G,$B120)),N(INDEX(REPORTE!$H:$H,$B120)),N(INDEX(REPORTE!$I:$I,$B120)))</f>
        <v>0</v>
      </c>
      <c r="J120">
        <f t="shared" si="7"/>
        <v>0</v>
      </c>
      <c r="K120">
        <f>SUM($J$2:$J120)</f>
        <v>3</v>
      </c>
    </row>
    <row r="121" spans="1:11" x14ac:dyDescent="0.25">
      <c r="A121">
        <v>120</v>
      </c>
      <c r="B121">
        <f t="shared" si="4"/>
        <v>57</v>
      </c>
      <c r="C121">
        <f t="shared" si="5"/>
        <v>3</v>
      </c>
      <c r="D121" t="str">
        <f>IF(INDEX(REPORTE!$B:$B,$B121)="","",INDEX(REPORTE!$B:$B,$B121))</f>
        <v/>
      </c>
      <c r="E121" t="str">
        <f>IF($D121="","",IFERROR(VLOOKUP($D121,BD_PLANTA!$A:$F,6,0),""))</f>
        <v/>
      </c>
      <c r="F121" t="str">
        <f>INDEX(REPORTE!$D:$D,$B121)</f>
        <v/>
      </c>
      <c r="G121" t="str">
        <f>INDEX(REPORTE!$E:$E,$B121)</f>
        <v/>
      </c>
      <c r="H121" t="str">
        <f t="shared" si="6"/>
        <v>HEXTADUL</v>
      </c>
      <c r="I121">
        <f>CHOOSE($C121,N(INDEX(REPORTE!$F:$F,$B121))+N(INDEX(REPORTE!$G:$G,$B121)),N(INDEX(REPORTE!$H:$H,$B121)),N(INDEX(REPORTE!$I:$I,$B121)))</f>
        <v>0</v>
      </c>
      <c r="J121">
        <f t="shared" si="7"/>
        <v>0</v>
      </c>
      <c r="K121">
        <f>SUM($J$2:$J121)</f>
        <v>3</v>
      </c>
    </row>
    <row r="122" spans="1:11" x14ac:dyDescent="0.25">
      <c r="A122">
        <v>121</v>
      </c>
      <c r="B122">
        <f t="shared" si="4"/>
        <v>58</v>
      </c>
      <c r="C122">
        <f t="shared" si="5"/>
        <v>1</v>
      </c>
      <c r="D122" t="str">
        <f>IF(INDEX(REPORTE!$B:$B,$B122)="","",INDEX(REPORTE!$B:$B,$B122))</f>
        <v/>
      </c>
      <c r="E122" t="str">
        <f>IF($D122="","",IFERROR(VLOOKUP($D122,BD_PLANTA!$A:$F,6,0),""))</f>
        <v/>
      </c>
      <c r="F122" t="str">
        <f>INDEX(REPORTE!$D:$D,$B122)</f>
        <v/>
      </c>
      <c r="G122" t="str">
        <f>INDEX(REPORTE!$E:$E,$B122)</f>
        <v/>
      </c>
      <c r="H122" t="str">
        <f t="shared" si="6"/>
        <v>HEXTREG</v>
      </c>
      <c r="I122">
        <f>CHOOSE($C122,N(INDEX(REPORTE!$F:$F,$B122))+N(INDEX(REPORTE!$G:$G,$B122)),N(INDEX(REPORTE!$H:$H,$B122)),N(INDEX(REPORTE!$I:$I,$B122)))</f>
        <v>0</v>
      </c>
      <c r="J122">
        <f t="shared" si="7"/>
        <v>0</v>
      </c>
      <c r="K122">
        <f>SUM($J$2:$J122)</f>
        <v>3</v>
      </c>
    </row>
    <row r="123" spans="1:11" x14ac:dyDescent="0.25">
      <c r="A123">
        <v>122</v>
      </c>
      <c r="B123">
        <f t="shared" si="4"/>
        <v>58</v>
      </c>
      <c r="C123">
        <f t="shared" si="5"/>
        <v>2</v>
      </c>
      <c r="D123" t="str">
        <f>IF(INDEX(REPORTE!$B:$B,$B123)="","",INDEX(REPORTE!$B:$B,$B123))</f>
        <v/>
      </c>
      <c r="E123" t="str">
        <f>IF($D123="","",IFERROR(VLOOKUP($D123,BD_PLANTA!$A:$F,6,0),""))</f>
        <v/>
      </c>
      <c r="F123" t="str">
        <f>INDEX(REPORTE!$D:$D,$B123)</f>
        <v/>
      </c>
      <c r="G123" t="str">
        <f>INDEX(REPORTE!$E:$E,$B123)</f>
        <v/>
      </c>
      <c r="H123" t="str">
        <f t="shared" si="6"/>
        <v>HEXTJU</v>
      </c>
      <c r="I123">
        <f>CHOOSE($C123,N(INDEX(REPORTE!$F:$F,$B123))+N(INDEX(REPORTE!$G:$G,$B123)),N(INDEX(REPORTE!$H:$H,$B123)),N(INDEX(REPORTE!$I:$I,$B123)))</f>
        <v>0</v>
      </c>
      <c r="J123">
        <f t="shared" si="7"/>
        <v>0</v>
      </c>
      <c r="K123">
        <f>SUM($J$2:$J123)</f>
        <v>3</v>
      </c>
    </row>
    <row r="124" spans="1:11" x14ac:dyDescent="0.25">
      <c r="A124">
        <v>123</v>
      </c>
      <c r="B124">
        <f t="shared" si="4"/>
        <v>58</v>
      </c>
      <c r="C124">
        <f t="shared" si="5"/>
        <v>3</v>
      </c>
      <c r="D124" t="str">
        <f>IF(INDEX(REPORTE!$B:$B,$B124)="","",INDEX(REPORTE!$B:$B,$B124))</f>
        <v/>
      </c>
      <c r="E124" t="str">
        <f>IF($D124="","",IFERROR(VLOOKUP($D124,BD_PLANTA!$A:$F,6,0),""))</f>
        <v/>
      </c>
      <c r="F124" t="str">
        <f>INDEX(REPORTE!$D:$D,$B124)</f>
        <v/>
      </c>
      <c r="G124" t="str">
        <f>INDEX(REPORTE!$E:$E,$B124)</f>
        <v/>
      </c>
      <c r="H124" t="str">
        <f t="shared" si="6"/>
        <v>HEXTADUL</v>
      </c>
      <c r="I124">
        <f>CHOOSE($C124,N(INDEX(REPORTE!$F:$F,$B124))+N(INDEX(REPORTE!$G:$G,$B124)),N(INDEX(REPORTE!$H:$H,$B124)),N(INDEX(REPORTE!$I:$I,$B124)))</f>
        <v>0</v>
      </c>
      <c r="J124">
        <f t="shared" si="7"/>
        <v>0</v>
      </c>
      <c r="K124">
        <f>SUM($J$2:$J124)</f>
        <v>3</v>
      </c>
    </row>
    <row r="125" spans="1:11" x14ac:dyDescent="0.25">
      <c r="A125">
        <v>124</v>
      </c>
      <c r="B125">
        <f t="shared" si="4"/>
        <v>59</v>
      </c>
      <c r="C125">
        <f t="shared" si="5"/>
        <v>1</v>
      </c>
      <c r="D125" t="str">
        <f>IF(INDEX(REPORTE!$B:$B,$B125)="","",INDEX(REPORTE!$B:$B,$B125))</f>
        <v/>
      </c>
      <c r="E125" t="str">
        <f>IF($D125="","",IFERROR(VLOOKUP($D125,BD_PLANTA!$A:$F,6,0),""))</f>
        <v/>
      </c>
      <c r="F125" t="str">
        <f>INDEX(REPORTE!$D:$D,$B125)</f>
        <v/>
      </c>
      <c r="G125" t="str">
        <f>INDEX(REPORTE!$E:$E,$B125)</f>
        <v/>
      </c>
      <c r="H125" t="str">
        <f t="shared" si="6"/>
        <v>HEXTREG</v>
      </c>
      <c r="I125">
        <f>CHOOSE($C125,N(INDEX(REPORTE!$F:$F,$B125))+N(INDEX(REPORTE!$G:$G,$B125)),N(INDEX(REPORTE!$H:$H,$B125)),N(INDEX(REPORTE!$I:$I,$B125)))</f>
        <v>0</v>
      </c>
      <c r="J125">
        <f t="shared" si="7"/>
        <v>0</v>
      </c>
      <c r="K125">
        <f>SUM($J$2:$J125)</f>
        <v>3</v>
      </c>
    </row>
    <row r="126" spans="1:11" x14ac:dyDescent="0.25">
      <c r="A126">
        <v>125</v>
      </c>
      <c r="B126">
        <f t="shared" si="4"/>
        <v>59</v>
      </c>
      <c r="C126">
        <f t="shared" si="5"/>
        <v>2</v>
      </c>
      <c r="D126" t="str">
        <f>IF(INDEX(REPORTE!$B:$B,$B126)="","",INDEX(REPORTE!$B:$B,$B126))</f>
        <v/>
      </c>
      <c r="E126" t="str">
        <f>IF($D126="","",IFERROR(VLOOKUP($D126,BD_PLANTA!$A:$F,6,0),""))</f>
        <v/>
      </c>
      <c r="F126" t="str">
        <f>INDEX(REPORTE!$D:$D,$B126)</f>
        <v/>
      </c>
      <c r="G126" t="str">
        <f>INDEX(REPORTE!$E:$E,$B126)</f>
        <v/>
      </c>
      <c r="H126" t="str">
        <f t="shared" si="6"/>
        <v>HEXTJU</v>
      </c>
      <c r="I126">
        <f>CHOOSE($C126,N(INDEX(REPORTE!$F:$F,$B126))+N(INDEX(REPORTE!$G:$G,$B126)),N(INDEX(REPORTE!$H:$H,$B126)),N(INDEX(REPORTE!$I:$I,$B126)))</f>
        <v>0</v>
      </c>
      <c r="J126">
        <f t="shared" si="7"/>
        <v>0</v>
      </c>
      <c r="K126">
        <f>SUM($J$2:$J126)</f>
        <v>3</v>
      </c>
    </row>
    <row r="127" spans="1:11" x14ac:dyDescent="0.25">
      <c r="A127">
        <v>126</v>
      </c>
      <c r="B127">
        <f t="shared" si="4"/>
        <v>59</v>
      </c>
      <c r="C127">
        <f t="shared" si="5"/>
        <v>3</v>
      </c>
      <c r="D127" t="str">
        <f>IF(INDEX(REPORTE!$B:$B,$B127)="","",INDEX(REPORTE!$B:$B,$B127))</f>
        <v/>
      </c>
      <c r="E127" t="str">
        <f>IF($D127="","",IFERROR(VLOOKUP($D127,BD_PLANTA!$A:$F,6,0),""))</f>
        <v/>
      </c>
      <c r="F127" t="str">
        <f>INDEX(REPORTE!$D:$D,$B127)</f>
        <v/>
      </c>
      <c r="G127" t="str">
        <f>INDEX(REPORTE!$E:$E,$B127)</f>
        <v/>
      </c>
      <c r="H127" t="str">
        <f t="shared" si="6"/>
        <v>HEXTADUL</v>
      </c>
      <c r="I127">
        <f>CHOOSE($C127,N(INDEX(REPORTE!$F:$F,$B127))+N(INDEX(REPORTE!$G:$G,$B127)),N(INDEX(REPORTE!$H:$H,$B127)),N(INDEX(REPORTE!$I:$I,$B127)))</f>
        <v>0</v>
      </c>
      <c r="J127">
        <f t="shared" si="7"/>
        <v>0</v>
      </c>
      <c r="K127">
        <f>SUM($J$2:$J127)</f>
        <v>3</v>
      </c>
    </row>
    <row r="128" spans="1:11" x14ac:dyDescent="0.25">
      <c r="A128">
        <v>127</v>
      </c>
      <c r="B128">
        <f t="shared" si="4"/>
        <v>60</v>
      </c>
      <c r="C128">
        <f t="shared" si="5"/>
        <v>1</v>
      </c>
      <c r="D128" t="str">
        <f>IF(INDEX(REPORTE!$B:$B,$B128)="","",INDEX(REPORTE!$B:$B,$B128))</f>
        <v/>
      </c>
      <c r="E128" t="str">
        <f>IF($D128="","",IFERROR(VLOOKUP($D128,BD_PLANTA!$A:$F,6,0),""))</f>
        <v/>
      </c>
      <c r="F128" t="str">
        <f>INDEX(REPORTE!$D:$D,$B128)</f>
        <v/>
      </c>
      <c r="G128" t="str">
        <f>INDEX(REPORTE!$E:$E,$B128)</f>
        <v/>
      </c>
      <c r="H128" t="str">
        <f t="shared" si="6"/>
        <v>HEXTREG</v>
      </c>
      <c r="I128">
        <f>CHOOSE($C128,N(INDEX(REPORTE!$F:$F,$B128))+N(INDEX(REPORTE!$G:$G,$B128)),N(INDEX(REPORTE!$H:$H,$B128)),N(INDEX(REPORTE!$I:$I,$B128)))</f>
        <v>0</v>
      </c>
      <c r="J128">
        <f t="shared" si="7"/>
        <v>0</v>
      </c>
      <c r="K128">
        <f>SUM($J$2:$J128)</f>
        <v>3</v>
      </c>
    </row>
    <row r="129" spans="1:11" x14ac:dyDescent="0.25">
      <c r="A129">
        <v>128</v>
      </c>
      <c r="B129">
        <f t="shared" si="4"/>
        <v>60</v>
      </c>
      <c r="C129">
        <f t="shared" si="5"/>
        <v>2</v>
      </c>
      <c r="D129" t="str">
        <f>IF(INDEX(REPORTE!$B:$B,$B129)="","",INDEX(REPORTE!$B:$B,$B129))</f>
        <v/>
      </c>
      <c r="E129" t="str">
        <f>IF($D129="","",IFERROR(VLOOKUP($D129,BD_PLANTA!$A:$F,6,0),""))</f>
        <v/>
      </c>
      <c r="F129" t="str">
        <f>INDEX(REPORTE!$D:$D,$B129)</f>
        <v/>
      </c>
      <c r="G129" t="str">
        <f>INDEX(REPORTE!$E:$E,$B129)</f>
        <v/>
      </c>
      <c r="H129" t="str">
        <f t="shared" si="6"/>
        <v>HEXTJU</v>
      </c>
      <c r="I129">
        <f>CHOOSE($C129,N(INDEX(REPORTE!$F:$F,$B129))+N(INDEX(REPORTE!$G:$G,$B129)),N(INDEX(REPORTE!$H:$H,$B129)),N(INDEX(REPORTE!$I:$I,$B129)))</f>
        <v>0</v>
      </c>
      <c r="J129">
        <f t="shared" si="7"/>
        <v>0</v>
      </c>
      <c r="K129">
        <f>SUM($J$2:$J129)</f>
        <v>3</v>
      </c>
    </row>
    <row r="130" spans="1:11" x14ac:dyDescent="0.25">
      <c r="A130">
        <v>129</v>
      </c>
      <c r="B130">
        <f t="shared" ref="B130:B193" si="8">18+INT(($A130-1)/3)</f>
        <v>60</v>
      </c>
      <c r="C130">
        <f t="shared" ref="C130:C193" si="9">MOD($A130-1,3)+1</f>
        <v>3</v>
      </c>
      <c r="D130" t="str">
        <f>IF(INDEX(REPORTE!$B:$B,$B130)="","",INDEX(REPORTE!$B:$B,$B130))</f>
        <v/>
      </c>
      <c r="E130" t="str">
        <f>IF($D130="","",IFERROR(VLOOKUP($D130,BD_PLANTA!$A:$F,6,0),""))</f>
        <v/>
      </c>
      <c r="F130" t="str">
        <f>INDEX(REPORTE!$D:$D,$B130)</f>
        <v/>
      </c>
      <c r="G130" t="str">
        <f>INDEX(REPORTE!$E:$E,$B130)</f>
        <v/>
      </c>
      <c r="H130" t="str">
        <f t="shared" ref="H130:H193" si="10">CHOOSE($C130,"HEXTREG","HEXTJU","HEXTADUL")</f>
        <v>HEXTADUL</v>
      </c>
      <c r="I130">
        <f>CHOOSE($C130,N(INDEX(REPORTE!$F:$F,$B130))+N(INDEX(REPORTE!$G:$G,$B130)),N(INDEX(REPORTE!$H:$H,$B130)),N(INDEX(REPORTE!$I:$I,$B130)))</f>
        <v>0</v>
      </c>
      <c r="J130">
        <f t="shared" ref="J130:J193" si="11">IF(AND($D130&lt;&gt;"",$I130&gt;0),1,0)</f>
        <v>0</v>
      </c>
      <c r="K130">
        <f>SUM($J$2:$J130)</f>
        <v>3</v>
      </c>
    </row>
    <row r="131" spans="1:11" x14ac:dyDescent="0.25">
      <c r="A131">
        <v>130</v>
      </c>
      <c r="B131">
        <f t="shared" si="8"/>
        <v>61</v>
      </c>
      <c r="C131">
        <f t="shared" si="9"/>
        <v>1</v>
      </c>
      <c r="D131" t="str">
        <f>IF(INDEX(REPORTE!$B:$B,$B131)="","",INDEX(REPORTE!$B:$B,$B131))</f>
        <v/>
      </c>
      <c r="E131" t="str">
        <f>IF($D131="","",IFERROR(VLOOKUP($D131,BD_PLANTA!$A:$F,6,0),""))</f>
        <v/>
      </c>
      <c r="F131" t="str">
        <f>INDEX(REPORTE!$D:$D,$B131)</f>
        <v/>
      </c>
      <c r="G131" t="str">
        <f>INDEX(REPORTE!$E:$E,$B131)</f>
        <v/>
      </c>
      <c r="H131" t="str">
        <f t="shared" si="10"/>
        <v>HEXTREG</v>
      </c>
      <c r="I131">
        <f>CHOOSE($C131,N(INDEX(REPORTE!$F:$F,$B131))+N(INDEX(REPORTE!$G:$G,$B131)),N(INDEX(REPORTE!$H:$H,$B131)),N(INDEX(REPORTE!$I:$I,$B131)))</f>
        <v>0</v>
      </c>
      <c r="J131">
        <f t="shared" si="11"/>
        <v>0</v>
      </c>
      <c r="K131">
        <f>SUM($J$2:$J131)</f>
        <v>3</v>
      </c>
    </row>
    <row r="132" spans="1:11" x14ac:dyDescent="0.25">
      <c r="A132">
        <v>131</v>
      </c>
      <c r="B132">
        <f t="shared" si="8"/>
        <v>61</v>
      </c>
      <c r="C132">
        <f t="shared" si="9"/>
        <v>2</v>
      </c>
      <c r="D132" t="str">
        <f>IF(INDEX(REPORTE!$B:$B,$B132)="","",INDEX(REPORTE!$B:$B,$B132))</f>
        <v/>
      </c>
      <c r="E132" t="str">
        <f>IF($D132="","",IFERROR(VLOOKUP($D132,BD_PLANTA!$A:$F,6,0),""))</f>
        <v/>
      </c>
      <c r="F132" t="str">
        <f>INDEX(REPORTE!$D:$D,$B132)</f>
        <v/>
      </c>
      <c r="G132" t="str">
        <f>INDEX(REPORTE!$E:$E,$B132)</f>
        <v/>
      </c>
      <c r="H132" t="str">
        <f t="shared" si="10"/>
        <v>HEXTJU</v>
      </c>
      <c r="I132">
        <f>CHOOSE($C132,N(INDEX(REPORTE!$F:$F,$B132))+N(INDEX(REPORTE!$G:$G,$B132)),N(INDEX(REPORTE!$H:$H,$B132)),N(INDEX(REPORTE!$I:$I,$B132)))</f>
        <v>0</v>
      </c>
      <c r="J132">
        <f t="shared" si="11"/>
        <v>0</v>
      </c>
      <c r="K132">
        <f>SUM($J$2:$J132)</f>
        <v>3</v>
      </c>
    </row>
    <row r="133" spans="1:11" x14ac:dyDescent="0.25">
      <c r="A133">
        <v>132</v>
      </c>
      <c r="B133">
        <f t="shared" si="8"/>
        <v>61</v>
      </c>
      <c r="C133">
        <f t="shared" si="9"/>
        <v>3</v>
      </c>
      <c r="D133" t="str">
        <f>IF(INDEX(REPORTE!$B:$B,$B133)="","",INDEX(REPORTE!$B:$B,$B133))</f>
        <v/>
      </c>
      <c r="E133" t="str">
        <f>IF($D133="","",IFERROR(VLOOKUP($D133,BD_PLANTA!$A:$F,6,0),""))</f>
        <v/>
      </c>
      <c r="F133" t="str">
        <f>INDEX(REPORTE!$D:$D,$B133)</f>
        <v/>
      </c>
      <c r="G133" t="str">
        <f>INDEX(REPORTE!$E:$E,$B133)</f>
        <v/>
      </c>
      <c r="H133" t="str">
        <f t="shared" si="10"/>
        <v>HEXTADUL</v>
      </c>
      <c r="I133">
        <f>CHOOSE($C133,N(INDEX(REPORTE!$F:$F,$B133))+N(INDEX(REPORTE!$G:$G,$B133)),N(INDEX(REPORTE!$H:$H,$B133)),N(INDEX(REPORTE!$I:$I,$B133)))</f>
        <v>0</v>
      </c>
      <c r="J133">
        <f t="shared" si="11"/>
        <v>0</v>
      </c>
      <c r="K133">
        <f>SUM($J$2:$J133)</f>
        <v>3</v>
      </c>
    </row>
    <row r="134" spans="1:11" x14ac:dyDescent="0.25">
      <c r="A134">
        <v>133</v>
      </c>
      <c r="B134">
        <f t="shared" si="8"/>
        <v>62</v>
      </c>
      <c r="C134">
        <f t="shared" si="9"/>
        <v>1</v>
      </c>
      <c r="D134" t="str">
        <f>IF(INDEX(REPORTE!$B:$B,$B134)="","",INDEX(REPORTE!$B:$B,$B134))</f>
        <v/>
      </c>
      <c r="E134" t="str">
        <f>IF($D134="","",IFERROR(VLOOKUP($D134,BD_PLANTA!$A:$F,6,0),""))</f>
        <v/>
      </c>
      <c r="F134" t="str">
        <f>INDEX(REPORTE!$D:$D,$B134)</f>
        <v/>
      </c>
      <c r="G134" t="str">
        <f>INDEX(REPORTE!$E:$E,$B134)</f>
        <v/>
      </c>
      <c r="H134" t="str">
        <f t="shared" si="10"/>
        <v>HEXTREG</v>
      </c>
      <c r="I134">
        <f>CHOOSE($C134,N(INDEX(REPORTE!$F:$F,$B134))+N(INDEX(REPORTE!$G:$G,$B134)),N(INDEX(REPORTE!$H:$H,$B134)),N(INDEX(REPORTE!$I:$I,$B134)))</f>
        <v>0</v>
      </c>
      <c r="J134">
        <f t="shared" si="11"/>
        <v>0</v>
      </c>
      <c r="K134">
        <f>SUM($J$2:$J134)</f>
        <v>3</v>
      </c>
    </row>
    <row r="135" spans="1:11" x14ac:dyDescent="0.25">
      <c r="A135">
        <v>134</v>
      </c>
      <c r="B135">
        <f t="shared" si="8"/>
        <v>62</v>
      </c>
      <c r="C135">
        <f t="shared" si="9"/>
        <v>2</v>
      </c>
      <c r="D135" t="str">
        <f>IF(INDEX(REPORTE!$B:$B,$B135)="","",INDEX(REPORTE!$B:$B,$B135))</f>
        <v/>
      </c>
      <c r="E135" t="str">
        <f>IF($D135="","",IFERROR(VLOOKUP($D135,BD_PLANTA!$A:$F,6,0),""))</f>
        <v/>
      </c>
      <c r="F135" t="str">
        <f>INDEX(REPORTE!$D:$D,$B135)</f>
        <v/>
      </c>
      <c r="G135" t="str">
        <f>INDEX(REPORTE!$E:$E,$B135)</f>
        <v/>
      </c>
      <c r="H135" t="str">
        <f t="shared" si="10"/>
        <v>HEXTJU</v>
      </c>
      <c r="I135">
        <f>CHOOSE($C135,N(INDEX(REPORTE!$F:$F,$B135))+N(INDEX(REPORTE!$G:$G,$B135)),N(INDEX(REPORTE!$H:$H,$B135)),N(INDEX(REPORTE!$I:$I,$B135)))</f>
        <v>0</v>
      </c>
      <c r="J135">
        <f t="shared" si="11"/>
        <v>0</v>
      </c>
      <c r="K135">
        <f>SUM($J$2:$J135)</f>
        <v>3</v>
      </c>
    </row>
    <row r="136" spans="1:11" x14ac:dyDescent="0.25">
      <c r="A136">
        <v>135</v>
      </c>
      <c r="B136">
        <f t="shared" si="8"/>
        <v>62</v>
      </c>
      <c r="C136">
        <f t="shared" si="9"/>
        <v>3</v>
      </c>
      <c r="D136" t="str">
        <f>IF(INDEX(REPORTE!$B:$B,$B136)="","",INDEX(REPORTE!$B:$B,$B136))</f>
        <v/>
      </c>
      <c r="E136" t="str">
        <f>IF($D136="","",IFERROR(VLOOKUP($D136,BD_PLANTA!$A:$F,6,0),""))</f>
        <v/>
      </c>
      <c r="F136" t="str">
        <f>INDEX(REPORTE!$D:$D,$B136)</f>
        <v/>
      </c>
      <c r="G136" t="str">
        <f>INDEX(REPORTE!$E:$E,$B136)</f>
        <v/>
      </c>
      <c r="H136" t="str">
        <f t="shared" si="10"/>
        <v>HEXTADUL</v>
      </c>
      <c r="I136">
        <f>CHOOSE($C136,N(INDEX(REPORTE!$F:$F,$B136))+N(INDEX(REPORTE!$G:$G,$B136)),N(INDEX(REPORTE!$H:$H,$B136)),N(INDEX(REPORTE!$I:$I,$B136)))</f>
        <v>0</v>
      </c>
      <c r="J136">
        <f t="shared" si="11"/>
        <v>0</v>
      </c>
      <c r="K136">
        <f>SUM($J$2:$J136)</f>
        <v>3</v>
      </c>
    </row>
    <row r="137" spans="1:11" x14ac:dyDescent="0.25">
      <c r="A137">
        <v>136</v>
      </c>
      <c r="B137">
        <f t="shared" si="8"/>
        <v>63</v>
      </c>
      <c r="C137">
        <f t="shared" si="9"/>
        <v>1</v>
      </c>
      <c r="D137" t="str">
        <f>IF(INDEX(REPORTE!$B:$B,$B137)="","",INDEX(REPORTE!$B:$B,$B137))</f>
        <v/>
      </c>
      <c r="E137" t="str">
        <f>IF($D137="","",IFERROR(VLOOKUP($D137,BD_PLANTA!$A:$F,6,0),""))</f>
        <v/>
      </c>
      <c r="F137" t="str">
        <f>INDEX(REPORTE!$D:$D,$B137)</f>
        <v/>
      </c>
      <c r="G137" t="str">
        <f>INDEX(REPORTE!$E:$E,$B137)</f>
        <v/>
      </c>
      <c r="H137" t="str">
        <f t="shared" si="10"/>
        <v>HEXTREG</v>
      </c>
      <c r="I137">
        <f>CHOOSE($C137,N(INDEX(REPORTE!$F:$F,$B137))+N(INDEX(REPORTE!$G:$G,$B137)),N(INDEX(REPORTE!$H:$H,$B137)),N(INDEX(REPORTE!$I:$I,$B137)))</f>
        <v>0</v>
      </c>
      <c r="J137">
        <f t="shared" si="11"/>
        <v>0</v>
      </c>
      <c r="K137">
        <f>SUM($J$2:$J137)</f>
        <v>3</v>
      </c>
    </row>
    <row r="138" spans="1:11" x14ac:dyDescent="0.25">
      <c r="A138">
        <v>137</v>
      </c>
      <c r="B138">
        <f t="shared" si="8"/>
        <v>63</v>
      </c>
      <c r="C138">
        <f t="shared" si="9"/>
        <v>2</v>
      </c>
      <c r="D138" t="str">
        <f>IF(INDEX(REPORTE!$B:$B,$B138)="","",INDEX(REPORTE!$B:$B,$B138))</f>
        <v/>
      </c>
      <c r="E138" t="str">
        <f>IF($D138="","",IFERROR(VLOOKUP($D138,BD_PLANTA!$A:$F,6,0),""))</f>
        <v/>
      </c>
      <c r="F138" t="str">
        <f>INDEX(REPORTE!$D:$D,$B138)</f>
        <v/>
      </c>
      <c r="G138" t="str">
        <f>INDEX(REPORTE!$E:$E,$B138)</f>
        <v/>
      </c>
      <c r="H138" t="str">
        <f t="shared" si="10"/>
        <v>HEXTJU</v>
      </c>
      <c r="I138">
        <f>CHOOSE($C138,N(INDEX(REPORTE!$F:$F,$B138))+N(INDEX(REPORTE!$G:$G,$B138)),N(INDEX(REPORTE!$H:$H,$B138)),N(INDEX(REPORTE!$I:$I,$B138)))</f>
        <v>0</v>
      </c>
      <c r="J138">
        <f t="shared" si="11"/>
        <v>0</v>
      </c>
      <c r="K138">
        <f>SUM($J$2:$J138)</f>
        <v>3</v>
      </c>
    </row>
    <row r="139" spans="1:11" x14ac:dyDescent="0.25">
      <c r="A139">
        <v>138</v>
      </c>
      <c r="B139">
        <f t="shared" si="8"/>
        <v>63</v>
      </c>
      <c r="C139">
        <f t="shared" si="9"/>
        <v>3</v>
      </c>
      <c r="D139" t="str">
        <f>IF(INDEX(REPORTE!$B:$B,$B139)="","",INDEX(REPORTE!$B:$B,$B139))</f>
        <v/>
      </c>
      <c r="E139" t="str">
        <f>IF($D139="","",IFERROR(VLOOKUP($D139,BD_PLANTA!$A:$F,6,0),""))</f>
        <v/>
      </c>
      <c r="F139" t="str">
        <f>INDEX(REPORTE!$D:$D,$B139)</f>
        <v/>
      </c>
      <c r="G139" t="str">
        <f>INDEX(REPORTE!$E:$E,$B139)</f>
        <v/>
      </c>
      <c r="H139" t="str">
        <f t="shared" si="10"/>
        <v>HEXTADUL</v>
      </c>
      <c r="I139">
        <f>CHOOSE($C139,N(INDEX(REPORTE!$F:$F,$B139))+N(INDEX(REPORTE!$G:$G,$B139)),N(INDEX(REPORTE!$H:$H,$B139)),N(INDEX(REPORTE!$I:$I,$B139)))</f>
        <v>0</v>
      </c>
      <c r="J139">
        <f t="shared" si="11"/>
        <v>0</v>
      </c>
      <c r="K139">
        <f>SUM($J$2:$J139)</f>
        <v>3</v>
      </c>
    </row>
    <row r="140" spans="1:11" x14ac:dyDescent="0.25">
      <c r="A140">
        <v>139</v>
      </c>
      <c r="B140">
        <f t="shared" si="8"/>
        <v>64</v>
      </c>
      <c r="C140">
        <f t="shared" si="9"/>
        <v>1</v>
      </c>
      <c r="D140" t="str">
        <f>IF(INDEX(REPORTE!$B:$B,$B140)="","",INDEX(REPORTE!$B:$B,$B140))</f>
        <v/>
      </c>
      <c r="E140" t="str">
        <f>IF($D140="","",IFERROR(VLOOKUP($D140,BD_PLANTA!$A:$F,6,0),""))</f>
        <v/>
      </c>
      <c r="F140" t="str">
        <f>INDEX(REPORTE!$D:$D,$B140)</f>
        <v/>
      </c>
      <c r="G140" t="str">
        <f>INDEX(REPORTE!$E:$E,$B140)</f>
        <v/>
      </c>
      <c r="H140" t="str">
        <f t="shared" si="10"/>
        <v>HEXTREG</v>
      </c>
      <c r="I140">
        <f>CHOOSE($C140,N(INDEX(REPORTE!$F:$F,$B140))+N(INDEX(REPORTE!$G:$G,$B140)),N(INDEX(REPORTE!$H:$H,$B140)),N(INDEX(REPORTE!$I:$I,$B140)))</f>
        <v>0</v>
      </c>
      <c r="J140">
        <f t="shared" si="11"/>
        <v>0</v>
      </c>
      <c r="K140">
        <f>SUM($J$2:$J140)</f>
        <v>3</v>
      </c>
    </row>
    <row r="141" spans="1:11" x14ac:dyDescent="0.25">
      <c r="A141">
        <v>140</v>
      </c>
      <c r="B141">
        <f t="shared" si="8"/>
        <v>64</v>
      </c>
      <c r="C141">
        <f t="shared" si="9"/>
        <v>2</v>
      </c>
      <c r="D141" t="str">
        <f>IF(INDEX(REPORTE!$B:$B,$B141)="","",INDEX(REPORTE!$B:$B,$B141))</f>
        <v/>
      </c>
      <c r="E141" t="str">
        <f>IF($D141="","",IFERROR(VLOOKUP($D141,BD_PLANTA!$A:$F,6,0),""))</f>
        <v/>
      </c>
      <c r="F141" t="str">
        <f>INDEX(REPORTE!$D:$D,$B141)</f>
        <v/>
      </c>
      <c r="G141" t="str">
        <f>INDEX(REPORTE!$E:$E,$B141)</f>
        <v/>
      </c>
      <c r="H141" t="str">
        <f t="shared" si="10"/>
        <v>HEXTJU</v>
      </c>
      <c r="I141">
        <f>CHOOSE($C141,N(INDEX(REPORTE!$F:$F,$B141))+N(INDEX(REPORTE!$G:$G,$B141)),N(INDEX(REPORTE!$H:$H,$B141)),N(INDEX(REPORTE!$I:$I,$B141)))</f>
        <v>0</v>
      </c>
      <c r="J141">
        <f t="shared" si="11"/>
        <v>0</v>
      </c>
      <c r="K141">
        <f>SUM($J$2:$J141)</f>
        <v>3</v>
      </c>
    </row>
    <row r="142" spans="1:11" x14ac:dyDescent="0.25">
      <c r="A142">
        <v>141</v>
      </c>
      <c r="B142">
        <f t="shared" si="8"/>
        <v>64</v>
      </c>
      <c r="C142">
        <f t="shared" si="9"/>
        <v>3</v>
      </c>
      <c r="D142" t="str">
        <f>IF(INDEX(REPORTE!$B:$B,$B142)="","",INDEX(REPORTE!$B:$B,$B142))</f>
        <v/>
      </c>
      <c r="E142" t="str">
        <f>IF($D142="","",IFERROR(VLOOKUP($D142,BD_PLANTA!$A:$F,6,0),""))</f>
        <v/>
      </c>
      <c r="F142" t="str">
        <f>INDEX(REPORTE!$D:$D,$B142)</f>
        <v/>
      </c>
      <c r="G142" t="str">
        <f>INDEX(REPORTE!$E:$E,$B142)</f>
        <v/>
      </c>
      <c r="H142" t="str">
        <f t="shared" si="10"/>
        <v>HEXTADUL</v>
      </c>
      <c r="I142">
        <f>CHOOSE($C142,N(INDEX(REPORTE!$F:$F,$B142))+N(INDEX(REPORTE!$G:$G,$B142)),N(INDEX(REPORTE!$H:$H,$B142)),N(INDEX(REPORTE!$I:$I,$B142)))</f>
        <v>0</v>
      </c>
      <c r="J142">
        <f t="shared" si="11"/>
        <v>0</v>
      </c>
      <c r="K142">
        <f>SUM($J$2:$J142)</f>
        <v>3</v>
      </c>
    </row>
    <row r="143" spans="1:11" x14ac:dyDescent="0.25">
      <c r="A143">
        <v>142</v>
      </c>
      <c r="B143">
        <f t="shared" si="8"/>
        <v>65</v>
      </c>
      <c r="C143">
        <f t="shared" si="9"/>
        <v>1</v>
      </c>
      <c r="D143" t="str">
        <f>IF(INDEX(REPORTE!$B:$B,$B143)="","",INDEX(REPORTE!$B:$B,$B143))</f>
        <v/>
      </c>
      <c r="E143" t="str">
        <f>IF($D143="","",IFERROR(VLOOKUP($D143,BD_PLANTA!$A:$F,6,0),""))</f>
        <v/>
      </c>
      <c r="F143" t="str">
        <f>INDEX(REPORTE!$D:$D,$B143)</f>
        <v/>
      </c>
      <c r="G143" t="str">
        <f>INDEX(REPORTE!$E:$E,$B143)</f>
        <v/>
      </c>
      <c r="H143" t="str">
        <f t="shared" si="10"/>
        <v>HEXTREG</v>
      </c>
      <c r="I143">
        <f>CHOOSE($C143,N(INDEX(REPORTE!$F:$F,$B143))+N(INDEX(REPORTE!$G:$G,$B143)),N(INDEX(REPORTE!$H:$H,$B143)),N(INDEX(REPORTE!$I:$I,$B143)))</f>
        <v>0</v>
      </c>
      <c r="J143">
        <f t="shared" si="11"/>
        <v>0</v>
      </c>
      <c r="K143">
        <f>SUM($J$2:$J143)</f>
        <v>3</v>
      </c>
    </row>
    <row r="144" spans="1:11" x14ac:dyDescent="0.25">
      <c r="A144">
        <v>143</v>
      </c>
      <c r="B144">
        <f t="shared" si="8"/>
        <v>65</v>
      </c>
      <c r="C144">
        <f t="shared" si="9"/>
        <v>2</v>
      </c>
      <c r="D144" t="str">
        <f>IF(INDEX(REPORTE!$B:$B,$B144)="","",INDEX(REPORTE!$B:$B,$B144))</f>
        <v/>
      </c>
      <c r="E144" t="str">
        <f>IF($D144="","",IFERROR(VLOOKUP($D144,BD_PLANTA!$A:$F,6,0),""))</f>
        <v/>
      </c>
      <c r="F144" t="str">
        <f>INDEX(REPORTE!$D:$D,$B144)</f>
        <v/>
      </c>
      <c r="G144" t="str">
        <f>INDEX(REPORTE!$E:$E,$B144)</f>
        <v/>
      </c>
      <c r="H144" t="str">
        <f t="shared" si="10"/>
        <v>HEXTJU</v>
      </c>
      <c r="I144">
        <f>CHOOSE($C144,N(INDEX(REPORTE!$F:$F,$B144))+N(INDEX(REPORTE!$G:$G,$B144)),N(INDEX(REPORTE!$H:$H,$B144)),N(INDEX(REPORTE!$I:$I,$B144)))</f>
        <v>0</v>
      </c>
      <c r="J144">
        <f t="shared" si="11"/>
        <v>0</v>
      </c>
      <c r="K144">
        <f>SUM($J$2:$J144)</f>
        <v>3</v>
      </c>
    </row>
    <row r="145" spans="1:11" x14ac:dyDescent="0.25">
      <c r="A145">
        <v>144</v>
      </c>
      <c r="B145">
        <f t="shared" si="8"/>
        <v>65</v>
      </c>
      <c r="C145">
        <f t="shared" si="9"/>
        <v>3</v>
      </c>
      <c r="D145" t="str">
        <f>IF(INDEX(REPORTE!$B:$B,$B145)="","",INDEX(REPORTE!$B:$B,$B145))</f>
        <v/>
      </c>
      <c r="E145" t="str">
        <f>IF($D145="","",IFERROR(VLOOKUP($D145,BD_PLANTA!$A:$F,6,0),""))</f>
        <v/>
      </c>
      <c r="F145" t="str">
        <f>INDEX(REPORTE!$D:$D,$B145)</f>
        <v/>
      </c>
      <c r="G145" t="str">
        <f>INDEX(REPORTE!$E:$E,$B145)</f>
        <v/>
      </c>
      <c r="H145" t="str">
        <f t="shared" si="10"/>
        <v>HEXTADUL</v>
      </c>
      <c r="I145">
        <f>CHOOSE($C145,N(INDEX(REPORTE!$F:$F,$B145))+N(INDEX(REPORTE!$G:$G,$B145)),N(INDEX(REPORTE!$H:$H,$B145)),N(INDEX(REPORTE!$I:$I,$B145)))</f>
        <v>0</v>
      </c>
      <c r="J145">
        <f t="shared" si="11"/>
        <v>0</v>
      </c>
      <c r="K145">
        <f>SUM($J$2:$J145)</f>
        <v>3</v>
      </c>
    </row>
    <row r="146" spans="1:11" x14ac:dyDescent="0.25">
      <c r="A146">
        <v>145</v>
      </c>
      <c r="B146">
        <f t="shared" si="8"/>
        <v>66</v>
      </c>
      <c r="C146">
        <f t="shared" si="9"/>
        <v>1</v>
      </c>
      <c r="D146" t="str">
        <f>IF(INDEX(REPORTE!$B:$B,$B146)="","",INDEX(REPORTE!$B:$B,$B146))</f>
        <v/>
      </c>
      <c r="E146" t="str">
        <f>IF($D146="","",IFERROR(VLOOKUP($D146,BD_PLANTA!$A:$F,6,0),""))</f>
        <v/>
      </c>
      <c r="F146" t="str">
        <f>INDEX(REPORTE!$D:$D,$B146)</f>
        <v/>
      </c>
      <c r="G146" t="str">
        <f>INDEX(REPORTE!$E:$E,$B146)</f>
        <v/>
      </c>
      <c r="H146" t="str">
        <f t="shared" si="10"/>
        <v>HEXTREG</v>
      </c>
      <c r="I146">
        <f>CHOOSE($C146,N(INDEX(REPORTE!$F:$F,$B146))+N(INDEX(REPORTE!$G:$G,$B146)),N(INDEX(REPORTE!$H:$H,$B146)),N(INDEX(REPORTE!$I:$I,$B146)))</f>
        <v>0</v>
      </c>
      <c r="J146">
        <f t="shared" si="11"/>
        <v>0</v>
      </c>
      <c r="K146">
        <f>SUM($J$2:$J146)</f>
        <v>3</v>
      </c>
    </row>
    <row r="147" spans="1:11" x14ac:dyDescent="0.25">
      <c r="A147">
        <v>146</v>
      </c>
      <c r="B147">
        <f t="shared" si="8"/>
        <v>66</v>
      </c>
      <c r="C147">
        <f t="shared" si="9"/>
        <v>2</v>
      </c>
      <c r="D147" t="str">
        <f>IF(INDEX(REPORTE!$B:$B,$B147)="","",INDEX(REPORTE!$B:$B,$B147))</f>
        <v/>
      </c>
      <c r="E147" t="str">
        <f>IF($D147="","",IFERROR(VLOOKUP($D147,BD_PLANTA!$A:$F,6,0),""))</f>
        <v/>
      </c>
      <c r="F147" t="str">
        <f>INDEX(REPORTE!$D:$D,$B147)</f>
        <v/>
      </c>
      <c r="G147" t="str">
        <f>INDEX(REPORTE!$E:$E,$B147)</f>
        <v/>
      </c>
      <c r="H147" t="str">
        <f t="shared" si="10"/>
        <v>HEXTJU</v>
      </c>
      <c r="I147">
        <f>CHOOSE($C147,N(INDEX(REPORTE!$F:$F,$B147))+N(INDEX(REPORTE!$G:$G,$B147)),N(INDEX(REPORTE!$H:$H,$B147)),N(INDEX(REPORTE!$I:$I,$B147)))</f>
        <v>0</v>
      </c>
      <c r="J147">
        <f t="shared" si="11"/>
        <v>0</v>
      </c>
      <c r="K147">
        <f>SUM($J$2:$J147)</f>
        <v>3</v>
      </c>
    </row>
    <row r="148" spans="1:11" x14ac:dyDescent="0.25">
      <c r="A148">
        <v>147</v>
      </c>
      <c r="B148">
        <f t="shared" si="8"/>
        <v>66</v>
      </c>
      <c r="C148">
        <f t="shared" si="9"/>
        <v>3</v>
      </c>
      <c r="D148" t="str">
        <f>IF(INDEX(REPORTE!$B:$B,$B148)="","",INDEX(REPORTE!$B:$B,$B148))</f>
        <v/>
      </c>
      <c r="E148" t="str">
        <f>IF($D148="","",IFERROR(VLOOKUP($D148,BD_PLANTA!$A:$F,6,0),""))</f>
        <v/>
      </c>
      <c r="F148" t="str">
        <f>INDEX(REPORTE!$D:$D,$B148)</f>
        <v/>
      </c>
      <c r="G148" t="str">
        <f>INDEX(REPORTE!$E:$E,$B148)</f>
        <v/>
      </c>
      <c r="H148" t="str">
        <f t="shared" si="10"/>
        <v>HEXTADUL</v>
      </c>
      <c r="I148">
        <f>CHOOSE($C148,N(INDEX(REPORTE!$F:$F,$B148))+N(INDEX(REPORTE!$G:$G,$B148)),N(INDEX(REPORTE!$H:$H,$B148)),N(INDEX(REPORTE!$I:$I,$B148)))</f>
        <v>0</v>
      </c>
      <c r="J148">
        <f t="shared" si="11"/>
        <v>0</v>
      </c>
      <c r="K148">
        <f>SUM($J$2:$J148)</f>
        <v>3</v>
      </c>
    </row>
    <row r="149" spans="1:11" x14ac:dyDescent="0.25">
      <c r="A149">
        <v>148</v>
      </c>
      <c r="B149">
        <f t="shared" si="8"/>
        <v>67</v>
      </c>
      <c r="C149">
        <f t="shared" si="9"/>
        <v>1</v>
      </c>
      <c r="D149" t="str">
        <f>IF(INDEX(REPORTE!$B:$B,$B149)="","",INDEX(REPORTE!$B:$B,$B149))</f>
        <v/>
      </c>
      <c r="E149" t="str">
        <f>IF($D149="","",IFERROR(VLOOKUP($D149,BD_PLANTA!$A:$F,6,0),""))</f>
        <v/>
      </c>
      <c r="F149" t="str">
        <f>INDEX(REPORTE!$D:$D,$B149)</f>
        <v/>
      </c>
      <c r="G149" t="str">
        <f>INDEX(REPORTE!$E:$E,$B149)</f>
        <v/>
      </c>
      <c r="H149" t="str">
        <f t="shared" si="10"/>
        <v>HEXTREG</v>
      </c>
      <c r="I149">
        <f>CHOOSE($C149,N(INDEX(REPORTE!$F:$F,$B149))+N(INDEX(REPORTE!$G:$G,$B149)),N(INDEX(REPORTE!$H:$H,$B149)),N(INDEX(REPORTE!$I:$I,$B149)))</f>
        <v>0</v>
      </c>
      <c r="J149">
        <f t="shared" si="11"/>
        <v>0</v>
      </c>
      <c r="K149">
        <f>SUM($J$2:$J149)</f>
        <v>3</v>
      </c>
    </row>
    <row r="150" spans="1:11" x14ac:dyDescent="0.25">
      <c r="A150">
        <v>149</v>
      </c>
      <c r="B150">
        <f t="shared" si="8"/>
        <v>67</v>
      </c>
      <c r="C150">
        <f t="shared" si="9"/>
        <v>2</v>
      </c>
      <c r="D150" t="str">
        <f>IF(INDEX(REPORTE!$B:$B,$B150)="","",INDEX(REPORTE!$B:$B,$B150))</f>
        <v/>
      </c>
      <c r="E150" t="str">
        <f>IF($D150="","",IFERROR(VLOOKUP($D150,BD_PLANTA!$A:$F,6,0),""))</f>
        <v/>
      </c>
      <c r="F150" t="str">
        <f>INDEX(REPORTE!$D:$D,$B150)</f>
        <v/>
      </c>
      <c r="G150" t="str">
        <f>INDEX(REPORTE!$E:$E,$B150)</f>
        <v/>
      </c>
      <c r="H150" t="str">
        <f t="shared" si="10"/>
        <v>HEXTJU</v>
      </c>
      <c r="I150">
        <f>CHOOSE($C150,N(INDEX(REPORTE!$F:$F,$B150))+N(INDEX(REPORTE!$G:$G,$B150)),N(INDEX(REPORTE!$H:$H,$B150)),N(INDEX(REPORTE!$I:$I,$B150)))</f>
        <v>0</v>
      </c>
      <c r="J150">
        <f t="shared" si="11"/>
        <v>0</v>
      </c>
      <c r="K150">
        <f>SUM($J$2:$J150)</f>
        <v>3</v>
      </c>
    </row>
    <row r="151" spans="1:11" x14ac:dyDescent="0.25">
      <c r="A151">
        <v>150</v>
      </c>
      <c r="B151">
        <f t="shared" si="8"/>
        <v>67</v>
      </c>
      <c r="C151">
        <f t="shared" si="9"/>
        <v>3</v>
      </c>
      <c r="D151" t="str">
        <f>IF(INDEX(REPORTE!$B:$B,$B151)="","",INDEX(REPORTE!$B:$B,$B151))</f>
        <v/>
      </c>
      <c r="E151" t="str">
        <f>IF($D151="","",IFERROR(VLOOKUP($D151,BD_PLANTA!$A:$F,6,0),""))</f>
        <v/>
      </c>
      <c r="F151" t="str">
        <f>INDEX(REPORTE!$D:$D,$B151)</f>
        <v/>
      </c>
      <c r="G151" t="str">
        <f>INDEX(REPORTE!$E:$E,$B151)</f>
        <v/>
      </c>
      <c r="H151" t="str">
        <f t="shared" si="10"/>
        <v>HEXTADUL</v>
      </c>
      <c r="I151">
        <f>CHOOSE($C151,N(INDEX(REPORTE!$F:$F,$B151))+N(INDEX(REPORTE!$G:$G,$B151)),N(INDEX(REPORTE!$H:$H,$B151)),N(INDEX(REPORTE!$I:$I,$B151)))</f>
        <v>0</v>
      </c>
      <c r="J151">
        <f t="shared" si="11"/>
        <v>0</v>
      </c>
      <c r="K151">
        <f>SUM($J$2:$J151)</f>
        <v>3</v>
      </c>
    </row>
    <row r="152" spans="1:11" x14ac:dyDescent="0.25">
      <c r="A152">
        <v>151</v>
      </c>
      <c r="B152">
        <f t="shared" si="8"/>
        <v>68</v>
      </c>
      <c r="C152">
        <f t="shared" si="9"/>
        <v>1</v>
      </c>
      <c r="D152" t="str">
        <f>IF(INDEX(REPORTE!$B:$B,$B152)="","",INDEX(REPORTE!$B:$B,$B152))</f>
        <v/>
      </c>
      <c r="E152" t="str">
        <f>IF($D152="","",IFERROR(VLOOKUP($D152,BD_PLANTA!$A:$F,6,0),""))</f>
        <v/>
      </c>
      <c r="F152" t="str">
        <f>INDEX(REPORTE!$D:$D,$B152)</f>
        <v/>
      </c>
      <c r="G152" t="str">
        <f>INDEX(REPORTE!$E:$E,$B152)</f>
        <v/>
      </c>
      <c r="H152" t="str">
        <f t="shared" si="10"/>
        <v>HEXTREG</v>
      </c>
      <c r="I152">
        <f>CHOOSE($C152,N(INDEX(REPORTE!$F:$F,$B152))+N(INDEX(REPORTE!$G:$G,$B152)),N(INDEX(REPORTE!$H:$H,$B152)),N(INDEX(REPORTE!$I:$I,$B152)))</f>
        <v>0</v>
      </c>
      <c r="J152">
        <f t="shared" si="11"/>
        <v>0</v>
      </c>
      <c r="K152">
        <f>SUM($J$2:$J152)</f>
        <v>3</v>
      </c>
    </row>
    <row r="153" spans="1:11" x14ac:dyDescent="0.25">
      <c r="A153">
        <v>152</v>
      </c>
      <c r="B153">
        <f t="shared" si="8"/>
        <v>68</v>
      </c>
      <c r="C153">
        <f t="shared" si="9"/>
        <v>2</v>
      </c>
      <c r="D153" t="str">
        <f>IF(INDEX(REPORTE!$B:$B,$B153)="","",INDEX(REPORTE!$B:$B,$B153))</f>
        <v/>
      </c>
      <c r="E153" t="str">
        <f>IF($D153="","",IFERROR(VLOOKUP($D153,BD_PLANTA!$A:$F,6,0),""))</f>
        <v/>
      </c>
      <c r="F153" t="str">
        <f>INDEX(REPORTE!$D:$D,$B153)</f>
        <v/>
      </c>
      <c r="G153" t="str">
        <f>INDEX(REPORTE!$E:$E,$B153)</f>
        <v/>
      </c>
      <c r="H153" t="str">
        <f t="shared" si="10"/>
        <v>HEXTJU</v>
      </c>
      <c r="I153">
        <f>CHOOSE($C153,N(INDEX(REPORTE!$F:$F,$B153))+N(INDEX(REPORTE!$G:$G,$B153)),N(INDEX(REPORTE!$H:$H,$B153)),N(INDEX(REPORTE!$I:$I,$B153)))</f>
        <v>0</v>
      </c>
      <c r="J153">
        <f t="shared" si="11"/>
        <v>0</v>
      </c>
      <c r="K153">
        <f>SUM($J$2:$J153)</f>
        <v>3</v>
      </c>
    </row>
    <row r="154" spans="1:11" x14ac:dyDescent="0.25">
      <c r="A154">
        <v>153</v>
      </c>
      <c r="B154">
        <f t="shared" si="8"/>
        <v>68</v>
      </c>
      <c r="C154">
        <f t="shared" si="9"/>
        <v>3</v>
      </c>
      <c r="D154" t="str">
        <f>IF(INDEX(REPORTE!$B:$B,$B154)="","",INDEX(REPORTE!$B:$B,$B154))</f>
        <v/>
      </c>
      <c r="E154" t="str">
        <f>IF($D154="","",IFERROR(VLOOKUP($D154,BD_PLANTA!$A:$F,6,0),""))</f>
        <v/>
      </c>
      <c r="F154" t="str">
        <f>INDEX(REPORTE!$D:$D,$B154)</f>
        <v/>
      </c>
      <c r="G154" t="str">
        <f>INDEX(REPORTE!$E:$E,$B154)</f>
        <v/>
      </c>
      <c r="H154" t="str">
        <f t="shared" si="10"/>
        <v>HEXTADUL</v>
      </c>
      <c r="I154">
        <f>CHOOSE($C154,N(INDEX(REPORTE!$F:$F,$B154))+N(INDEX(REPORTE!$G:$G,$B154)),N(INDEX(REPORTE!$H:$H,$B154)),N(INDEX(REPORTE!$I:$I,$B154)))</f>
        <v>0</v>
      </c>
      <c r="J154">
        <f t="shared" si="11"/>
        <v>0</v>
      </c>
      <c r="K154">
        <f>SUM($J$2:$J154)</f>
        <v>3</v>
      </c>
    </row>
    <row r="155" spans="1:11" x14ac:dyDescent="0.25">
      <c r="A155">
        <v>154</v>
      </c>
      <c r="B155">
        <f t="shared" si="8"/>
        <v>69</v>
      </c>
      <c r="C155">
        <f t="shared" si="9"/>
        <v>1</v>
      </c>
      <c r="D155" t="str">
        <f>IF(INDEX(REPORTE!$B:$B,$B155)="","",INDEX(REPORTE!$B:$B,$B155))</f>
        <v/>
      </c>
      <c r="E155" t="str">
        <f>IF($D155="","",IFERROR(VLOOKUP($D155,BD_PLANTA!$A:$F,6,0),""))</f>
        <v/>
      </c>
      <c r="F155" t="str">
        <f>INDEX(REPORTE!$D:$D,$B155)</f>
        <v/>
      </c>
      <c r="G155" t="str">
        <f>INDEX(REPORTE!$E:$E,$B155)</f>
        <v/>
      </c>
      <c r="H155" t="str">
        <f t="shared" si="10"/>
        <v>HEXTREG</v>
      </c>
      <c r="I155">
        <f>CHOOSE($C155,N(INDEX(REPORTE!$F:$F,$B155))+N(INDEX(REPORTE!$G:$G,$B155)),N(INDEX(REPORTE!$H:$H,$B155)),N(INDEX(REPORTE!$I:$I,$B155)))</f>
        <v>0</v>
      </c>
      <c r="J155">
        <f t="shared" si="11"/>
        <v>0</v>
      </c>
      <c r="K155">
        <f>SUM($J$2:$J155)</f>
        <v>3</v>
      </c>
    </row>
    <row r="156" spans="1:11" x14ac:dyDescent="0.25">
      <c r="A156">
        <v>155</v>
      </c>
      <c r="B156">
        <f t="shared" si="8"/>
        <v>69</v>
      </c>
      <c r="C156">
        <f t="shared" si="9"/>
        <v>2</v>
      </c>
      <c r="D156" t="str">
        <f>IF(INDEX(REPORTE!$B:$B,$B156)="","",INDEX(REPORTE!$B:$B,$B156))</f>
        <v/>
      </c>
      <c r="E156" t="str">
        <f>IF($D156="","",IFERROR(VLOOKUP($D156,BD_PLANTA!$A:$F,6,0),""))</f>
        <v/>
      </c>
      <c r="F156" t="str">
        <f>INDEX(REPORTE!$D:$D,$B156)</f>
        <v/>
      </c>
      <c r="G156" t="str">
        <f>INDEX(REPORTE!$E:$E,$B156)</f>
        <v/>
      </c>
      <c r="H156" t="str">
        <f t="shared" si="10"/>
        <v>HEXTJU</v>
      </c>
      <c r="I156">
        <f>CHOOSE($C156,N(INDEX(REPORTE!$F:$F,$B156))+N(INDEX(REPORTE!$G:$G,$B156)),N(INDEX(REPORTE!$H:$H,$B156)),N(INDEX(REPORTE!$I:$I,$B156)))</f>
        <v>0</v>
      </c>
      <c r="J156">
        <f t="shared" si="11"/>
        <v>0</v>
      </c>
      <c r="K156">
        <f>SUM($J$2:$J156)</f>
        <v>3</v>
      </c>
    </row>
    <row r="157" spans="1:11" x14ac:dyDescent="0.25">
      <c r="A157">
        <v>156</v>
      </c>
      <c r="B157">
        <f t="shared" si="8"/>
        <v>69</v>
      </c>
      <c r="C157">
        <f t="shared" si="9"/>
        <v>3</v>
      </c>
      <c r="D157" t="str">
        <f>IF(INDEX(REPORTE!$B:$B,$B157)="","",INDEX(REPORTE!$B:$B,$B157))</f>
        <v/>
      </c>
      <c r="E157" t="str">
        <f>IF($D157="","",IFERROR(VLOOKUP($D157,BD_PLANTA!$A:$F,6,0),""))</f>
        <v/>
      </c>
      <c r="F157" t="str">
        <f>INDEX(REPORTE!$D:$D,$B157)</f>
        <v/>
      </c>
      <c r="G157" t="str">
        <f>INDEX(REPORTE!$E:$E,$B157)</f>
        <v/>
      </c>
      <c r="H157" t="str">
        <f t="shared" si="10"/>
        <v>HEXTADUL</v>
      </c>
      <c r="I157">
        <f>CHOOSE($C157,N(INDEX(REPORTE!$F:$F,$B157))+N(INDEX(REPORTE!$G:$G,$B157)),N(INDEX(REPORTE!$H:$H,$B157)),N(INDEX(REPORTE!$I:$I,$B157)))</f>
        <v>0</v>
      </c>
      <c r="J157">
        <f t="shared" si="11"/>
        <v>0</v>
      </c>
      <c r="K157">
        <f>SUM($J$2:$J157)</f>
        <v>3</v>
      </c>
    </row>
    <row r="158" spans="1:11" x14ac:dyDescent="0.25">
      <c r="A158">
        <v>157</v>
      </c>
      <c r="B158">
        <f t="shared" si="8"/>
        <v>70</v>
      </c>
      <c r="C158">
        <f t="shared" si="9"/>
        <v>1</v>
      </c>
      <c r="D158" t="str">
        <f>IF(INDEX(REPORTE!$B:$B,$B158)="","",INDEX(REPORTE!$B:$B,$B158))</f>
        <v/>
      </c>
      <c r="E158" t="str">
        <f>IF($D158="","",IFERROR(VLOOKUP($D158,BD_PLANTA!$A:$F,6,0),""))</f>
        <v/>
      </c>
      <c r="F158" t="str">
        <f>INDEX(REPORTE!$D:$D,$B158)</f>
        <v/>
      </c>
      <c r="G158" t="str">
        <f>INDEX(REPORTE!$E:$E,$B158)</f>
        <v/>
      </c>
      <c r="H158" t="str">
        <f t="shared" si="10"/>
        <v>HEXTREG</v>
      </c>
      <c r="I158">
        <f>CHOOSE($C158,N(INDEX(REPORTE!$F:$F,$B158))+N(INDEX(REPORTE!$G:$G,$B158)),N(INDEX(REPORTE!$H:$H,$B158)),N(INDEX(REPORTE!$I:$I,$B158)))</f>
        <v>0</v>
      </c>
      <c r="J158">
        <f t="shared" si="11"/>
        <v>0</v>
      </c>
      <c r="K158">
        <f>SUM($J$2:$J158)</f>
        <v>3</v>
      </c>
    </row>
    <row r="159" spans="1:11" x14ac:dyDescent="0.25">
      <c r="A159">
        <v>158</v>
      </c>
      <c r="B159">
        <f t="shared" si="8"/>
        <v>70</v>
      </c>
      <c r="C159">
        <f t="shared" si="9"/>
        <v>2</v>
      </c>
      <c r="D159" t="str">
        <f>IF(INDEX(REPORTE!$B:$B,$B159)="","",INDEX(REPORTE!$B:$B,$B159))</f>
        <v/>
      </c>
      <c r="E159" t="str">
        <f>IF($D159="","",IFERROR(VLOOKUP($D159,BD_PLANTA!$A:$F,6,0),""))</f>
        <v/>
      </c>
      <c r="F159" t="str">
        <f>INDEX(REPORTE!$D:$D,$B159)</f>
        <v/>
      </c>
      <c r="G159" t="str">
        <f>INDEX(REPORTE!$E:$E,$B159)</f>
        <v/>
      </c>
      <c r="H159" t="str">
        <f t="shared" si="10"/>
        <v>HEXTJU</v>
      </c>
      <c r="I159">
        <f>CHOOSE($C159,N(INDEX(REPORTE!$F:$F,$B159))+N(INDEX(REPORTE!$G:$G,$B159)),N(INDEX(REPORTE!$H:$H,$B159)),N(INDEX(REPORTE!$I:$I,$B159)))</f>
        <v>0</v>
      </c>
      <c r="J159">
        <f t="shared" si="11"/>
        <v>0</v>
      </c>
      <c r="K159">
        <f>SUM($J$2:$J159)</f>
        <v>3</v>
      </c>
    </row>
    <row r="160" spans="1:11" x14ac:dyDescent="0.25">
      <c r="A160">
        <v>159</v>
      </c>
      <c r="B160">
        <f t="shared" si="8"/>
        <v>70</v>
      </c>
      <c r="C160">
        <f t="shared" si="9"/>
        <v>3</v>
      </c>
      <c r="D160" t="str">
        <f>IF(INDEX(REPORTE!$B:$B,$B160)="","",INDEX(REPORTE!$B:$B,$B160))</f>
        <v/>
      </c>
      <c r="E160" t="str">
        <f>IF($D160="","",IFERROR(VLOOKUP($D160,BD_PLANTA!$A:$F,6,0),""))</f>
        <v/>
      </c>
      <c r="F160" t="str">
        <f>INDEX(REPORTE!$D:$D,$B160)</f>
        <v/>
      </c>
      <c r="G160" t="str">
        <f>INDEX(REPORTE!$E:$E,$B160)</f>
        <v/>
      </c>
      <c r="H160" t="str">
        <f t="shared" si="10"/>
        <v>HEXTADUL</v>
      </c>
      <c r="I160">
        <f>CHOOSE($C160,N(INDEX(REPORTE!$F:$F,$B160))+N(INDEX(REPORTE!$G:$G,$B160)),N(INDEX(REPORTE!$H:$H,$B160)),N(INDEX(REPORTE!$I:$I,$B160)))</f>
        <v>0</v>
      </c>
      <c r="J160">
        <f t="shared" si="11"/>
        <v>0</v>
      </c>
      <c r="K160">
        <f>SUM($J$2:$J160)</f>
        <v>3</v>
      </c>
    </row>
    <row r="161" spans="1:11" x14ac:dyDescent="0.25">
      <c r="A161">
        <v>160</v>
      </c>
      <c r="B161">
        <f t="shared" si="8"/>
        <v>71</v>
      </c>
      <c r="C161">
        <f t="shared" si="9"/>
        <v>1</v>
      </c>
      <c r="D161" t="str">
        <f>IF(INDEX(REPORTE!$B:$B,$B161)="","",INDEX(REPORTE!$B:$B,$B161))</f>
        <v/>
      </c>
      <c r="E161" t="str">
        <f>IF($D161="","",IFERROR(VLOOKUP($D161,BD_PLANTA!$A:$F,6,0),""))</f>
        <v/>
      </c>
      <c r="F161" t="str">
        <f>INDEX(REPORTE!$D:$D,$B161)</f>
        <v/>
      </c>
      <c r="G161" t="str">
        <f>INDEX(REPORTE!$E:$E,$B161)</f>
        <v/>
      </c>
      <c r="H161" t="str">
        <f t="shared" si="10"/>
        <v>HEXTREG</v>
      </c>
      <c r="I161">
        <f>CHOOSE($C161,N(INDEX(REPORTE!$F:$F,$B161))+N(INDEX(REPORTE!$G:$G,$B161)),N(INDEX(REPORTE!$H:$H,$B161)),N(INDEX(REPORTE!$I:$I,$B161)))</f>
        <v>0</v>
      </c>
      <c r="J161">
        <f t="shared" si="11"/>
        <v>0</v>
      </c>
      <c r="K161">
        <f>SUM($J$2:$J161)</f>
        <v>3</v>
      </c>
    </row>
    <row r="162" spans="1:11" x14ac:dyDescent="0.25">
      <c r="A162">
        <v>161</v>
      </c>
      <c r="B162">
        <f t="shared" si="8"/>
        <v>71</v>
      </c>
      <c r="C162">
        <f t="shared" si="9"/>
        <v>2</v>
      </c>
      <c r="D162" t="str">
        <f>IF(INDEX(REPORTE!$B:$B,$B162)="","",INDEX(REPORTE!$B:$B,$B162))</f>
        <v/>
      </c>
      <c r="E162" t="str">
        <f>IF($D162="","",IFERROR(VLOOKUP($D162,BD_PLANTA!$A:$F,6,0),""))</f>
        <v/>
      </c>
      <c r="F162" t="str">
        <f>INDEX(REPORTE!$D:$D,$B162)</f>
        <v/>
      </c>
      <c r="G162" t="str">
        <f>INDEX(REPORTE!$E:$E,$B162)</f>
        <v/>
      </c>
      <c r="H162" t="str">
        <f t="shared" si="10"/>
        <v>HEXTJU</v>
      </c>
      <c r="I162">
        <f>CHOOSE($C162,N(INDEX(REPORTE!$F:$F,$B162))+N(INDEX(REPORTE!$G:$G,$B162)),N(INDEX(REPORTE!$H:$H,$B162)),N(INDEX(REPORTE!$I:$I,$B162)))</f>
        <v>0</v>
      </c>
      <c r="J162">
        <f t="shared" si="11"/>
        <v>0</v>
      </c>
      <c r="K162">
        <f>SUM($J$2:$J162)</f>
        <v>3</v>
      </c>
    </row>
    <row r="163" spans="1:11" x14ac:dyDescent="0.25">
      <c r="A163">
        <v>162</v>
      </c>
      <c r="B163">
        <f t="shared" si="8"/>
        <v>71</v>
      </c>
      <c r="C163">
        <f t="shared" si="9"/>
        <v>3</v>
      </c>
      <c r="D163" t="str">
        <f>IF(INDEX(REPORTE!$B:$B,$B163)="","",INDEX(REPORTE!$B:$B,$B163))</f>
        <v/>
      </c>
      <c r="E163" t="str">
        <f>IF($D163="","",IFERROR(VLOOKUP($D163,BD_PLANTA!$A:$F,6,0),""))</f>
        <v/>
      </c>
      <c r="F163" t="str">
        <f>INDEX(REPORTE!$D:$D,$B163)</f>
        <v/>
      </c>
      <c r="G163" t="str">
        <f>INDEX(REPORTE!$E:$E,$B163)</f>
        <v/>
      </c>
      <c r="H163" t="str">
        <f t="shared" si="10"/>
        <v>HEXTADUL</v>
      </c>
      <c r="I163">
        <f>CHOOSE($C163,N(INDEX(REPORTE!$F:$F,$B163))+N(INDEX(REPORTE!$G:$G,$B163)),N(INDEX(REPORTE!$H:$H,$B163)),N(INDEX(REPORTE!$I:$I,$B163)))</f>
        <v>0</v>
      </c>
      <c r="J163">
        <f t="shared" si="11"/>
        <v>0</v>
      </c>
      <c r="K163">
        <f>SUM($J$2:$J163)</f>
        <v>3</v>
      </c>
    </row>
    <row r="164" spans="1:11" x14ac:dyDescent="0.25">
      <c r="A164">
        <v>163</v>
      </c>
      <c r="B164">
        <f t="shared" si="8"/>
        <v>72</v>
      </c>
      <c r="C164">
        <f t="shared" si="9"/>
        <v>1</v>
      </c>
      <c r="D164" t="str">
        <f>IF(INDEX(REPORTE!$B:$B,$B164)="","",INDEX(REPORTE!$B:$B,$B164))</f>
        <v/>
      </c>
      <c r="E164" t="str">
        <f>IF($D164="","",IFERROR(VLOOKUP($D164,BD_PLANTA!$A:$F,6,0),""))</f>
        <v/>
      </c>
      <c r="F164" t="str">
        <f>INDEX(REPORTE!$D:$D,$B164)</f>
        <v/>
      </c>
      <c r="G164" t="str">
        <f>INDEX(REPORTE!$E:$E,$B164)</f>
        <v/>
      </c>
      <c r="H164" t="str">
        <f t="shared" si="10"/>
        <v>HEXTREG</v>
      </c>
      <c r="I164">
        <f>CHOOSE($C164,N(INDEX(REPORTE!$F:$F,$B164))+N(INDEX(REPORTE!$G:$G,$B164)),N(INDEX(REPORTE!$H:$H,$B164)),N(INDEX(REPORTE!$I:$I,$B164)))</f>
        <v>0</v>
      </c>
      <c r="J164">
        <f t="shared" si="11"/>
        <v>0</v>
      </c>
      <c r="K164">
        <f>SUM($J$2:$J164)</f>
        <v>3</v>
      </c>
    </row>
    <row r="165" spans="1:11" x14ac:dyDescent="0.25">
      <c r="A165">
        <v>164</v>
      </c>
      <c r="B165">
        <f t="shared" si="8"/>
        <v>72</v>
      </c>
      <c r="C165">
        <f t="shared" si="9"/>
        <v>2</v>
      </c>
      <c r="D165" t="str">
        <f>IF(INDEX(REPORTE!$B:$B,$B165)="","",INDEX(REPORTE!$B:$B,$B165))</f>
        <v/>
      </c>
      <c r="E165" t="str">
        <f>IF($D165="","",IFERROR(VLOOKUP($D165,BD_PLANTA!$A:$F,6,0),""))</f>
        <v/>
      </c>
      <c r="F165" t="str">
        <f>INDEX(REPORTE!$D:$D,$B165)</f>
        <v/>
      </c>
      <c r="G165" t="str">
        <f>INDEX(REPORTE!$E:$E,$B165)</f>
        <v/>
      </c>
      <c r="H165" t="str">
        <f t="shared" si="10"/>
        <v>HEXTJU</v>
      </c>
      <c r="I165">
        <f>CHOOSE($C165,N(INDEX(REPORTE!$F:$F,$B165))+N(INDEX(REPORTE!$G:$G,$B165)),N(INDEX(REPORTE!$H:$H,$B165)),N(INDEX(REPORTE!$I:$I,$B165)))</f>
        <v>0</v>
      </c>
      <c r="J165">
        <f t="shared" si="11"/>
        <v>0</v>
      </c>
      <c r="K165">
        <f>SUM($J$2:$J165)</f>
        <v>3</v>
      </c>
    </row>
    <row r="166" spans="1:11" x14ac:dyDescent="0.25">
      <c r="A166">
        <v>165</v>
      </c>
      <c r="B166">
        <f t="shared" si="8"/>
        <v>72</v>
      </c>
      <c r="C166">
        <f t="shared" si="9"/>
        <v>3</v>
      </c>
      <c r="D166" t="str">
        <f>IF(INDEX(REPORTE!$B:$B,$B166)="","",INDEX(REPORTE!$B:$B,$B166))</f>
        <v/>
      </c>
      <c r="E166" t="str">
        <f>IF($D166="","",IFERROR(VLOOKUP($D166,BD_PLANTA!$A:$F,6,0),""))</f>
        <v/>
      </c>
      <c r="F166" t="str">
        <f>INDEX(REPORTE!$D:$D,$B166)</f>
        <v/>
      </c>
      <c r="G166" t="str">
        <f>INDEX(REPORTE!$E:$E,$B166)</f>
        <v/>
      </c>
      <c r="H166" t="str">
        <f t="shared" si="10"/>
        <v>HEXTADUL</v>
      </c>
      <c r="I166">
        <f>CHOOSE($C166,N(INDEX(REPORTE!$F:$F,$B166))+N(INDEX(REPORTE!$G:$G,$B166)),N(INDEX(REPORTE!$H:$H,$B166)),N(INDEX(REPORTE!$I:$I,$B166)))</f>
        <v>0</v>
      </c>
      <c r="J166">
        <f t="shared" si="11"/>
        <v>0</v>
      </c>
      <c r="K166">
        <f>SUM($J$2:$J166)</f>
        <v>3</v>
      </c>
    </row>
    <row r="167" spans="1:11" x14ac:dyDescent="0.25">
      <c r="A167">
        <v>166</v>
      </c>
      <c r="B167">
        <f t="shared" si="8"/>
        <v>73</v>
      </c>
      <c r="C167">
        <f t="shared" si="9"/>
        <v>1</v>
      </c>
      <c r="D167" t="str">
        <f>IF(INDEX(REPORTE!$B:$B,$B167)="","",INDEX(REPORTE!$B:$B,$B167))</f>
        <v/>
      </c>
      <c r="E167" t="str">
        <f>IF($D167="","",IFERROR(VLOOKUP($D167,BD_PLANTA!$A:$F,6,0),""))</f>
        <v/>
      </c>
      <c r="F167" t="str">
        <f>INDEX(REPORTE!$D:$D,$B167)</f>
        <v/>
      </c>
      <c r="G167" t="str">
        <f>INDEX(REPORTE!$E:$E,$B167)</f>
        <v/>
      </c>
      <c r="H167" t="str">
        <f t="shared" si="10"/>
        <v>HEXTREG</v>
      </c>
      <c r="I167">
        <f>CHOOSE($C167,N(INDEX(REPORTE!$F:$F,$B167))+N(INDEX(REPORTE!$G:$G,$B167)),N(INDEX(REPORTE!$H:$H,$B167)),N(INDEX(REPORTE!$I:$I,$B167)))</f>
        <v>0</v>
      </c>
      <c r="J167">
        <f t="shared" si="11"/>
        <v>0</v>
      </c>
      <c r="K167">
        <f>SUM($J$2:$J167)</f>
        <v>3</v>
      </c>
    </row>
    <row r="168" spans="1:11" x14ac:dyDescent="0.25">
      <c r="A168">
        <v>167</v>
      </c>
      <c r="B168">
        <f t="shared" si="8"/>
        <v>73</v>
      </c>
      <c r="C168">
        <f t="shared" si="9"/>
        <v>2</v>
      </c>
      <c r="D168" t="str">
        <f>IF(INDEX(REPORTE!$B:$B,$B168)="","",INDEX(REPORTE!$B:$B,$B168))</f>
        <v/>
      </c>
      <c r="E168" t="str">
        <f>IF($D168="","",IFERROR(VLOOKUP($D168,BD_PLANTA!$A:$F,6,0),""))</f>
        <v/>
      </c>
      <c r="F168" t="str">
        <f>INDEX(REPORTE!$D:$D,$B168)</f>
        <v/>
      </c>
      <c r="G168" t="str">
        <f>INDEX(REPORTE!$E:$E,$B168)</f>
        <v/>
      </c>
      <c r="H168" t="str">
        <f t="shared" si="10"/>
        <v>HEXTJU</v>
      </c>
      <c r="I168">
        <f>CHOOSE($C168,N(INDEX(REPORTE!$F:$F,$B168))+N(INDEX(REPORTE!$G:$G,$B168)),N(INDEX(REPORTE!$H:$H,$B168)),N(INDEX(REPORTE!$I:$I,$B168)))</f>
        <v>0</v>
      </c>
      <c r="J168">
        <f t="shared" si="11"/>
        <v>0</v>
      </c>
      <c r="K168">
        <f>SUM($J$2:$J168)</f>
        <v>3</v>
      </c>
    </row>
    <row r="169" spans="1:11" x14ac:dyDescent="0.25">
      <c r="A169">
        <v>168</v>
      </c>
      <c r="B169">
        <f t="shared" si="8"/>
        <v>73</v>
      </c>
      <c r="C169">
        <f t="shared" si="9"/>
        <v>3</v>
      </c>
      <c r="D169" t="str">
        <f>IF(INDEX(REPORTE!$B:$B,$B169)="","",INDEX(REPORTE!$B:$B,$B169))</f>
        <v/>
      </c>
      <c r="E169" t="str">
        <f>IF($D169="","",IFERROR(VLOOKUP($D169,BD_PLANTA!$A:$F,6,0),""))</f>
        <v/>
      </c>
      <c r="F169" t="str">
        <f>INDEX(REPORTE!$D:$D,$B169)</f>
        <v/>
      </c>
      <c r="G169" t="str">
        <f>INDEX(REPORTE!$E:$E,$B169)</f>
        <v/>
      </c>
      <c r="H169" t="str">
        <f t="shared" si="10"/>
        <v>HEXTADUL</v>
      </c>
      <c r="I169">
        <f>CHOOSE($C169,N(INDEX(REPORTE!$F:$F,$B169))+N(INDEX(REPORTE!$G:$G,$B169)),N(INDEX(REPORTE!$H:$H,$B169)),N(INDEX(REPORTE!$I:$I,$B169)))</f>
        <v>0</v>
      </c>
      <c r="J169">
        <f t="shared" si="11"/>
        <v>0</v>
      </c>
      <c r="K169">
        <f>SUM($J$2:$J169)</f>
        <v>3</v>
      </c>
    </row>
    <row r="170" spans="1:11" x14ac:dyDescent="0.25">
      <c r="A170">
        <v>169</v>
      </c>
      <c r="B170">
        <f t="shared" si="8"/>
        <v>74</v>
      </c>
      <c r="C170">
        <f t="shared" si="9"/>
        <v>1</v>
      </c>
      <c r="D170" t="str">
        <f>IF(INDEX(REPORTE!$B:$B,$B170)="","",INDEX(REPORTE!$B:$B,$B170))</f>
        <v/>
      </c>
      <c r="E170" t="str">
        <f>IF($D170="","",IFERROR(VLOOKUP($D170,BD_PLANTA!$A:$F,6,0),""))</f>
        <v/>
      </c>
      <c r="F170" t="str">
        <f>INDEX(REPORTE!$D:$D,$B170)</f>
        <v/>
      </c>
      <c r="G170" t="str">
        <f>INDEX(REPORTE!$E:$E,$B170)</f>
        <v/>
      </c>
      <c r="H170" t="str">
        <f t="shared" si="10"/>
        <v>HEXTREG</v>
      </c>
      <c r="I170">
        <f>CHOOSE($C170,N(INDEX(REPORTE!$F:$F,$B170))+N(INDEX(REPORTE!$G:$G,$B170)),N(INDEX(REPORTE!$H:$H,$B170)),N(INDEX(REPORTE!$I:$I,$B170)))</f>
        <v>0</v>
      </c>
      <c r="J170">
        <f t="shared" si="11"/>
        <v>0</v>
      </c>
      <c r="K170">
        <f>SUM($J$2:$J170)</f>
        <v>3</v>
      </c>
    </row>
    <row r="171" spans="1:11" x14ac:dyDescent="0.25">
      <c r="A171">
        <v>170</v>
      </c>
      <c r="B171">
        <f t="shared" si="8"/>
        <v>74</v>
      </c>
      <c r="C171">
        <f t="shared" si="9"/>
        <v>2</v>
      </c>
      <c r="D171" t="str">
        <f>IF(INDEX(REPORTE!$B:$B,$B171)="","",INDEX(REPORTE!$B:$B,$B171))</f>
        <v/>
      </c>
      <c r="E171" t="str">
        <f>IF($D171="","",IFERROR(VLOOKUP($D171,BD_PLANTA!$A:$F,6,0),""))</f>
        <v/>
      </c>
      <c r="F171" t="str">
        <f>INDEX(REPORTE!$D:$D,$B171)</f>
        <v/>
      </c>
      <c r="G171" t="str">
        <f>INDEX(REPORTE!$E:$E,$B171)</f>
        <v/>
      </c>
      <c r="H171" t="str">
        <f t="shared" si="10"/>
        <v>HEXTJU</v>
      </c>
      <c r="I171">
        <f>CHOOSE($C171,N(INDEX(REPORTE!$F:$F,$B171))+N(INDEX(REPORTE!$G:$G,$B171)),N(INDEX(REPORTE!$H:$H,$B171)),N(INDEX(REPORTE!$I:$I,$B171)))</f>
        <v>0</v>
      </c>
      <c r="J171">
        <f t="shared" si="11"/>
        <v>0</v>
      </c>
      <c r="K171">
        <f>SUM($J$2:$J171)</f>
        <v>3</v>
      </c>
    </row>
    <row r="172" spans="1:11" x14ac:dyDescent="0.25">
      <c r="A172">
        <v>171</v>
      </c>
      <c r="B172">
        <f t="shared" si="8"/>
        <v>74</v>
      </c>
      <c r="C172">
        <f t="shared" si="9"/>
        <v>3</v>
      </c>
      <c r="D172" t="str">
        <f>IF(INDEX(REPORTE!$B:$B,$B172)="","",INDEX(REPORTE!$B:$B,$B172))</f>
        <v/>
      </c>
      <c r="E172" t="str">
        <f>IF($D172="","",IFERROR(VLOOKUP($D172,BD_PLANTA!$A:$F,6,0),""))</f>
        <v/>
      </c>
      <c r="F172" t="str">
        <f>INDEX(REPORTE!$D:$D,$B172)</f>
        <v/>
      </c>
      <c r="G172" t="str">
        <f>INDEX(REPORTE!$E:$E,$B172)</f>
        <v/>
      </c>
      <c r="H172" t="str">
        <f t="shared" si="10"/>
        <v>HEXTADUL</v>
      </c>
      <c r="I172">
        <f>CHOOSE($C172,N(INDEX(REPORTE!$F:$F,$B172))+N(INDEX(REPORTE!$G:$G,$B172)),N(INDEX(REPORTE!$H:$H,$B172)),N(INDEX(REPORTE!$I:$I,$B172)))</f>
        <v>0</v>
      </c>
      <c r="J172">
        <f t="shared" si="11"/>
        <v>0</v>
      </c>
      <c r="K172">
        <f>SUM($J$2:$J172)</f>
        <v>3</v>
      </c>
    </row>
    <row r="173" spans="1:11" x14ac:dyDescent="0.25">
      <c r="A173">
        <v>172</v>
      </c>
      <c r="B173">
        <f t="shared" si="8"/>
        <v>75</v>
      </c>
      <c r="C173">
        <f t="shared" si="9"/>
        <v>1</v>
      </c>
      <c r="D173" t="str">
        <f>IF(INDEX(REPORTE!$B:$B,$B173)="","",INDEX(REPORTE!$B:$B,$B173))</f>
        <v/>
      </c>
      <c r="E173" t="str">
        <f>IF($D173="","",IFERROR(VLOOKUP($D173,BD_PLANTA!$A:$F,6,0),""))</f>
        <v/>
      </c>
      <c r="F173" t="str">
        <f>INDEX(REPORTE!$D:$D,$B173)</f>
        <v/>
      </c>
      <c r="G173" t="str">
        <f>INDEX(REPORTE!$E:$E,$B173)</f>
        <v/>
      </c>
      <c r="H173" t="str">
        <f t="shared" si="10"/>
        <v>HEXTREG</v>
      </c>
      <c r="I173">
        <f>CHOOSE($C173,N(INDEX(REPORTE!$F:$F,$B173))+N(INDEX(REPORTE!$G:$G,$B173)),N(INDEX(REPORTE!$H:$H,$B173)),N(INDEX(REPORTE!$I:$I,$B173)))</f>
        <v>0</v>
      </c>
      <c r="J173">
        <f t="shared" si="11"/>
        <v>0</v>
      </c>
      <c r="K173">
        <f>SUM($J$2:$J173)</f>
        <v>3</v>
      </c>
    </row>
    <row r="174" spans="1:11" x14ac:dyDescent="0.25">
      <c r="A174">
        <v>173</v>
      </c>
      <c r="B174">
        <f t="shared" si="8"/>
        <v>75</v>
      </c>
      <c r="C174">
        <f t="shared" si="9"/>
        <v>2</v>
      </c>
      <c r="D174" t="str">
        <f>IF(INDEX(REPORTE!$B:$B,$B174)="","",INDEX(REPORTE!$B:$B,$B174))</f>
        <v/>
      </c>
      <c r="E174" t="str">
        <f>IF($D174="","",IFERROR(VLOOKUP($D174,BD_PLANTA!$A:$F,6,0),""))</f>
        <v/>
      </c>
      <c r="F174" t="str">
        <f>INDEX(REPORTE!$D:$D,$B174)</f>
        <v/>
      </c>
      <c r="G174" t="str">
        <f>INDEX(REPORTE!$E:$E,$B174)</f>
        <v/>
      </c>
      <c r="H174" t="str">
        <f t="shared" si="10"/>
        <v>HEXTJU</v>
      </c>
      <c r="I174">
        <f>CHOOSE($C174,N(INDEX(REPORTE!$F:$F,$B174))+N(INDEX(REPORTE!$G:$G,$B174)),N(INDEX(REPORTE!$H:$H,$B174)),N(INDEX(REPORTE!$I:$I,$B174)))</f>
        <v>0</v>
      </c>
      <c r="J174">
        <f t="shared" si="11"/>
        <v>0</v>
      </c>
      <c r="K174">
        <f>SUM($J$2:$J174)</f>
        <v>3</v>
      </c>
    </row>
    <row r="175" spans="1:11" x14ac:dyDescent="0.25">
      <c r="A175">
        <v>174</v>
      </c>
      <c r="B175">
        <f t="shared" si="8"/>
        <v>75</v>
      </c>
      <c r="C175">
        <f t="shared" si="9"/>
        <v>3</v>
      </c>
      <c r="D175" t="str">
        <f>IF(INDEX(REPORTE!$B:$B,$B175)="","",INDEX(REPORTE!$B:$B,$B175))</f>
        <v/>
      </c>
      <c r="E175" t="str">
        <f>IF($D175="","",IFERROR(VLOOKUP($D175,BD_PLANTA!$A:$F,6,0),""))</f>
        <v/>
      </c>
      <c r="F175" t="str">
        <f>INDEX(REPORTE!$D:$D,$B175)</f>
        <v/>
      </c>
      <c r="G175" t="str">
        <f>INDEX(REPORTE!$E:$E,$B175)</f>
        <v/>
      </c>
      <c r="H175" t="str">
        <f t="shared" si="10"/>
        <v>HEXTADUL</v>
      </c>
      <c r="I175">
        <f>CHOOSE($C175,N(INDEX(REPORTE!$F:$F,$B175))+N(INDEX(REPORTE!$G:$G,$B175)),N(INDEX(REPORTE!$H:$H,$B175)),N(INDEX(REPORTE!$I:$I,$B175)))</f>
        <v>0</v>
      </c>
      <c r="J175">
        <f t="shared" si="11"/>
        <v>0</v>
      </c>
      <c r="K175">
        <f>SUM($J$2:$J175)</f>
        <v>3</v>
      </c>
    </row>
    <row r="176" spans="1:11" x14ac:dyDescent="0.25">
      <c r="A176">
        <v>175</v>
      </c>
      <c r="B176">
        <f t="shared" si="8"/>
        <v>76</v>
      </c>
      <c r="C176">
        <f t="shared" si="9"/>
        <v>1</v>
      </c>
      <c r="D176" t="str">
        <f>IF(INDEX(REPORTE!$B:$B,$B176)="","",INDEX(REPORTE!$B:$B,$B176))</f>
        <v/>
      </c>
      <c r="E176" t="str">
        <f>IF($D176="","",IFERROR(VLOOKUP($D176,BD_PLANTA!$A:$F,6,0),""))</f>
        <v/>
      </c>
      <c r="F176" t="str">
        <f>INDEX(REPORTE!$D:$D,$B176)</f>
        <v/>
      </c>
      <c r="G176" t="str">
        <f>INDEX(REPORTE!$E:$E,$B176)</f>
        <v/>
      </c>
      <c r="H176" t="str">
        <f t="shared" si="10"/>
        <v>HEXTREG</v>
      </c>
      <c r="I176">
        <f>CHOOSE($C176,N(INDEX(REPORTE!$F:$F,$B176))+N(INDEX(REPORTE!$G:$G,$B176)),N(INDEX(REPORTE!$H:$H,$B176)),N(INDEX(REPORTE!$I:$I,$B176)))</f>
        <v>0</v>
      </c>
      <c r="J176">
        <f t="shared" si="11"/>
        <v>0</v>
      </c>
      <c r="K176">
        <f>SUM($J$2:$J176)</f>
        <v>3</v>
      </c>
    </row>
    <row r="177" spans="1:11" x14ac:dyDescent="0.25">
      <c r="A177">
        <v>176</v>
      </c>
      <c r="B177">
        <f t="shared" si="8"/>
        <v>76</v>
      </c>
      <c r="C177">
        <f t="shared" si="9"/>
        <v>2</v>
      </c>
      <c r="D177" t="str">
        <f>IF(INDEX(REPORTE!$B:$B,$B177)="","",INDEX(REPORTE!$B:$B,$B177))</f>
        <v/>
      </c>
      <c r="E177" t="str">
        <f>IF($D177="","",IFERROR(VLOOKUP($D177,BD_PLANTA!$A:$F,6,0),""))</f>
        <v/>
      </c>
      <c r="F177" t="str">
        <f>INDEX(REPORTE!$D:$D,$B177)</f>
        <v/>
      </c>
      <c r="G177" t="str">
        <f>INDEX(REPORTE!$E:$E,$B177)</f>
        <v/>
      </c>
      <c r="H177" t="str">
        <f t="shared" si="10"/>
        <v>HEXTJU</v>
      </c>
      <c r="I177">
        <f>CHOOSE($C177,N(INDEX(REPORTE!$F:$F,$B177))+N(INDEX(REPORTE!$G:$G,$B177)),N(INDEX(REPORTE!$H:$H,$B177)),N(INDEX(REPORTE!$I:$I,$B177)))</f>
        <v>0</v>
      </c>
      <c r="J177">
        <f t="shared" si="11"/>
        <v>0</v>
      </c>
      <c r="K177">
        <f>SUM($J$2:$J177)</f>
        <v>3</v>
      </c>
    </row>
    <row r="178" spans="1:11" x14ac:dyDescent="0.25">
      <c r="A178">
        <v>177</v>
      </c>
      <c r="B178">
        <f t="shared" si="8"/>
        <v>76</v>
      </c>
      <c r="C178">
        <f t="shared" si="9"/>
        <v>3</v>
      </c>
      <c r="D178" t="str">
        <f>IF(INDEX(REPORTE!$B:$B,$B178)="","",INDEX(REPORTE!$B:$B,$B178))</f>
        <v/>
      </c>
      <c r="E178" t="str">
        <f>IF($D178="","",IFERROR(VLOOKUP($D178,BD_PLANTA!$A:$F,6,0),""))</f>
        <v/>
      </c>
      <c r="F178" t="str">
        <f>INDEX(REPORTE!$D:$D,$B178)</f>
        <v/>
      </c>
      <c r="G178" t="str">
        <f>INDEX(REPORTE!$E:$E,$B178)</f>
        <v/>
      </c>
      <c r="H178" t="str">
        <f t="shared" si="10"/>
        <v>HEXTADUL</v>
      </c>
      <c r="I178">
        <f>CHOOSE($C178,N(INDEX(REPORTE!$F:$F,$B178))+N(INDEX(REPORTE!$G:$G,$B178)),N(INDEX(REPORTE!$H:$H,$B178)),N(INDEX(REPORTE!$I:$I,$B178)))</f>
        <v>0</v>
      </c>
      <c r="J178">
        <f t="shared" si="11"/>
        <v>0</v>
      </c>
      <c r="K178">
        <f>SUM($J$2:$J178)</f>
        <v>3</v>
      </c>
    </row>
    <row r="179" spans="1:11" x14ac:dyDescent="0.25">
      <c r="A179">
        <v>178</v>
      </c>
      <c r="B179">
        <f t="shared" si="8"/>
        <v>77</v>
      </c>
      <c r="C179">
        <f t="shared" si="9"/>
        <v>1</v>
      </c>
      <c r="D179" t="str">
        <f>IF(INDEX(REPORTE!$B:$B,$B179)="","",INDEX(REPORTE!$B:$B,$B179))</f>
        <v/>
      </c>
      <c r="E179" t="str">
        <f>IF($D179="","",IFERROR(VLOOKUP($D179,BD_PLANTA!$A:$F,6,0),""))</f>
        <v/>
      </c>
      <c r="F179" t="str">
        <f>INDEX(REPORTE!$D:$D,$B179)</f>
        <v/>
      </c>
      <c r="G179" t="str">
        <f>INDEX(REPORTE!$E:$E,$B179)</f>
        <v/>
      </c>
      <c r="H179" t="str">
        <f t="shared" si="10"/>
        <v>HEXTREG</v>
      </c>
      <c r="I179">
        <f>CHOOSE($C179,N(INDEX(REPORTE!$F:$F,$B179))+N(INDEX(REPORTE!$G:$G,$B179)),N(INDEX(REPORTE!$H:$H,$B179)),N(INDEX(REPORTE!$I:$I,$B179)))</f>
        <v>0</v>
      </c>
      <c r="J179">
        <f t="shared" si="11"/>
        <v>0</v>
      </c>
      <c r="K179">
        <f>SUM($J$2:$J179)</f>
        <v>3</v>
      </c>
    </row>
    <row r="180" spans="1:11" x14ac:dyDescent="0.25">
      <c r="A180">
        <v>179</v>
      </c>
      <c r="B180">
        <f t="shared" si="8"/>
        <v>77</v>
      </c>
      <c r="C180">
        <f t="shared" si="9"/>
        <v>2</v>
      </c>
      <c r="D180" t="str">
        <f>IF(INDEX(REPORTE!$B:$B,$B180)="","",INDEX(REPORTE!$B:$B,$B180))</f>
        <v/>
      </c>
      <c r="E180" t="str">
        <f>IF($D180="","",IFERROR(VLOOKUP($D180,BD_PLANTA!$A:$F,6,0),""))</f>
        <v/>
      </c>
      <c r="F180" t="str">
        <f>INDEX(REPORTE!$D:$D,$B180)</f>
        <v/>
      </c>
      <c r="G180" t="str">
        <f>INDEX(REPORTE!$E:$E,$B180)</f>
        <v/>
      </c>
      <c r="H180" t="str">
        <f t="shared" si="10"/>
        <v>HEXTJU</v>
      </c>
      <c r="I180">
        <f>CHOOSE($C180,N(INDEX(REPORTE!$F:$F,$B180))+N(INDEX(REPORTE!$G:$G,$B180)),N(INDEX(REPORTE!$H:$H,$B180)),N(INDEX(REPORTE!$I:$I,$B180)))</f>
        <v>0</v>
      </c>
      <c r="J180">
        <f t="shared" si="11"/>
        <v>0</v>
      </c>
      <c r="K180">
        <f>SUM($J$2:$J180)</f>
        <v>3</v>
      </c>
    </row>
    <row r="181" spans="1:11" x14ac:dyDescent="0.25">
      <c r="A181">
        <v>180</v>
      </c>
      <c r="B181">
        <f t="shared" si="8"/>
        <v>77</v>
      </c>
      <c r="C181">
        <f t="shared" si="9"/>
        <v>3</v>
      </c>
      <c r="D181" t="str">
        <f>IF(INDEX(REPORTE!$B:$B,$B181)="","",INDEX(REPORTE!$B:$B,$B181))</f>
        <v/>
      </c>
      <c r="E181" t="str">
        <f>IF($D181="","",IFERROR(VLOOKUP($D181,BD_PLANTA!$A:$F,6,0),""))</f>
        <v/>
      </c>
      <c r="F181" t="str">
        <f>INDEX(REPORTE!$D:$D,$B181)</f>
        <v/>
      </c>
      <c r="G181" t="str">
        <f>INDEX(REPORTE!$E:$E,$B181)</f>
        <v/>
      </c>
      <c r="H181" t="str">
        <f t="shared" si="10"/>
        <v>HEXTADUL</v>
      </c>
      <c r="I181">
        <f>CHOOSE($C181,N(INDEX(REPORTE!$F:$F,$B181))+N(INDEX(REPORTE!$G:$G,$B181)),N(INDEX(REPORTE!$H:$H,$B181)),N(INDEX(REPORTE!$I:$I,$B181)))</f>
        <v>0</v>
      </c>
      <c r="J181">
        <f t="shared" si="11"/>
        <v>0</v>
      </c>
      <c r="K181">
        <f>SUM($J$2:$J181)</f>
        <v>3</v>
      </c>
    </row>
    <row r="182" spans="1:11" x14ac:dyDescent="0.25">
      <c r="A182">
        <v>181</v>
      </c>
      <c r="B182">
        <f t="shared" si="8"/>
        <v>78</v>
      </c>
      <c r="C182">
        <f t="shared" si="9"/>
        <v>1</v>
      </c>
      <c r="D182" t="str">
        <f>IF(INDEX(REPORTE!$B:$B,$B182)="","",INDEX(REPORTE!$B:$B,$B182))</f>
        <v/>
      </c>
      <c r="E182" t="str">
        <f>IF($D182="","",IFERROR(VLOOKUP($D182,BD_PLANTA!$A:$F,6,0),""))</f>
        <v/>
      </c>
      <c r="F182" t="str">
        <f>INDEX(REPORTE!$D:$D,$B182)</f>
        <v/>
      </c>
      <c r="G182" t="str">
        <f>INDEX(REPORTE!$E:$E,$B182)</f>
        <v/>
      </c>
      <c r="H182" t="str">
        <f t="shared" si="10"/>
        <v>HEXTREG</v>
      </c>
      <c r="I182">
        <f>CHOOSE($C182,N(INDEX(REPORTE!$F:$F,$B182))+N(INDEX(REPORTE!$G:$G,$B182)),N(INDEX(REPORTE!$H:$H,$B182)),N(INDEX(REPORTE!$I:$I,$B182)))</f>
        <v>0</v>
      </c>
      <c r="J182">
        <f t="shared" si="11"/>
        <v>0</v>
      </c>
      <c r="K182">
        <f>SUM($J$2:$J182)</f>
        <v>3</v>
      </c>
    </row>
    <row r="183" spans="1:11" x14ac:dyDescent="0.25">
      <c r="A183">
        <v>182</v>
      </c>
      <c r="B183">
        <f t="shared" si="8"/>
        <v>78</v>
      </c>
      <c r="C183">
        <f t="shared" si="9"/>
        <v>2</v>
      </c>
      <c r="D183" t="str">
        <f>IF(INDEX(REPORTE!$B:$B,$B183)="","",INDEX(REPORTE!$B:$B,$B183))</f>
        <v/>
      </c>
      <c r="E183" t="str">
        <f>IF($D183="","",IFERROR(VLOOKUP($D183,BD_PLANTA!$A:$F,6,0),""))</f>
        <v/>
      </c>
      <c r="F183" t="str">
        <f>INDEX(REPORTE!$D:$D,$B183)</f>
        <v/>
      </c>
      <c r="G183" t="str">
        <f>INDEX(REPORTE!$E:$E,$B183)</f>
        <v/>
      </c>
      <c r="H183" t="str">
        <f t="shared" si="10"/>
        <v>HEXTJU</v>
      </c>
      <c r="I183">
        <f>CHOOSE($C183,N(INDEX(REPORTE!$F:$F,$B183))+N(INDEX(REPORTE!$G:$G,$B183)),N(INDEX(REPORTE!$H:$H,$B183)),N(INDEX(REPORTE!$I:$I,$B183)))</f>
        <v>0</v>
      </c>
      <c r="J183">
        <f t="shared" si="11"/>
        <v>0</v>
      </c>
      <c r="K183">
        <f>SUM($J$2:$J183)</f>
        <v>3</v>
      </c>
    </row>
    <row r="184" spans="1:11" x14ac:dyDescent="0.25">
      <c r="A184">
        <v>183</v>
      </c>
      <c r="B184">
        <f t="shared" si="8"/>
        <v>78</v>
      </c>
      <c r="C184">
        <f t="shared" si="9"/>
        <v>3</v>
      </c>
      <c r="D184" t="str">
        <f>IF(INDEX(REPORTE!$B:$B,$B184)="","",INDEX(REPORTE!$B:$B,$B184))</f>
        <v/>
      </c>
      <c r="E184" t="str">
        <f>IF($D184="","",IFERROR(VLOOKUP($D184,BD_PLANTA!$A:$F,6,0),""))</f>
        <v/>
      </c>
      <c r="F184" t="str">
        <f>INDEX(REPORTE!$D:$D,$B184)</f>
        <v/>
      </c>
      <c r="G184" t="str">
        <f>INDEX(REPORTE!$E:$E,$B184)</f>
        <v/>
      </c>
      <c r="H184" t="str">
        <f t="shared" si="10"/>
        <v>HEXTADUL</v>
      </c>
      <c r="I184">
        <f>CHOOSE($C184,N(INDEX(REPORTE!$F:$F,$B184))+N(INDEX(REPORTE!$G:$G,$B184)),N(INDEX(REPORTE!$H:$H,$B184)),N(INDEX(REPORTE!$I:$I,$B184)))</f>
        <v>0</v>
      </c>
      <c r="J184">
        <f t="shared" si="11"/>
        <v>0</v>
      </c>
      <c r="K184">
        <f>SUM($J$2:$J184)</f>
        <v>3</v>
      </c>
    </row>
    <row r="185" spans="1:11" x14ac:dyDescent="0.25">
      <c r="A185">
        <v>184</v>
      </c>
      <c r="B185">
        <f t="shared" si="8"/>
        <v>79</v>
      </c>
      <c r="C185">
        <f t="shared" si="9"/>
        <v>1</v>
      </c>
      <c r="D185" t="str">
        <f>IF(INDEX(REPORTE!$B:$B,$B185)="","",INDEX(REPORTE!$B:$B,$B185))</f>
        <v/>
      </c>
      <c r="E185" t="str">
        <f>IF($D185="","",IFERROR(VLOOKUP($D185,BD_PLANTA!$A:$F,6,0),""))</f>
        <v/>
      </c>
      <c r="F185" t="str">
        <f>INDEX(REPORTE!$D:$D,$B185)</f>
        <v/>
      </c>
      <c r="G185" t="str">
        <f>INDEX(REPORTE!$E:$E,$B185)</f>
        <v/>
      </c>
      <c r="H185" t="str">
        <f t="shared" si="10"/>
        <v>HEXTREG</v>
      </c>
      <c r="I185">
        <f>CHOOSE($C185,N(INDEX(REPORTE!$F:$F,$B185))+N(INDEX(REPORTE!$G:$G,$B185)),N(INDEX(REPORTE!$H:$H,$B185)),N(INDEX(REPORTE!$I:$I,$B185)))</f>
        <v>0</v>
      </c>
      <c r="J185">
        <f t="shared" si="11"/>
        <v>0</v>
      </c>
      <c r="K185">
        <f>SUM($J$2:$J185)</f>
        <v>3</v>
      </c>
    </row>
    <row r="186" spans="1:11" x14ac:dyDescent="0.25">
      <c r="A186">
        <v>185</v>
      </c>
      <c r="B186">
        <f t="shared" si="8"/>
        <v>79</v>
      </c>
      <c r="C186">
        <f t="shared" si="9"/>
        <v>2</v>
      </c>
      <c r="D186" t="str">
        <f>IF(INDEX(REPORTE!$B:$B,$B186)="","",INDEX(REPORTE!$B:$B,$B186))</f>
        <v/>
      </c>
      <c r="E186" t="str">
        <f>IF($D186="","",IFERROR(VLOOKUP($D186,BD_PLANTA!$A:$F,6,0),""))</f>
        <v/>
      </c>
      <c r="F186" t="str">
        <f>INDEX(REPORTE!$D:$D,$B186)</f>
        <v/>
      </c>
      <c r="G186" t="str">
        <f>INDEX(REPORTE!$E:$E,$B186)</f>
        <v/>
      </c>
      <c r="H186" t="str">
        <f t="shared" si="10"/>
        <v>HEXTJU</v>
      </c>
      <c r="I186">
        <f>CHOOSE($C186,N(INDEX(REPORTE!$F:$F,$B186))+N(INDEX(REPORTE!$G:$G,$B186)),N(INDEX(REPORTE!$H:$H,$B186)),N(INDEX(REPORTE!$I:$I,$B186)))</f>
        <v>0</v>
      </c>
      <c r="J186">
        <f t="shared" si="11"/>
        <v>0</v>
      </c>
      <c r="K186">
        <f>SUM($J$2:$J186)</f>
        <v>3</v>
      </c>
    </row>
    <row r="187" spans="1:11" x14ac:dyDescent="0.25">
      <c r="A187">
        <v>186</v>
      </c>
      <c r="B187">
        <f t="shared" si="8"/>
        <v>79</v>
      </c>
      <c r="C187">
        <f t="shared" si="9"/>
        <v>3</v>
      </c>
      <c r="D187" t="str">
        <f>IF(INDEX(REPORTE!$B:$B,$B187)="","",INDEX(REPORTE!$B:$B,$B187))</f>
        <v/>
      </c>
      <c r="E187" t="str">
        <f>IF($D187="","",IFERROR(VLOOKUP($D187,BD_PLANTA!$A:$F,6,0),""))</f>
        <v/>
      </c>
      <c r="F187" t="str">
        <f>INDEX(REPORTE!$D:$D,$B187)</f>
        <v/>
      </c>
      <c r="G187" t="str">
        <f>INDEX(REPORTE!$E:$E,$B187)</f>
        <v/>
      </c>
      <c r="H187" t="str">
        <f t="shared" si="10"/>
        <v>HEXTADUL</v>
      </c>
      <c r="I187">
        <f>CHOOSE($C187,N(INDEX(REPORTE!$F:$F,$B187))+N(INDEX(REPORTE!$G:$G,$B187)),N(INDEX(REPORTE!$H:$H,$B187)),N(INDEX(REPORTE!$I:$I,$B187)))</f>
        <v>0</v>
      </c>
      <c r="J187">
        <f t="shared" si="11"/>
        <v>0</v>
      </c>
      <c r="K187">
        <f>SUM($J$2:$J187)</f>
        <v>3</v>
      </c>
    </row>
    <row r="188" spans="1:11" x14ac:dyDescent="0.25">
      <c r="A188">
        <v>187</v>
      </c>
      <c r="B188">
        <f t="shared" si="8"/>
        <v>80</v>
      </c>
      <c r="C188">
        <f t="shared" si="9"/>
        <v>1</v>
      </c>
      <c r="D188" t="str">
        <f>IF(INDEX(REPORTE!$B:$B,$B188)="","",INDEX(REPORTE!$B:$B,$B188))</f>
        <v/>
      </c>
      <c r="E188" t="str">
        <f>IF($D188="","",IFERROR(VLOOKUP($D188,BD_PLANTA!$A:$F,6,0),""))</f>
        <v/>
      </c>
      <c r="F188" t="str">
        <f>INDEX(REPORTE!$D:$D,$B188)</f>
        <v/>
      </c>
      <c r="G188" t="str">
        <f>INDEX(REPORTE!$E:$E,$B188)</f>
        <v/>
      </c>
      <c r="H188" t="str">
        <f t="shared" si="10"/>
        <v>HEXTREG</v>
      </c>
      <c r="I188">
        <f>CHOOSE($C188,N(INDEX(REPORTE!$F:$F,$B188))+N(INDEX(REPORTE!$G:$G,$B188)),N(INDEX(REPORTE!$H:$H,$B188)),N(INDEX(REPORTE!$I:$I,$B188)))</f>
        <v>0</v>
      </c>
      <c r="J188">
        <f t="shared" si="11"/>
        <v>0</v>
      </c>
      <c r="K188">
        <f>SUM($J$2:$J188)</f>
        <v>3</v>
      </c>
    </row>
    <row r="189" spans="1:11" x14ac:dyDescent="0.25">
      <c r="A189">
        <v>188</v>
      </c>
      <c r="B189">
        <f t="shared" si="8"/>
        <v>80</v>
      </c>
      <c r="C189">
        <f t="shared" si="9"/>
        <v>2</v>
      </c>
      <c r="D189" t="str">
        <f>IF(INDEX(REPORTE!$B:$B,$B189)="","",INDEX(REPORTE!$B:$B,$B189))</f>
        <v/>
      </c>
      <c r="E189" t="str">
        <f>IF($D189="","",IFERROR(VLOOKUP($D189,BD_PLANTA!$A:$F,6,0),""))</f>
        <v/>
      </c>
      <c r="F189" t="str">
        <f>INDEX(REPORTE!$D:$D,$B189)</f>
        <v/>
      </c>
      <c r="G189" t="str">
        <f>INDEX(REPORTE!$E:$E,$B189)</f>
        <v/>
      </c>
      <c r="H189" t="str">
        <f t="shared" si="10"/>
        <v>HEXTJU</v>
      </c>
      <c r="I189">
        <f>CHOOSE($C189,N(INDEX(REPORTE!$F:$F,$B189))+N(INDEX(REPORTE!$G:$G,$B189)),N(INDEX(REPORTE!$H:$H,$B189)),N(INDEX(REPORTE!$I:$I,$B189)))</f>
        <v>0</v>
      </c>
      <c r="J189">
        <f t="shared" si="11"/>
        <v>0</v>
      </c>
      <c r="K189">
        <f>SUM($J$2:$J189)</f>
        <v>3</v>
      </c>
    </row>
    <row r="190" spans="1:11" x14ac:dyDescent="0.25">
      <c r="A190">
        <v>189</v>
      </c>
      <c r="B190">
        <f t="shared" si="8"/>
        <v>80</v>
      </c>
      <c r="C190">
        <f t="shared" si="9"/>
        <v>3</v>
      </c>
      <c r="D190" t="str">
        <f>IF(INDEX(REPORTE!$B:$B,$B190)="","",INDEX(REPORTE!$B:$B,$B190))</f>
        <v/>
      </c>
      <c r="E190" t="str">
        <f>IF($D190="","",IFERROR(VLOOKUP($D190,BD_PLANTA!$A:$F,6,0),""))</f>
        <v/>
      </c>
      <c r="F190" t="str">
        <f>INDEX(REPORTE!$D:$D,$B190)</f>
        <v/>
      </c>
      <c r="G190" t="str">
        <f>INDEX(REPORTE!$E:$E,$B190)</f>
        <v/>
      </c>
      <c r="H190" t="str">
        <f t="shared" si="10"/>
        <v>HEXTADUL</v>
      </c>
      <c r="I190">
        <f>CHOOSE($C190,N(INDEX(REPORTE!$F:$F,$B190))+N(INDEX(REPORTE!$G:$G,$B190)),N(INDEX(REPORTE!$H:$H,$B190)),N(INDEX(REPORTE!$I:$I,$B190)))</f>
        <v>0</v>
      </c>
      <c r="J190">
        <f t="shared" si="11"/>
        <v>0</v>
      </c>
      <c r="K190">
        <f>SUM($J$2:$J190)</f>
        <v>3</v>
      </c>
    </row>
    <row r="191" spans="1:11" x14ac:dyDescent="0.25">
      <c r="A191">
        <v>190</v>
      </c>
      <c r="B191">
        <f t="shared" si="8"/>
        <v>81</v>
      </c>
      <c r="C191">
        <f t="shared" si="9"/>
        <v>1</v>
      </c>
      <c r="D191" t="str">
        <f>IF(INDEX(REPORTE!$B:$B,$B191)="","",INDEX(REPORTE!$B:$B,$B191))</f>
        <v/>
      </c>
      <c r="E191" t="str">
        <f>IF($D191="","",IFERROR(VLOOKUP($D191,BD_PLANTA!$A:$F,6,0),""))</f>
        <v/>
      </c>
      <c r="F191" t="str">
        <f>INDEX(REPORTE!$D:$D,$B191)</f>
        <v/>
      </c>
      <c r="G191" t="str">
        <f>INDEX(REPORTE!$E:$E,$B191)</f>
        <v/>
      </c>
      <c r="H191" t="str">
        <f t="shared" si="10"/>
        <v>HEXTREG</v>
      </c>
      <c r="I191">
        <f>CHOOSE($C191,N(INDEX(REPORTE!$F:$F,$B191))+N(INDEX(REPORTE!$G:$G,$B191)),N(INDEX(REPORTE!$H:$H,$B191)),N(INDEX(REPORTE!$I:$I,$B191)))</f>
        <v>0</v>
      </c>
      <c r="J191">
        <f t="shared" si="11"/>
        <v>0</v>
      </c>
      <c r="K191">
        <f>SUM($J$2:$J191)</f>
        <v>3</v>
      </c>
    </row>
    <row r="192" spans="1:11" x14ac:dyDescent="0.25">
      <c r="A192">
        <v>191</v>
      </c>
      <c r="B192">
        <f t="shared" si="8"/>
        <v>81</v>
      </c>
      <c r="C192">
        <f t="shared" si="9"/>
        <v>2</v>
      </c>
      <c r="D192" t="str">
        <f>IF(INDEX(REPORTE!$B:$B,$B192)="","",INDEX(REPORTE!$B:$B,$B192))</f>
        <v/>
      </c>
      <c r="E192" t="str">
        <f>IF($D192="","",IFERROR(VLOOKUP($D192,BD_PLANTA!$A:$F,6,0),""))</f>
        <v/>
      </c>
      <c r="F192" t="str">
        <f>INDEX(REPORTE!$D:$D,$B192)</f>
        <v/>
      </c>
      <c r="G192" t="str">
        <f>INDEX(REPORTE!$E:$E,$B192)</f>
        <v/>
      </c>
      <c r="H192" t="str">
        <f t="shared" si="10"/>
        <v>HEXTJU</v>
      </c>
      <c r="I192">
        <f>CHOOSE($C192,N(INDEX(REPORTE!$F:$F,$B192))+N(INDEX(REPORTE!$G:$G,$B192)),N(INDEX(REPORTE!$H:$H,$B192)),N(INDEX(REPORTE!$I:$I,$B192)))</f>
        <v>0</v>
      </c>
      <c r="J192">
        <f t="shared" si="11"/>
        <v>0</v>
      </c>
      <c r="K192">
        <f>SUM($J$2:$J192)</f>
        <v>3</v>
      </c>
    </row>
    <row r="193" spans="1:11" x14ac:dyDescent="0.25">
      <c r="A193">
        <v>192</v>
      </c>
      <c r="B193">
        <f t="shared" si="8"/>
        <v>81</v>
      </c>
      <c r="C193">
        <f t="shared" si="9"/>
        <v>3</v>
      </c>
      <c r="D193" t="str">
        <f>IF(INDEX(REPORTE!$B:$B,$B193)="","",INDEX(REPORTE!$B:$B,$B193))</f>
        <v/>
      </c>
      <c r="E193" t="str">
        <f>IF($D193="","",IFERROR(VLOOKUP($D193,BD_PLANTA!$A:$F,6,0),""))</f>
        <v/>
      </c>
      <c r="F193" t="str">
        <f>INDEX(REPORTE!$D:$D,$B193)</f>
        <v/>
      </c>
      <c r="G193" t="str">
        <f>INDEX(REPORTE!$E:$E,$B193)</f>
        <v/>
      </c>
      <c r="H193" t="str">
        <f t="shared" si="10"/>
        <v>HEXTADUL</v>
      </c>
      <c r="I193">
        <f>CHOOSE($C193,N(INDEX(REPORTE!$F:$F,$B193))+N(INDEX(REPORTE!$G:$G,$B193)),N(INDEX(REPORTE!$H:$H,$B193)),N(INDEX(REPORTE!$I:$I,$B193)))</f>
        <v>0</v>
      </c>
      <c r="J193">
        <f t="shared" si="11"/>
        <v>0</v>
      </c>
      <c r="K193">
        <f>SUM($J$2:$J193)</f>
        <v>3</v>
      </c>
    </row>
    <row r="194" spans="1:11" x14ac:dyDescent="0.25">
      <c r="A194">
        <v>193</v>
      </c>
      <c r="B194">
        <f t="shared" ref="B194:B257" si="12">18+INT(($A194-1)/3)</f>
        <v>82</v>
      </c>
      <c r="C194">
        <f t="shared" ref="C194:C257" si="13">MOD($A194-1,3)+1</f>
        <v>1</v>
      </c>
      <c r="D194" t="str">
        <f>IF(INDEX(REPORTE!$B:$B,$B194)="","",INDEX(REPORTE!$B:$B,$B194))</f>
        <v/>
      </c>
      <c r="E194" t="str">
        <f>IF($D194="","",IFERROR(VLOOKUP($D194,BD_PLANTA!$A:$F,6,0),""))</f>
        <v/>
      </c>
      <c r="F194" t="str">
        <f>INDEX(REPORTE!$D:$D,$B194)</f>
        <v/>
      </c>
      <c r="G194" t="str">
        <f>INDEX(REPORTE!$E:$E,$B194)</f>
        <v/>
      </c>
      <c r="H194" t="str">
        <f t="shared" ref="H194:H257" si="14">CHOOSE($C194,"HEXTREG","HEXTJU","HEXTADUL")</f>
        <v>HEXTREG</v>
      </c>
      <c r="I194">
        <f>CHOOSE($C194,N(INDEX(REPORTE!$F:$F,$B194))+N(INDEX(REPORTE!$G:$G,$B194)),N(INDEX(REPORTE!$H:$H,$B194)),N(INDEX(REPORTE!$I:$I,$B194)))</f>
        <v>0</v>
      </c>
      <c r="J194">
        <f t="shared" ref="J194:J257" si="15">IF(AND($D194&lt;&gt;"",$I194&gt;0),1,0)</f>
        <v>0</v>
      </c>
      <c r="K194">
        <f>SUM($J$2:$J194)</f>
        <v>3</v>
      </c>
    </row>
    <row r="195" spans="1:11" x14ac:dyDescent="0.25">
      <c r="A195">
        <v>194</v>
      </c>
      <c r="B195">
        <f t="shared" si="12"/>
        <v>82</v>
      </c>
      <c r="C195">
        <f t="shared" si="13"/>
        <v>2</v>
      </c>
      <c r="D195" t="str">
        <f>IF(INDEX(REPORTE!$B:$B,$B195)="","",INDEX(REPORTE!$B:$B,$B195))</f>
        <v/>
      </c>
      <c r="E195" t="str">
        <f>IF($D195="","",IFERROR(VLOOKUP($D195,BD_PLANTA!$A:$F,6,0),""))</f>
        <v/>
      </c>
      <c r="F195" t="str">
        <f>INDEX(REPORTE!$D:$D,$B195)</f>
        <v/>
      </c>
      <c r="G195" t="str">
        <f>INDEX(REPORTE!$E:$E,$B195)</f>
        <v/>
      </c>
      <c r="H195" t="str">
        <f t="shared" si="14"/>
        <v>HEXTJU</v>
      </c>
      <c r="I195">
        <f>CHOOSE($C195,N(INDEX(REPORTE!$F:$F,$B195))+N(INDEX(REPORTE!$G:$G,$B195)),N(INDEX(REPORTE!$H:$H,$B195)),N(INDEX(REPORTE!$I:$I,$B195)))</f>
        <v>0</v>
      </c>
      <c r="J195">
        <f t="shared" si="15"/>
        <v>0</v>
      </c>
      <c r="K195">
        <f>SUM($J$2:$J195)</f>
        <v>3</v>
      </c>
    </row>
    <row r="196" spans="1:11" x14ac:dyDescent="0.25">
      <c r="A196">
        <v>195</v>
      </c>
      <c r="B196">
        <f t="shared" si="12"/>
        <v>82</v>
      </c>
      <c r="C196">
        <f t="shared" si="13"/>
        <v>3</v>
      </c>
      <c r="D196" t="str">
        <f>IF(INDEX(REPORTE!$B:$B,$B196)="","",INDEX(REPORTE!$B:$B,$B196))</f>
        <v/>
      </c>
      <c r="E196" t="str">
        <f>IF($D196="","",IFERROR(VLOOKUP($D196,BD_PLANTA!$A:$F,6,0),""))</f>
        <v/>
      </c>
      <c r="F196" t="str">
        <f>INDEX(REPORTE!$D:$D,$B196)</f>
        <v/>
      </c>
      <c r="G196" t="str">
        <f>INDEX(REPORTE!$E:$E,$B196)</f>
        <v/>
      </c>
      <c r="H196" t="str">
        <f t="shared" si="14"/>
        <v>HEXTADUL</v>
      </c>
      <c r="I196">
        <f>CHOOSE($C196,N(INDEX(REPORTE!$F:$F,$B196))+N(INDEX(REPORTE!$G:$G,$B196)),N(INDEX(REPORTE!$H:$H,$B196)),N(INDEX(REPORTE!$I:$I,$B196)))</f>
        <v>0</v>
      </c>
      <c r="J196">
        <f t="shared" si="15"/>
        <v>0</v>
      </c>
      <c r="K196">
        <f>SUM($J$2:$J196)</f>
        <v>3</v>
      </c>
    </row>
    <row r="197" spans="1:11" x14ac:dyDescent="0.25">
      <c r="A197">
        <v>196</v>
      </c>
      <c r="B197">
        <f t="shared" si="12"/>
        <v>83</v>
      </c>
      <c r="C197">
        <f t="shared" si="13"/>
        <v>1</v>
      </c>
      <c r="D197" t="str">
        <f>IF(INDEX(REPORTE!$B:$B,$B197)="","",INDEX(REPORTE!$B:$B,$B197))</f>
        <v/>
      </c>
      <c r="E197" t="str">
        <f>IF($D197="","",IFERROR(VLOOKUP($D197,BD_PLANTA!$A:$F,6,0),""))</f>
        <v/>
      </c>
      <c r="F197" t="str">
        <f>INDEX(REPORTE!$D:$D,$B197)</f>
        <v/>
      </c>
      <c r="G197" t="str">
        <f>INDEX(REPORTE!$E:$E,$B197)</f>
        <v/>
      </c>
      <c r="H197" t="str">
        <f t="shared" si="14"/>
        <v>HEXTREG</v>
      </c>
      <c r="I197">
        <f>CHOOSE($C197,N(INDEX(REPORTE!$F:$F,$B197))+N(INDEX(REPORTE!$G:$G,$B197)),N(INDEX(REPORTE!$H:$H,$B197)),N(INDEX(REPORTE!$I:$I,$B197)))</f>
        <v>0</v>
      </c>
      <c r="J197">
        <f t="shared" si="15"/>
        <v>0</v>
      </c>
      <c r="K197">
        <f>SUM($J$2:$J197)</f>
        <v>3</v>
      </c>
    </row>
    <row r="198" spans="1:11" x14ac:dyDescent="0.25">
      <c r="A198">
        <v>197</v>
      </c>
      <c r="B198">
        <f t="shared" si="12"/>
        <v>83</v>
      </c>
      <c r="C198">
        <f t="shared" si="13"/>
        <v>2</v>
      </c>
      <c r="D198" t="str">
        <f>IF(INDEX(REPORTE!$B:$B,$B198)="","",INDEX(REPORTE!$B:$B,$B198))</f>
        <v/>
      </c>
      <c r="E198" t="str">
        <f>IF($D198="","",IFERROR(VLOOKUP($D198,BD_PLANTA!$A:$F,6,0),""))</f>
        <v/>
      </c>
      <c r="F198" t="str">
        <f>INDEX(REPORTE!$D:$D,$B198)</f>
        <v/>
      </c>
      <c r="G198" t="str">
        <f>INDEX(REPORTE!$E:$E,$B198)</f>
        <v/>
      </c>
      <c r="H198" t="str">
        <f t="shared" si="14"/>
        <v>HEXTJU</v>
      </c>
      <c r="I198">
        <f>CHOOSE($C198,N(INDEX(REPORTE!$F:$F,$B198))+N(INDEX(REPORTE!$G:$G,$B198)),N(INDEX(REPORTE!$H:$H,$B198)),N(INDEX(REPORTE!$I:$I,$B198)))</f>
        <v>0</v>
      </c>
      <c r="J198">
        <f t="shared" si="15"/>
        <v>0</v>
      </c>
      <c r="K198">
        <f>SUM($J$2:$J198)</f>
        <v>3</v>
      </c>
    </row>
    <row r="199" spans="1:11" x14ac:dyDescent="0.25">
      <c r="A199">
        <v>198</v>
      </c>
      <c r="B199">
        <f t="shared" si="12"/>
        <v>83</v>
      </c>
      <c r="C199">
        <f t="shared" si="13"/>
        <v>3</v>
      </c>
      <c r="D199" t="str">
        <f>IF(INDEX(REPORTE!$B:$B,$B199)="","",INDEX(REPORTE!$B:$B,$B199))</f>
        <v/>
      </c>
      <c r="E199" t="str">
        <f>IF($D199="","",IFERROR(VLOOKUP($D199,BD_PLANTA!$A:$F,6,0),""))</f>
        <v/>
      </c>
      <c r="F199" t="str">
        <f>INDEX(REPORTE!$D:$D,$B199)</f>
        <v/>
      </c>
      <c r="G199" t="str">
        <f>INDEX(REPORTE!$E:$E,$B199)</f>
        <v/>
      </c>
      <c r="H199" t="str">
        <f t="shared" si="14"/>
        <v>HEXTADUL</v>
      </c>
      <c r="I199">
        <f>CHOOSE($C199,N(INDEX(REPORTE!$F:$F,$B199))+N(INDEX(REPORTE!$G:$G,$B199)),N(INDEX(REPORTE!$H:$H,$B199)),N(INDEX(REPORTE!$I:$I,$B199)))</f>
        <v>0</v>
      </c>
      <c r="J199">
        <f t="shared" si="15"/>
        <v>0</v>
      </c>
      <c r="K199">
        <f>SUM($J$2:$J199)</f>
        <v>3</v>
      </c>
    </row>
    <row r="200" spans="1:11" x14ac:dyDescent="0.25">
      <c r="A200">
        <v>199</v>
      </c>
      <c r="B200">
        <f t="shared" si="12"/>
        <v>84</v>
      </c>
      <c r="C200">
        <f t="shared" si="13"/>
        <v>1</v>
      </c>
      <c r="D200" t="str">
        <f>IF(INDEX(REPORTE!$B:$B,$B200)="","",INDEX(REPORTE!$B:$B,$B200))</f>
        <v/>
      </c>
      <c r="E200" t="str">
        <f>IF($D200="","",IFERROR(VLOOKUP($D200,BD_PLANTA!$A:$F,6,0),""))</f>
        <v/>
      </c>
      <c r="F200" t="str">
        <f>INDEX(REPORTE!$D:$D,$B200)</f>
        <v/>
      </c>
      <c r="G200" t="str">
        <f>INDEX(REPORTE!$E:$E,$B200)</f>
        <v/>
      </c>
      <c r="H200" t="str">
        <f t="shared" si="14"/>
        <v>HEXTREG</v>
      </c>
      <c r="I200">
        <f>CHOOSE($C200,N(INDEX(REPORTE!$F:$F,$B200))+N(INDEX(REPORTE!$G:$G,$B200)),N(INDEX(REPORTE!$H:$H,$B200)),N(INDEX(REPORTE!$I:$I,$B200)))</f>
        <v>0</v>
      </c>
      <c r="J200">
        <f t="shared" si="15"/>
        <v>0</v>
      </c>
      <c r="K200">
        <f>SUM($J$2:$J200)</f>
        <v>3</v>
      </c>
    </row>
    <row r="201" spans="1:11" x14ac:dyDescent="0.25">
      <c r="A201">
        <v>200</v>
      </c>
      <c r="B201">
        <f t="shared" si="12"/>
        <v>84</v>
      </c>
      <c r="C201">
        <f t="shared" si="13"/>
        <v>2</v>
      </c>
      <c r="D201" t="str">
        <f>IF(INDEX(REPORTE!$B:$B,$B201)="","",INDEX(REPORTE!$B:$B,$B201))</f>
        <v/>
      </c>
      <c r="E201" t="str">
        <f>IF($D201="","",IFERROR(VLOOKUP($D201,BD_PLANTA!$A:$F,6,0),""))</f>
        <v/>
      </c>
      <c r="F201" t="str">
        <f>INDEX(REPORTE!$D:$D,$B201)</f>
        <v/>
      </c>
      <c r="G201" t="str">
        <f>INDEX(REPORTE!$E:$E,$B201)</f>
        <v/>
      </c>
      <c r="H201" t="str">
        <f t="shared" si="14"/>
        <v>HEXTJU</v>
      </c>
      <c r="I201">
        <f>CHOOSE($C201,N(INDEX(REPORTE!$F:$F,$B201))+N(INDEX(REPORTE!$G:$G,$B201)),N(INDEX(REPORTE!$H:$H,$B201)),N(INDEX(REPORTE!$I:$I,$B201)))</f>
        <v>0</v>
      </c>
      <c r="J201">
        <f t="shared" si="15"/>
        <v>0</v>
      </c>
      <c r="K201">
        <f>SUM($J$2:$J201)</f>
        <v>3</v>
      </c>
    </row>
    <row r="202" spans="1:11" x14ac:dyDescent="0.25">
      <c r="A202">
        <v>201</v>
      </c>
      <c r="B202">
        <f t="shared" si="12"/>
        <v>84</v>
      </c>
      <c r="C202">
        <f t="shared" si="13"/>
        <v>3</v>
      </c>
      <c r="D202" t="str">
        <f>IF(INDEX(REPORTE!$B:$B,$B202)="","",INDEX(REPORTE!$B:$B,$B202))</f>
        <v/>
      </c>
      <c r="E202" t="str">
        <f>IF($D202="","",IFERROR(VLOOKUP($D202,BD_PLANTA!$A:$F,6,0),""))</f>
        <v/>
      </c>
      <c r="F202" t="str">
        <f>INDEX(REPORTE!$D:$D,$B202)</f>
        <v/>
      </c>
      <c r="G202" t="str">
        <f>INDEX(REPORTE!$E:$E,$B202)</f>
        <v/>
      </c>
      <c r="H202" t="str">
        <f t="shared" si="14"/>
        <v>HEXTADUL</v>
      </c>
      <c r="I202">
        <f>CHOOSE($C202,N(INDEX(REPORTE!$F:$F,$B202))+N(INDEX(REPORTE!$G:$G,$B202)),N(INDEX(REPORTE!$H:$H,$B202)),N(INDEX(REPORTE!$I:$I,$B202)))</f>
        <v>0</v>
      </c>
      <c r="J202">
        <f t="shared" si="15"/>
        <v>0</v>
      </c>
      <c r="K202">
        <f>SUM($J$2:$J202)</f>
        <v>3</v>
      </c>
    </row>
    <row r="203" spans="1:11" x14ac:dyDescent="0.25">
      <c r="A203">
        <v>202</v>
      </c>
      <c r="B203">
        <f t="shared" si="12"/>
        <v>85</v>
      </c>
      <c r="C203">
        <f t="shared" si="13"/>
        <v>1</v>
      </c>
      <c r="D203" t="str">
        <f>IF(INDEX(REPORTE!$B:$B,$B203)="","",INDEX(REPORTE!$B:$B,$B203))</f>
        <v/>
      </c>
      <c r="E203" t="str">
        <f>IF($D203="","",IFERROR(VLOOKUP($D203,BD_PLANTA!$A:$F,6,0),""))</f>
        <v/>
      </c>
      <c r="F203" t="str">
        <f>INDEX(REPORTE!$D:$D,$B203)</f>
        <v/>
      </c>
      <c r="G203" t="str">
        <f>INDEX(REPORTE!$E:$E,$B203)</f>
        <v/>
      </c>
      <c r="H203" t="str">
        <f t="shared" si="14"/>
        <v>HEXTREG</v>
      </c>
      <c r="I203">
        <f>CHOOSE($C203,N(INDEX(REPORTE!$F:$F,$B203))+N(INDEX(REPORTE!$G:$G,$B203)),N(INDEX(REPORTE!$H:$H,$B203)),N(INDEX(REPORTE!$I:$I,$B203)))</f>
        <v>0</v>
      </c>
      <c r="J203">
        <f t="shared" si="15"/>
        <v>0</v>
      </c>
      <c r="K203">
        <f>SUM($J$2:$J203)</f>
        <v>3</v>
      </c>
    </row>
    <row r="204" spans="1:11" x14ac:dyDescent="0.25">
      <c r="A204">
        <v>203</v>
      </c>
      <c r="B204">
        <f t="shared" si="12"/>
        <v>85</v>
      </c>
      <c r="C204">
        <f t="shared" si="13"/>
        <v>2</v>
      </c>
      <c r="D204" t="str">
        <f>IF(INDEX(REPORTE!$B:$B,$B204)="","",INDEX(REPORTE!$B:$B,$B204))</f>
        <v/>
      </c>
      <c r="E204" t="str">
        <f>IF($D204="","",IFERROR(VLOOKUP($D204,BD_PLANTA!$A:$F,6,0),""))</f>
        <v/>
      </c>
      <c r="F204" t="str">
        <f>INDEX(REPORTE!$D:$D,$B204)</f>
        <v/>
      </c>
      <c r="G204" t="str">
        <f>INDEX(REPORTE!$E:$E,$B204)</f>
        <v/>
      </c>
      <c r="H204" t="str">
        <f t="shared" si="14"/>
        <v>HEXTJU</v>
      </c>
      <c r="I204">
        <f>CHOOSE($C204,N(INDEX(REPORTE!$F:$F,$B204))+N(INDEX(REPORTE!$G:$G,$B204)),N(INDEX(REPORTE!$H:$H,$B204)),N(INDEX(REPORTE!$I:$I,$B204)))</f>
        <v>0</v>
      </c>
      <c r="J204">
        <f t="shared" si="15"/>
        <v>0</v>
      </c>
      <c r="K204">
        <f>SUM($J$2:$J204)</f>
        <v>3</v>
      </c>
    </row>
    <row r="205" spans="1:11" x14ac:dyDescent="0.25">
      <c r="A205">
        <v>204</v>
      </c>
      <c r="B205">
        <f t="shared" si="12"/>
        <v>85</v>
      </c>
      <c r="C205">
        <f t="shared" si="13"/>
        <v>3</v>
      </c>
      <c r="D205" t="str">
        <f>IF(INDEX(REPORTE!$B:$B,$B205)="","",INDEX(REPORTE!$B:$B,$B205))</f>
        <v/>
      </c>
      <c r="E205" t="str">
        <f>IF($D205="","",IFERROR(VLOOKUP($D205,BD_PLANTA!$A:$F,6,0),""))</f>
        <v/>
      </c>
      <c r="F205" t="str">
        <f>INDEX(REPORTE!$D:$D,$B205)</f>
        <v/>
      </c>
      <c r="G205" t="str">
        <f>INDEX(REPORTE!$E:$E,$B205)</f>
        <v/>
      </c>
      <c r="H205" t="str">
        <f t="shared" si="14"/>
        <v>HEXTADUL</v>
      </c>
      <c r="I205">
        <f>CHOOSE($C205,N(INDEX(REPORTE!$F:$F,$B205))+N(INDEX(REPORTE!$G:$G,$B205)),N(INDEX(REPORTE!$H:$H,$B205)),N(INDEX(REPORTE!$I:$I,$B205)))</f>
        <v>0</v>
      </c>
      <c r="J205">
        <f t="shared" si="15"/>
        <v>0</v>
      </c>
      <c r="K205">
        <f>SUM($J$2:$J205)</f>
        <v>3</v>
      </c>
    </row>
    <row r="206" spans="1:11" x14ac:dyDescent="0.25">
      <c r="A206">
        <v>205</v>
      </c>
      <c r="B206">
        <f t="shared" si="12"/>
        <v>86</v>
      </c>
      <c r="C206">
        <f t="shared" si="13"/>
        <v>1</v>
      </c>
      <c r="D206" t="str">
        <f>IF(INDEX(REPORTE!$B:$B,$B206)="","",INDEX(REPORTE!$B:$B,$B206))</f>
        <v/>
      </c>
      <c r="E206" t="str">
        <f>IF($D206="","",IFERROR(VLOOKUP($D206,BD_PLANTA!$A:$F,6,0),""))</f>
        <v/>
      </c>
      <c r="F206" t="str">
        <f>INDEX(REPORTE!$D:$D,$B206)</f>
        <v/>
      </c>
      <c r="G206" t="str">
        <f>INDEX(REPORTE!$E:$E,$B206)</f>
        <v/>
      </c>
      <c r="H206" t="str">
        <f t="shared" si="14"/>
        <v>HEXTREG</v>
      </c>
      <c r="I206">
        <f>CHOOSE($C206,N(INDEX(REPORTE!$F:$F,$B206))+N(INDEX(REPORTE!$G:$G,$B206)),N(INDEX(REPORTE!$H:$H,$B206)),N(INDEX(REPORTE!$I:$I,$B206)))</f>
        <v>0</v>
      </c>
      <c r="J206">
        <f t="shared" si="15"/>
        <v>0</v>
      </c>
      <c r="K206">
        <f>SUM($J$2:$J206)</f>
        <v>3</v>
      </c>
    </row>
    <row r="207" spans="1:11" x14ac:dyDescent="0.25">
      <c r="A207">
        <v>206</v>
      </c>
      <c r="B207">
        <f t="shared" si="12"/>
        <v>86</v>
      </c>
      <c r="C207">
        <f t="shared" si="13"/>
        <v>2</v>
      </c>
      <c r="D207" t="str">
        <f>IF(INDEX(REPORTE!$B:$B,$B207)="","",INDEX(REPORTE!$B:$B,$B207))</f>
        <v/>
      </c>
      <c r="E207" t="str">
        <f>IF($D207="","",IFERROR(VLOOKUP($D207,BD_PLANTA!$A:$F,6,0),""))</f>
        <v/>
      </c>
      <c r="F207" t="str">
        <f>INDEX(REPORTE!$D:$D,$B207)</f>
        <v/>
      </c>
      <c r="G207" t="str">
        <f>INDEX(REPORTE!$E:$E,$B207)</f>
        <v/>
      </c>
      <c r="H207" t="str">
        <f t="shared" si="14"/>
        <v>HEXTJU</v>
      </c>
      <c r="I207">
        <f>CHOOSE($C207,N(INDEX(REPORTE!$F:$F,$B207))+N(INDEX(REPORTE!$G:$G,$B207)),N(INDEX(REPORTE!$H:$H,$B207)),N(INDEX(REPORTE!$I:$I,$B207)))</f>
        <v>0</v>
      </c>
      <c r="J207">
        <f t="shared" si="15"/>
        <v>0</v>
      </c>
      <c r="K207">
        <f>SUM($J$2:$J207)</f>
        <v>3</v>
      </c>
    </row>
    <row r="208" spans="1:11" x14ac:dyDescent="0.25">
      <c r="A208">
        <v>207</v>
      </c>
      <c r="B208">
        <f t="shared" si="12"/>
        <v>86</v>
      </c>
      <c r="C208">
        <f t="shared" si="13"/>
        <v>3</v>
      </c>
      <c r="D208" t="str">
        <f>IF(INDEX(REPORTE!$B:$B,$B208)="","",INDEX(REPORTE!$B:$B,$B208))</f>
        <v/>
      </c>
      <c r="E208" t="str">
        <f>IF($D208="","",IFERROR(VLOOKUP($D208,BD_PLANTA!$A:$F,6,0),""))</f>
        <v/>
      </c>
      <c r="F208" t="str">
        <f>INDEX(REPORTE!$D:$D,$B208)</f>
        <v/>
      </c>
      <c r="G208" t="str">
        <f>INDEX(REPORTE!$E:$E,$B208)</f>
        <v/>
      </c>
      <c r="H208" t="str">
        <f t="shared" si="14"/>
        <v>HEXTADUL</v>
      </c>
      <c r="I208">
        <f>CHOOSE($C208,N(INDEX(REPORTE!$F:$F,$B208))+N(INDEX(REPORTE!$G:$G,$B208)),N(INDEX(REPORTE!$H:$H,$B208)),N(INDEX(REPORTE!$I:$I,$B208)))</f>
        <v>0</v>
      </c>
      <c r="J208">
        <f t="shared" si="15"/>
        <v>0</v>
      </c>
      <c r="K208">
        <f>SUM($J$2:$J208)</f>
        <v>3</v>
      </c>
    </row>
    <row r="209" spans="1:11" x14ac:dyDescent="0.25">
      <c r="A209">
        <v>208</v>
      </c>
      <c r="B209">
        <f t="shared" si="12"/>
        <v>87</v>
      </c>
      <c r="C209">
        <f t="shared" si="13"/>
        <v>1</v>
      </c>
      <c r="D209" t="str">
        <f>IF(INDEX(REPORTE!$B:$B,$B209)="","",INDEX(REPORTE!$B:$B,$B209))</f>
        <v/>
      </c>
      <c r="E209" t="str">
        <f>IF($D209="","",IFERROR(VLOOKUP($D209,BD_PLANTA!$A:$F,6,0),""))</f>
        <v/>
      </c>
      <c r="F209" t="str">
        <f>INDEX(REPORTE!$D:$D,$B209)</f>
        <v/>
      </c>
      <c r="G209" t="str">
        <f>INDEX(REPORTE!$E:$E,$B209)</f>
        <v/>
      </c>
      <c r="H209" t="str">
        <f t="shared" si="14"/>
        <v>HEXTREG</v>
      </c>
      <c r="I209">
        <f>CHOOSE($C209,N(INDEX(REPORTE!$F:$F,$B209))+N(INDEX(REPORTE!$G:$G,$B209)),N(INDEX(REPORTE!$H:$H,$B209)),N(INDEX(REPORTE!$I:$I,$B209)))</f>
        <v>0</v>
      </c>
      <c r="J209">
        <f t="shared" si="15"/>
        <v>0</v>
      </c>
      <c r="K209">
        <f>SUM($J$2:$J209)</f>
        <v>3</v>
      </c>
    </row>
    <row r="210" spans="1:11" x14ac:dyDescent="0.25">
      <c r="A210">
        <v>209</v>
      </c>
      <c r="B210">
        <f t="shared" si="12"/>
        <v>87</v>
      </c>
      <c r="C210">
        <f t="shared" si="13"/>
        <v>2</v>
      </c>
      <c r="D210" t="str">
        <f>IF(INDEX(REPORTE!$B:$B,$B210)="","",INDEX(REPORTE!$B:$B,$B210))</f>
        <v/>
      </c>
      <c r="E210" t="str">
        <f>IF($D210="","",IFERROR(VLOOKUP($D210,BD_PLANTA!$A:$F,6,0),""))</f>
        <v/>
      </c>
      <c r="F210" t="str">
        <f>INDEX(REPORTE!$D:$D,$B210)</f>
        <v/>
      </c>
      <c r="G210" t="str">
        <f>INDEX(REPORTE!$E:$E,$B210)</f>
        <v/>
      </c>
      <c r="H210" t="str">
        <f t="shared" si="14"/>
        <v>HEXTJU</v>
      </c>
      <c r="I210">
        <f>CHOOSE($C210,N(INDEX(REPORTE!$F:$F,$B210))+N(INDEX(REPORTE!$G:$G,$B210)),N(INDEX(REPORTE!$H:$H,$B210)),N(INDEX(REPORTE!$I:$I,$B210)))</f>
        <v>0</v>
      </c>
      <c r="J210">
        <f t="shared" si="15"/>
        <v>0</v>
      </c>
      <c r="K210">
        <f>SUM($J$2:$J210)</f>
        <v>3</v>
      </c>
    </row>
    <row r="211" spans="1:11" x14ac:dyDescent="0.25">
      <c r="A211">
        <v>210</v>
      </c>
      <c r="B211">
        <f t="shared" si="12"/>
        <v>87</v>
      </c>
      <c r="C211">
        <f t="shared" si="13"/>
        <v>3</v>
      </c>
      <c r="D211" t="str">
        <f>IF(INDEX(REPORTE!$B:$B,$B211)="","",INDEX(REPORTE!$B:$B,$B211))</f>
        <v/>
      </c>
      <c r="E211" t="str">
        <f>IF($D211="","",IFERROR(VLOOKUP($D211,BD_PLANTA!$A:$F,6,0),""))</f>
        <v/>
      </c>
      <c r="F211" t="str">
        <f>INDEX(REPORTE!$D:$D,$B211)</f>
        <v/>
      </c>
      <c r="G211" t="str">
        <f>INDEX(REPORTE!$E:$E,$B211)</f>
        <v/>
      </c>
      <c r="H211" t="str">
        <f t="shared" si="14"/>
        <v>HEXTADUL</v>
      </c>
      <c r="I211">
        <f>CHOOSE($C211,N(INDEX(REPORTE!$F:$F,$B211))+N(INDEX(REPORTE!$G:$G,$B211)),N(INDEX(REPORTE!$H:$H,$B211)),N(INDEX(REPORTE!$I:$I,$B211)))</f>
        <v>0</v>
      </c>
      <c r="J211">
        <f t="shared" si="15"/>
        <v>0</v>
      </c>
      <c r="K211">
        <f>SUM($J$2:$J211)</f>
        <v>3</v>
      </c>
    </row>
    <row r="212" spans="1:11" x14ac:dyDescent="0.25">
      <c r="A212">
        <v>211</v>
      </c>
      <c r="B212">
        <f t="shared" si="12"/>
        <v>88</v>
      </c>
      <c r="C212">
        <f t="shared" si="13"/>
        <v>1</v>
      </c>
      <c r="D212" t="str">
        <f>IF(INDEX(REPORTE!$B:$B,$B212)="","",INDEX(REPORTE!$B:$B,$B212))</f>
        <v/>
      </c>
      <c r="E212" t="str">
        <f>IF($D212="","",IFERROR(VLOOKUP($D212,BD_PLANTA!$A:$F,6,0),""))</f>
        <v/>
      </c>
      <c r="F212" t="str">
        <f>INDEX(REPORTE!$D:$D,$B212)</f>
        <v/>
      </c>
      <c r="G212" t="str">
        <f>INDEX(REPORTE!$E:$E,$B212)</f>
        <v/>
      </c>
      <c r="H212" t="str">
        <f t="shared" si="14"/>
        <v>HEXTREG</v>
      </c>
      <c r="I212">
        <f>CHOOSE($C212,N(INDEX(REPORTE!$F:$F,$B212))+N(INDEX(REPORTE!$G:$G,$B212)),N(INDEX(REPORTE!$H:$H,$B212)),N(INDEX(REPORTE!$I:$I,$B212)))</f>
        <v>0</v>
      </c>
      <c r="J212">
        <f t="shared" si="15"/>
        <v>0</v>
      </c>
      <c r="K212">
        <f>SUM($J$2:$J212)</f>
        <v>3</v>
      </c>
    </row>
    <row r="213" spans="1:11" x14ac:dyDescent="0.25">
      <c r="A213">
        <v>212</v>
      </c>
      <c r="B213">
        <f t="shared" si="12"/>
        <v>88</v>
      </c>
      <c r="C213">
        <f t="shared" si="13"/>
        <v>2</v>
      </c>
      <c r="D213" t="str">
        <f>IF(INDEX(REPORTE!$B:$B,$B213)="","",INDEX(REPORTE!$B:$B,$B213))</f>
        <v/>
      </c>
      <c r="E213" t="str">
        <f>IF($D213="","",IFERROR(VLOOKUP($D213,BD_PLANTA!$A:$F,6,0),""))</f>
        <v/>
      </c>
      <c r="F213" t="str">
        <f>INDEX(REPORTE!$D:$D,$B213)</f>
        <v/>
      </c>
      <c r="G213" t="str">
        <f>INDEX(REPORTE!$E:$E,$B213)</f>
        <v/>
      </c>
      <c r="H213" t="str">
        <f t="shared" si="14"/>
        <v>HEXTJU</v>
      </c>
      <c r="I213">
        <f>CHOOSE($C213,N(INDEX(REPORTE!$F:$F,$B213))+N(INDEX(REPORTE!$G:$G,$B213)),N(INDEX(REPORTE!$H:$H,$B213)),N(INDEX(REPORTE!$I:$I,$B213)))</f>
        <v>0</v>
      </c>
      <c r="J213">
        <f t="shared" si="15"/>
        <v>0</v>
      </c>
      <c r="K213">
        <f>SUM($J$2:$J213)</f>
        <v>3</v>
      </c>
    </row>
    <row r="214" spans="1:11" x14ac:dyDescent="0.25">
      <c r="A214">
        <v>213</v>
      </c>
      <c r="B214">
        <f t="shared" si="12"/>
        <v>88</v>
      </c>
      <c r="C214">
        <f t="shared" si="13"/>
        <v>3</v>
      </c>
      <c r="D214" t="str">
        <f>IF(INDEX(REPORTE!$B:$B,$B214)="","",INDEX(REPORTE!$B:$B,$B214))</f>
        <v/>
      </c>
      <c r="E214" t="str">
        <f>IF($D214="","",IFERROR(VLOOKUP($D214,BD_PLANTA!$A:$F,6,0),""))</f>
        <v/>
      </c>
      <c r="F214" t="str">
        <f>INDEX(REPORTE!$D:$D,$B214)</f>
        <v/>
      </c>
      <c r="G214" t="str">
        <f>INDEX(REPORTE!$E:$E,$B214)</f>
        <v/>
      </c>
      <c r="H214" t="str">
        <f t="shared" si="14"/>
        <v>HEXTADUL</v>
      </c>
      <c r="I214">
        <f>CHOOSE($C214,N(INDEX(REPORTE!$F:$F,$B214))+N(INDEX(REPORTE!$G:$G,$B214)),N(INDEX(REPORTE!$H:$H,$B214)),N(INDEX(REPORTE!$I:$I,$B214)))</f>
        <v>0</v>
      </c>
      <c r="J214">
        <f t="shared" si="15"/>
        <v>0</v>
      </c>
      <c r="K214">
        <f>SUM($J$2:$J214)</f>
        <v>3</v>
      </c>
    </row>
    <row r="215" spans="1:11" x14ac:dyDescent="0.25">
      <c r="A215">
        <v>214</v>
      </c>
      <c r="B215">
        <f t="shared" si="12"/>
        <v>89</v>
      </c>
      <c r="C215">
        <f t="shared" si="13"/>
        <v>1</v>
      </c>
      <c r="D215" t="str">
        <f>IF(INDEX(REPORTE!$B:$B,$B215)="","",INDEX(REPORTE!$B:$B,$B215))</f>
        <v/>
      </c>
      <c r="E215" t="str">
        <f>IF($D215="","",IFERROR(VLOOKUP($D215,BD_PLANTA!$A:$F,6,0),""))</f>
        <v/>
      </c>
      <c r="F215" t="str">
        <f>INDEX(REPORTE!$D:$D,$B215)</f>
        <v/>
      </c>
      <c r="G215" t="str">
        <f>INDEX(REPORTE!$E:$E,$B215)</f>
        <v/>
      </c>
      <c r="H215" t="str">
        <f t="shared" si="14"/>
        <v>HEXTREG</v>
      </c>
      <c r="I215">
        <f>CHOOSE($C215,N(INDEX(REPORTE!$F:$F,$B215))+N(INDEX(REPORTE!$G:$G,$B215)),N(INDEX(REPORTE!$H:$H,$B215)),N(INDEX(REPORTE!$I:$I,$B215)))</f>
        <v>0</v>
      </c>
      <c r="J215">
        <f t="shared" si="15"/>
        <v>0</v>
      </c>
      <c r="K215">
        <f>SUM($J$2:$J215)</f>
        <v>3</v>
      </c>
    </row>
    <row r="216" spans="1:11" x14ac:dyDescent="0.25">
      <c r="A216">
        <v>215</v>
      </c>
      <c r="B216">
        <f t="shared" si="12"/>
        <v>89</v>
      </c>
      <c r="C216">
        <f t="shared" si="13"/>
        <v>2</v>
      </c>
      <c r="D216" t="str">
        <f>IF(INDEX(REPORTE!$B:$B,$B216)="","",INDEX(REPORTE!$B:$B,$B216))</f>
        <v/>
      </c>
      <c r="E216" t="str">
        <f>IF($D216="","",IFERROR(VLOOKUP($D216,BD_PLANTA!$A:$F,6,0),""))</f>
        <v/>
      </c>
      <c r="F216" t="str">
        <f>INDEX(REPORTE!$D:$D,$B216)</f>
        <v/>
      </c>
      <c r="G216" t="str">
        <f>INDEX(REPORTE!$E:$E,$B216)</f>
        <v/>
      </c>
      <c r="H216" t="str">
        <f t="shared" si="14"/>
        <v>HEXTJU</v>
      </c>
      <c r="I216">
        <f>CHOOSE($C216,N(INDEX(REPORTE!$F:$F,$B216))+N(INDEX(REPORTE!$G:$G,$B216)),N(INDEX(REPORTE!$H:$H,$B216)),N(INDEX(REPORTE!$I:$I,$B216)))</f>
        <v>0</v>
      </c>
      <c r="J216">
        <f t="shared" si="15"/>
        <v>0</v>
      </c>
      <c r="K216">
        <f>SUM($J$2:$J216)</f>
        <v>3</v>
      </c>
    </row>
    <row r="217" spans="1:11" x14ac:dyDescent="0.25">
      <c r="A217">
        <v>216</v>
      </c>
      <c r="B217">
        <f t="shared" si="12"/>
        <v>89</v>
      </c>
      <c r="C217">
        <f t="shared" si="13"/>
        <v>3</v>
      </c>
      <c r="D217" t="str">
        <f>IF(INDEX(REPORTE!$B:$B,$B217)="","",INDEX(REPORTE!$B:$B,$B217))</f>
        <v/>
      </c>
      <c r="E217" t="str">
        <f>IF($D217="","",IFERROR(VLOOKUP($D217,BD_PLANTA!$A:$F,6,0),""))</f>
        <v/>
      </c>
      <c r="F217" t="str">
        <f>INDEX(REPORTE!$D:$D,$B217)</f>
        <v/>
      </c>
      <c r="G217" t="str">
        <f>INDEX(REPORTE!$E:$E,$B217)</f>
        <v/>
      </c>
      <c r="H217" t="str">
        <f t="shared" si="14"/>
        <v>HEXTADUL</v>
      </c>
      <c r="I217">
        <f>CHOOSE($C217,N(INDEX(REPORTE!$F:$F,$B217))+N(INDEX(REPORTE!$G:$G,$B217)),N(INDEX(REPORTE!$H:$H,$B217)),N(INDEX(REPORTE!$I:$I,$B217)))</f>
        <v>0</v>
      </c>
      <c r="J217">
        <f t="shared" si="15"/>
        <v>0</v>
      </c>
      <c r="K217">
        <f>SUM($J$2:$J217)</f>
        <v>3</v>
      </c>
    </row>
    <row r="218" spans="1:11" x14ac:dyDescent="0.25">
      <c r="A218">
        <v>217</v>
      </c>
      <c r="B218">
        <f t="shared" si="12"/>
        <v>90</v>
      </c>
      <c r="C218">
        <f t="shared" si="13"/>
        <v>1</v>
      </c>
      <c r="D218" t="str">
        <f>IF(INDEX(REPORTE!$B:$B,$B218)="","",INDEX(REPORTE!$B:$B,$B218))</f>
        <v/>
      </c>
      <c r="E218" t="str">
        <f>IF($D218="","",IFERROR(VLOOKUP($D218,BD_PLANTA!$A:$F,6,0),""))</f>
        <v/>
      </c>
      <c r="F218" t="str">
        <f>INDEX(REPORTE!$D:$D,$B218)</f>
        <v/>
      </c>
      <c r="G218" t="str">
        <f>INDEX(REPORTE!$E:$E,$B218)</f>
        <v/>
      </c>
      <c r="H218" t="str">
        <f t="shared" si="14"/>
        <v>HEXTREG</v>
      </c>
      <c r="I218">
        <f>CHOOSE($C218,N(INDEX(REPORTE!$F:$F,$B218))+N(INDEX(REPORTE!$G:$G,$B218)),N(INDEX(REPORTE!$H:$H,$B218)),N(INDEX(REPORTE!$I:$I,$B218)))</f>
        <v>0</v>
      </c>
      <c r="J218">
        <f t="shared" si="15"/>
        <v>0</v>
      </c>
      <c r="K218">
        <f>SUM($J$2:$J218)</f>
        <v>3</v>
      </c>
    </row>
    <row r="219" spans="1:11" x14ac:dyDescent="0.25">
      <c r="A219">
        <v>218</v>
      </c>
      <c r="B219">
        <f t="shared" si="12"/>
        <v>90</v>
      </c>
      <c r="C219">
        <f t="shared" si="13"/>
        <v>2</v>
      </c>
      <c r="D219" t="str">
        <f>IF(INDEX(REPORTE!$B:$B,$B219)="","",INDEX(REPORTE!$B:$B,$B219))</f>
        <v/>
      </c>
      <c r="E219" t="str">
        <f>IF($D219="","",IFERROR(VLOOKUP($D219,BD_PLANTA!$A:$F,6,0),""))</f>
        <v/>
      </c>
      <c r="F219" t="str">
        <f>INDEX(REPORTE!$D:$D,$B219)</f>
        <v/>
      </c>
      <c r="G219" t="str">
        <f>INDEX(REPORTE!$E:$E,$B219)</f>
        <v/>
      </c>
      <c r="H219" t="str">
        <f t="shared" si="14"/>
        <v>HEXTJU</v>
      </c>
      <c r="I219">
        <f>CHOOSE($C219,N(INDEX(REPORTE!$F:$F,$B219))+N(INDEX(REPORTE!$G:$G,$B219)),N(INDEX(REPORTE!$H:$H,$B219)),N(INDEX(REPORTE!$I:$I,$B219)))</f>
        <v>0</v>
      </c>
      <c r="J219">
        <f t="shared" si="15"/>
        <v>0</v>
      </c>
      <c r="K219">
        <f>SUM($J$2:$J219)</f>
        <v>3</v>
      </c>
    </row>
    <row r="220" spans="1:11" x14ac:dyDescent="0.25">
      <c r="A220">
        <v>219</v>
      </c>
      <c r="B220">
        <f t="shared" si="12"/>
        <v>90</v>
      </c>
      <c r="C220">
        <f t="shared" si="13"/>
        <v>3</v>
      </c>
      <c r="D220" t="str">
        <f>IF(INDEX(REPORTE!$B:$B,$B220)="","",INDEX(REPORTE!$B:$B,$B220))</f>
        <v/>
      </c>
      <c r="E220" t="str">
        <f>IF($D220="","",IFERROR(VLOOKUP($D220,BD_PLANTA!$A:$F,6,0),""))</f>
        <v/>
      </c>
      <c r="F220" t="str">
        <f>INDEX(REPORTE!$D:$D,$B220)</f>
        <v/>
      </c>
      <c r="G220" t="str">
        <f>INDEX(REPORTE!$E:$E,$B220)</f>
        <v/>
      </c>
      <c r="H220" t="str">
        <f t="shared" si="14"/>
        <v>HEXTADUL</v>
      </c>
      <c r="I220">
        <f>CHOOSE($C220,N(INDEX(REPORTE!$F:$F,$B220))+N(INDEX(REPORTE!$G:$G,$B220)),N(INDEX(REPORTE!$H:$H,$B220)),N(INDEX(REPORTE!$I:$I,$B220)))</f>
        <v>0</v>
      </c>
      <c r="J220">
        <f t="shared" si="15"/>
        <v>0</v>
      </c>
      <c r="K220">
        <f>SUM($J$2:$J220)</f>
        <v>3</v>
      </c>
    </row>
    <row r="221" spans="1:11" x14ac:dyDescent="0.25">
      <c r="A221">
        <v>220</v>
      </c>
      <c r="B221">
        <f t="shared" si="12"/>
        <v>91</v>
      </c>
      <c r="C221">
        <f t="shared" si="13"/>
        <v>1</v>
      </c>
      <c r="D221" t="str">
        <f>IF(INDEX(REPORTE!$B:$B,$B221)="","",INDEX(REPORTE!$B:$B,$B221))</f>
        <v/>
      </c>
      <c r="E221" t="str">
        <f>IF($D221="","",IFERROR(VLOOKUP($D221,BD_PLANTA!$A:$F,6,0),""))</f>
        <v/>
      </c>
      <c r="F221" t="str">
        <f>INDEX(REPORTE!$D:$D,$B221)</f>
        <v/>
      </c>
      <c r="G221" t="str">
        <f>INDEX(REPORTE!$E:$E,$B221)</f>
        <v/>
      </c>
      <c r="H221" t="str">
        <f t="shared" si="14"/>
        <v>HEXTREG</v>
      </c>
      <c r="I221">
        <f>CHOOSE($C221,N(INDEX(REPORTE!$F:$F,$B221))+N(INDEX(REPORTE!$G:$G,$B221)),N(INDEX(REPORTE!$H:$H,$B221)),N(INDEX(REPORTE!$I:$I,$B221)))</f>
        <v>0</v>
      </c>
      <c r="J221">
        <f t="shared" si="15"/>
        <v>0</v>
      </c>
      <c r="K221">
        <f>SUM($J$2:$J221)</f>
        <v>3</v>
      </c>
    </row>
    <row r="222" spans="1:11" x14ac:dyDescent="0.25">
      <c r="A222">
        <v>221</v>
      </c>
      <c r="B222">
        <f t="shared" si="12"/>
        <v>91</v>
      </c>
      <c r="C222">
        <f t="shared" si="13"/>
        <v>2</v>
      </c>
      <c r="D222" t="str">
        <f>IF(INDEX(REPORTE!$B:$B,$B222)="","",INDEX(REPORTE!$B:$B,$B222))</f>
        <v/>
      </c>
      <c r="E222" t="str">
        <f>IF($D222="","",IFERROR(VLOOKUP($D222,BD_PLANTA!$A:$F,6,0),""))</f>
        <v/>
      </c>
      <c r="F222" t="str">
        <f>INDEX(REPORTE!$D:$D,$B222)</f>
        <v/>
      </c>
      <c r="G222" t="str">
        <f>INDEX(REPORTE!$E:$E,$B222)</f>
        <v/>
      </c>
      <c r="H222" t="str">
        <f t="shared" si="14"/>
        <v>HEXTJU</v>
      </c>
      <c r="I222">
        <f>CHOOSE($C222,N(INDEX(REPORTE!$F:$F,$B222))+N(INDEX(REPORTE!$G:$G,$B222)),N(INDEX(REPORTE!$H:$H,$B222)),N(INDEX(REPORTE!$I:$I,$B222)))</f>
        <v>0</v>
      </c>
      <c r="J222">
        <f t="shared" si="15"/>
        <v>0</v>
      </c>
      <c r="K222">
        <f>SUM($J$2:$J222)</f>
        <v>3</v>
      </c>
    </row>
    <row r="223" spans="1:11" x14ac:dyDescent="0.25">
      <c r="A223">
        <v>222</v>
      </c>
      <c r="B223">
        <f t="shared" si="12"/>
        <v>91</v>
      </c>
      <c r="C223">
        <f t="shared" si="13"/>
        <v>3</v>
      </c>
      <c r="D223" t="str">
        <f>IF(INDEX(REPORTE!$B:$B,$B223)="","",INDEX(REPORTE!$B:$B,$B223))</f>
        <v/>
      </c>
      <c r="E223" t="str">
        <f>IF($D223="","",IFERROR(VLOOKUP($D223,BD_PLANTA!$A:$F,6,0),""))</f>
        <v/>
      </c>
      <c r="F223" t="str">
        <f>INDEX(REPORTE!$D:$D,$B223)</f>
        <v/>
      </c>
      <c r="G223" t="str">
        <f>INDEX(REPORTE!$E:$E,$B223)</f>
        <v/>
      </c>
      <c r="H223" t="str">
        <f t="shared" si="14"/>
        <v>HEXTADUL</v>
      </c>
      <c r="I223">
        <f>CHOOSE($C223,N(INDEX(REPORTE!$F:$F,$B223))+N(INDEX(REPORTE!$G:$G,$B223)),N(INDEX(REPORTE!$H:$H,$B223)),N(INDEX(REPORTE!$I:$I,$B223)))</f>
        <v>0</v>
      </c>
      <c r="J223">
        <f t="shared" si="15"/>
        <v>0</v>
      </c>
      <c r="K223">
        <f>SUM($J$2:$J223)</f>
        <v>3</v>
      </c>
    </row>
    <row r="224" spans="1:11" x14ac:dyDescent="0.25">
      <c r="A224">
        <v>223</v>
      </c>
      <c r="B224">
        <f t="shared" si="12"/>
        <v>92</v>
      </c>
      <c r="C224">
        <f t="shared" si="13"/>
        <v>1</v>
      </c>
      <c r="D224" t="str">
        <f>IF(INDEX(REPORTE!$B:$B,$B224)="","",INDEX(REPORTE!$B:$B,$B224))</f>
        <v/>
      </c>
      <c r="E224" t="str">
        <f>IF($D224="","",IFERROR(VLOOKUP($D224,BD_PLANTA!$A:$F,6,0),""))</f>
        <v/>
      </c>
      <c r="F224" t="str">
        <f>INDEX(REPORTE!$D:$D,$B224)</f>
        <v/>
      </c>
      <c r="G224" t="str">
        <f>INDEX(REPORTE!$E:$E,$B224)</f>
        <v/>
      </c>
      <c r="H224" t="str">
        <f t="shared" si="14"/>
        <v>HEXTREG</v>
      </c>
      <c r="I224">
        <f>CHOOSE($C224,N(INDEX(REPORTE!$F:$F,$B224))+N(INDEX(REPORTE!$G:$G,$B224)),N(INDEX(REPORTE!$H:$H,$B224)),N(INDEX(REPORTE!$I:$I,$B224)))</f>
        <v>0</v>
      </c>
      <c r="J224">
        <f t="shared" si="15"/>
        <v>0</v>
      </c>
      <c r="K224">
        <f>SUM($J$2:$J224)</f>
        <v>3</v>
      </c>
    </row>
    <row r="225" spans="1:11" x14ac:dyDescent="0.25">
      <c r="A225">
        <v>224</v>
      </c>
      <c r="B225">
        <f t="shared" si="12"/>
        <v>92</v>
      </c>
      <c r="C225">
        <f t="shared" si="13"/>
        <v>2</v>
      </c>
      <c r="D225" t="str">
        <f>IF(INDEX(REPORTE!$B:$B,$B225)="","",INDEX(REPORTE!$B:$B,$B225))</f>
        <v/>
      </c>
      <c r="E225" t="str">
        <f>IF($D225="","",IFERROR(VLOOKUP($D225,BD_PLANTA!$A:$F,6,0),""))</f>
        <v/>
      </c>
      <c r="F225" t="str">
        <f>INDEX(REPORTE!$D:$D,$B225)</f>
        <v/>
      </c>
      <c r="G225" t="str">
        <f>INDEX(REPORTE!$E:$E,$B225)</f>
        <v/>
      </c>
      <c r="H225" t="str">
        <f t="shared" si="14"/>
        <v>HEXTJU</v>
      </c>
      <c r="I225">
        <f>CHOOSE($C225,N(INDEX(REPORTE!$F:$F,$B225))+N(INDEX(REPORTE!$G:$G,$B225)),N(INDEX(REPORTE!$H:$H,$B225)),N(INDEX(REPORTE!$I:$I,$B225)))</f>
        <v>0</v>
      </c>
      <c r="J225">
        <f t="shared" si="15"/>
        <v>0</v>
      </c>
      <c r="K225">
        <f>SUM($J$2:$J225)</f>
        <v>3</v>
      </c>
    </row>
    <row r="226" spans="1:11" x14ac:dyDescent="0.25">
      <c r="A226">
        <v>225</v>
      </c>
      <c r="B226">
        <f t="shared" si="12"/>
        <v>92</v>
      </c>
      <c r="C226">
        <f t="shared" si="13"/>
        <v>3</v>
      </c>
      <c r="D226" t="str">
        <f>IF(INDEX(REPORTE!$B:$B,$B226)="","",INDEX(REPORTE!$B:$B,$B226))</f>
        <v/>
      </c>
      <c r="E226" t="str">
        <f>IF($D226="","",IFERROR(VLOOKUP($D226,BD_PLANTA!$A:$F,6,0),""))</f>
        <v/>
      </c>
      <c r="F226" t="str">
        <f>INDEX(REPORTE!$D:$D,$B226)</f>
        <v/>
      </c>
      <c r="G226" t="str">
        <f>INDEX(REPORTE!$E:$E,$B226)</f>
        <v/>
      </c>
      <c r="H226" t="str">
        <f t="shared" si="14"/>
        <v>HEXTADUL</v>
      </c>
      <c r="I226">
        <f>CHOOSE($C226,N(INDEX(REPORTE!$F:$F,$B226))+N(INDEX(REPORTE!$G:$G,$B226)),N(INDEX(REPORTE!$H:$H,$B226)),N(INDEX(REPORTE!$I:$I,$B226)))</f>
        <v>0</v>
      </c>
      <c r="J226">
        <f t="shared" si="15"/>
        <v>0</v>
      </c>
      <c r="K226">
        <f>SUM($J$2:$J226)</f>
        <v>3</v>
      </c>
    </row>
    <row r="227" spans="1:11" x14ac:dyDescent="0.25">
      <c r="A227">
        <v>226</v>
      </c>
      <c r="B227">
        <f t="shared" si="12"/>
        <v>93</v>
      </c>
      <c r="C227">
        <f t="shared" si="13"/>
        <v>1</v>
      </c>
      <c r="D227" t="str">
        <f>IF(INDEX(REPORTE!$B:$B,$B227)="","",INDEX(REPORTE!$B:$B,$B227))</f>
        <v/>
      </c>
      <c r="E227" t="str">
        <f>IF($D227="","",IFERROR(VLOOKUP($D227,BD_PLANTA!$A:$F,6,0),""))</f>
        <v/>
      </c>
      <c r="F227" t="str">
        <f>INDEX(REPORTE!$D:$D,$B227)</f>
        <v/>
      </c>
      <c r="G227" t="str">
        <f>INDEX(REPORTE!$E:$E,$B227)</f>
        <v/>
      </c>
      <c r="H227" t="str">
        <f t="shared" si="14"/>
        <v>HEXTREG</v>
      </c>
      <c r="I227">
        <f>CHOOSE($C227,N(INDEX(REPORTE!$F:$F,$B227))+N(INDEX(REPORTE!$G:$G,$B227)),N(INDEX(REPORTE!$H:$H,$B227)),N(INDEX(REPORTE!$I:$I,$B227)))</f>
        <v>0</v>
      </c>
      <c r="J227">
        <f t="shared" si="15"/>
        <v>0</v>
      </c>
      <c r="K227">
        <f>SUM($J$2:$J227)</f>
        <v>3</v>
      </c>
    </row>
    <row r="228" spans="1:11" x14ac:dyDescent="0.25">
      <c r="A228">
        <v>227</v>
      </c>
      <c r="B228">
        <f t="shared" si="12"/>
        <v>93</v>
      </c>
      <c r="C228">
        <f t="shared" si="13"/>
        <v>2</v>
      </c>
      <c r="D228" t="str">
        <f>IF(INDEX(REPORTE!$B:$B,$B228)="","",INDEX(REPORTE!$B:$B,$B228))</f>
        <v/>
      </c>
      <c r="E228" t="str">
        <f>IF($D228="","",IFERROR(VLOOKUP($D228,BD_PLANTA!$A:$F,6,0),""))</f>
        <v/>
      </c>
      <c r="F228" t="str">
        <f>INDEX(REPORTE!$D:$D,$B228)</f>
        <v/>
      </c>
      <c r="G228" t="str">
        <f>INDEX(REPORTE!$E:$E,$B228)</f>
        <v/>
      </c>
      <c r="H228" t="str">
        <f t="shared" si="14"/>
        <v>HEXTJU</v>
      </c>
      <c r="I228">
        <f>CHOOSE($C228,N(INDEX(REPORTE!$F:$F,$B228))+N(INDEX(REPORTE!$G:$G,$B228)),N(INDEX(REPORTE!$H:$H,$B228)),N(INDEX(REPORTE!$I:$I,$B228)))</f>
        <v>0</v>
      </c>
      <c r="J228">
        <f t="shared" si="15"/>
        <v>0</v>
      </c>
      <c r="K228">
        <f>SUM($J$2:$J228)</f>
        <v>3</v>
      </c>
    </row>
    <row r="229" spans="1:11" x14ac:dyDescent="0.25">
      <c r="A229">
        <v>228</v>
      </c>
      <c r="B229">
        <f t="shared" si="12"/>
        <v>93</v>
      </c>
      <c r="C229">
        <f t="shared" si="13"/>
        <v>3</v>
      </c>
      <c r="D229" t="str">
        <f>IF(INDEX(REPORTE!$B:$B,$B229)="","",INDEX(REPORTE!$B:$B,$B229))</f>
        <v/>
      </c>
      <c r="E229" t="str">
        <f>IF($D229="","",IFERROR(VLOOKUP($D229,BD_PLANTA!$A:$F,6,0),""))</f>
        <v/>
      </c>
      <c r="F229" t="str">
        <f>INDEX(REPORTE!$D:$D,$B229)</f>
        <v/>
      </c>
      <c r="G229" t="str">
        <f>INDEX(REPORTE!$E:$E,$B229)</f>
        <v/>
      </c>
      <c r="H229" t="str">
        <f t="shared" si="14"/>
        <v>HEXTADUL</v>
      </c>
      <c r="I229">
        <f>CHOOSE($C229,N(INDEX(REPORTE!$F:$F,$B229))+N(INDEX(REPORTE!$G:$G,$B229)),N(INDEX(REPORTE!$H:$H,$B229)),N(INDEX(REPORTE!$I:$I,$B229)))</f>
        <v>0</v>
      </c>
      <c r="J229">
        <f t="shared" si="15"/>
        <v>0</v>
      </c>
      <c r="K229">
        <f>SUM($J$2:$J229)</f>
        <v>3</v>
      </c>
    </row>
    <row r="230" spans="1:11" x14ac:dyDescent="0.25">
      <c r="A230">
        <v>229</v>
      </c>
      <c r="B230">
        <f t="shared" si="12"/>
        <v>94</v>
      </c>
      <c r="C230">
        <f t="shared" si="13"/>
        <v>1</v>
      </c>
      <c r="D230" t="str">
        <f>IF(INDEX(REPORTE!$B:$B,$B230)="","",INDEX(REPORTE!$B:$B,$B230))</f>
        <v/>
      </c>
      <c r="E230" t="str">
        <f>IF($D230="","",IFERROR(VLOOKUP($D230,BD_PLANTA!$A:$F,6,0),""))</f>
        <v/>
      </c>
      <c r="F230" t="str">
        <f>INDEX(REPORTE!$D:$D,$B230)</f>
        <v/>
      </c>
      <c r="G230" t="str">
        <f>INDEX(REPORTE!$E:$E,$B230)</f>
        <v/>
      </c>
      <c r="H230" t="str">
        <f t="shared" si="14"/>
        <v>HEXTREG</v>
      </c>
      <c r="I230">
        <f>CHOOSE($C230,N(INDEX(REPORTE!$F:$F,$B230))+N(INDEX(REPORTE!$G:$G,$B230)),N(INDEX(REPORTE!$H:$H,$B230)),N(INDEX(REPORTE!$I:$I,$B230)))</f>
        <v>0</v>
      </c>
      <c r="J230">
        <f t="shared" si="15"/>
        <v>0</v>
      </c>
      <c r="K230">
        <f>SUM($J$2:$J230)</f>
        <v>3</v>
      </c>
    </row>
    <row r="231" spans="1:11" x14ac:dyDescent="0.25">
      <c r="A231">
        <v>230</v>
      </c>
      <c r="B231">
        <f t="shared" si="12"/>
        <v>94</v>
      </c>
      <c r="C231">
        <f t="shared" si="13"/>
        <v>2</v>
      </c>
      <c r="D231" t="str">
        <f>IF(INDEX(REPORTE!$B:$B,$B231)="","",INDEX(REPORTE!$B:$B,$B231))</f>
        <v/>
      </c>
      <c r="E231" t="str">
        <f>IF($D231="","",IFERROR(VLOOKUP($D231,BD_PLANTA!$A:$F,6,0),""))</f>
        <v/>
      </c>
      <c r="F231" t="str">
        <f>INDEX(REPORTE!$D:$D,$B231)</f>
        <v/>
      </c>
      <c r="G231" t="str">
        <f>INDEX(REPORTE!$E:$E,$B231)</f>
        <v/>
      </c>
      <c r="H231" t="str">
        <f t="shared" si="14"/>
        <v>HEXTJU</v>
      </c>
      <c r="I231">
        <f>CHOOSE($C231,N(INDEX(REPORTE!$F:$F,$B231))+N(INDEX(REPORTE!$G:$G,$B231)),N(INDEX(REPORTE!$H:$H,$B231)),N(INDEX(REPORTE!$I:$I,$B231)))</f>
        <v>0</v>
      </c>
      <c r="J231">
        <f t="shared" si="15"/>
        <v>0</v>
      </c>
      <c r="K231">
        <f>SUM($J$2:$J231)</f>
        <v>3</v>
      </c>
    </row>
    <row r="232" spans="1:11" x14ac:dyDescent="0.25">
      <c r="A232">
        <v>231</v>
      </c>
      <c r="B232">
        <f t="shared" si="12"/>
        <v>94</v>
      </c>
      <c r="C232">
        <f t="shared" si="13"/>
        <v>3</v>
      </c>
      <c r="D232" t="str">
        <f>IF(INDEX(REPORTE!$B:$B,$B232)="","",INDEX(REPORTE!$B:$B,$B232))</f>
        <v/>
      </c>
      <c r="E232" t="str">
        <f>IF($D232="","",IFERROR(VLOOKUP($D232,BD_PLANTA!$A:$F,6,0),""))</f>
        <v/>
      </c>
      <c r="F232" t="str">
        <f>INDEX(REPORTE!$D:$D,$B232)</f>
        <v/>
      </c>
      <c r="G232" t="str">
        <f>INDEX(REPORTE!$E:$E,$B232)</f>
        <v/>
      </c>
      <c r="H232" t="str">
        <f t="shared" si="14"/>
        <v>HEXTADUL</v>
      </c>
      <c r="I232">
        <f>CHOOSE($C232,N(INDEX(REPORTE!$F:$F,$B232))+N(INDEX(REPORTE!$G:$G,$B232)),N(INDEX(REPORTE!$H:$H,$B232)),N(INDEX(REPORTE!$I:$I,$B232)))</f>
        <v>0</v>
      </c>
      <c r="J232">
        <f t="shared" si="15"/>
        <v>0</v>
      </c>
      <c r="K232">
        <f>SUM($J$2:$J232)</f>
        <v>3</v>
      </c>
    </row>
    <row r="233" spans="1:11" x14ac:dyDescent="0.25">
      <c r="A233">
        <v>232</v>
      </c>
      <c r="B233">
        <f t="shared" si="12"/>
        <v>95</v>
      </c>
      <c r="C233">
        <f t="shared" si="13"/>
        <v>1</v>
      </c>
      <c r="D233" t="str">
        <f>IF(INDEX(REPORTE!$B:$B,$B233)="","",INDEX(REPORTE!$B:$B,$B233))</f>
        <v/>
      </c>
      <c r="E233" t="str">
        <f>IF($D233="","",IFERROR(VLOOKUP($D233,BD_PLANTA!$A:$F,6,0),""))</f>
        <v/>
      </c>
      <c r="F233" t="str">
        <f>INDEX(REPORTE!$D:$D,$B233)</f>
        <v/>
      </c>
      <c r="G233" t="str">
        <f>INDEX(REPORTE!$E:$E,$B233)</f>
        <v/>
      </c>
      <c r="H233" t="str">
        <f t="shared" si="14"/>
        <v>HEXTREG</v>
      </c>
      <c r="I233">
        <f>CHOOSE($C233,N(INDEX(REPORTE!$F:$F,$B233))+N(INDEX(REPORTE!$G:$G,$B233)),N(INDEX(REPORTE!$H:$H,$B233)),N(INDEX(REPORTE!$I:$I,$B233)))</f>
        <v>0</v>
      </c>
      <c r="J233">
        <f t="shared" si="15"/>
        <v>0</v>
      </c>
      <c r="K233">
        <f>SUM($J$2:$J233)</f>
        <v>3</v>
      </c>
    </row>
    <row r="234" spans="1:11" x14ac:dyDescent="0.25">
      <c r="A234">
        <v>233</v>
      </c>
      <c r="B234">
        <f t="shared" si="12"/>
        <v>95</v>
      </c>
      <c r="C234">
        <f t="shared" si="13"/>
        <v>2</v>
      </c>
      <c r="D234" t="str">
        <f>IF(INDEX(REPORTE!$B:$B,$B234)="","",INDEX(REPORTE!$B:$B,$B234))</f>
        <v/>
      </c>
      <c r="E234" t="str">
        <f>IF($D234="","",IFERROR(VLOOKUP($D234,BD_PLANTA!$A:$F,6,0),""))</f>
        <v/>
      </c>
      <c r="F234" t="str">
        <f>INDEX(REPORTE!$D:$D,$B234)</f>
        <v/>
      </c>
      <c r="G234" t="str">
        <f>INDEX(REPORTE!$E:$E,$B234)</f>
        <v/>
      </c>
      <c r="H234" t="str">
        <f t="shared" si="14"/>
        <v>HEXTJU</v>
      </c>
      <c r="I234">
        <f>CHOOSE($C234,N(INDEX(REPORTE!$F:$F,$B234))+N(INDEX(REPORTE!$G:$G,$B234)),N(INDEX(REPORTE!$H:$H,$B234)),N(INDEX(REPORTE!$I:$I,$B234)))</f>
        <v>0</v>
      </c>
      <c r="J234">
        <f t="shared" si="15"/>
        <v>0</v>
      </c>
      <c r="K234">
        <f>SUM($J$2:$J234)</f>
        <v>3</v>
      </c>
    </row>
    <row r="235" spans="1:11" x14ac:dyDescent="0.25">
      <c r="A235">
        <v>234</v>
      </c>
      <c r="B235">
        <f t="shared" si="12"/>
        <v>95</v>
      </c>
      <c r="C235">
        <f t="shared" si="13"/>
        <v>3</v>
      </c>
      <c r="D235" t="str">
        <f>IF(INDEX(REPORTE!$B:$B,$B235)="","",INDEX(REPORTE!$B:$B,$B235))</f>
        <v/>
      </c>
      <c r="E235" t="str">
        <f>IF($D235="","",IFERROR(VLOOKUP($D235,BD_PLANTA!$A:$F,6,0),""))</f>
        <v/>
      </c>
      <c r="F235" t="str">
        <f>INDEX(REPORTE!$D:$D,$B235)</f>
        <v/>
      </c>
      <c r="G235" t="str">
        <f>INDEX(REPORTE!$E:$E,$B235)</f>
        <v/>
      </c>
      <c r="H235" t="str">
        <f t="shared" si="14"/>
        <v>HEXTADUL</v>
      </c>
      <c r="I235">
        <f>CHOOSE($C235,N(INDEX(REPORTE!$F:$F,$B235))+N(INDEX(REPORTE!$G:$G,$B235)),N(INDEX(REPORTE!$H:$H,$B235)),N(INDEX(REPORTE!$I:$I,$B235)))</f>
        <v>0</v>
      </c>
      <c r="J235">
        <f t="shared" si="15"/>
        <v>0</v>
      </c>
      <c r="K235">
        <f>SUM($J$2:$J235)</f>
        <v>3</v>
      </c>
    </row>
    <row r="236" spans="1:11" x14ac:dyDescent="0.25">
      <c r="A236">
        <v>235</v>
      </c>
      <c r="B236">
        <f t="shared" si="12"/>
        <v>96</v>
      </c>
      <c r="C236">
        <f t="shared" si="13"/>
        <v>1</v>
      </c>
      <c r="D236" t="str">
        <f>IF(INDEX(REPORTE!$B:$B,$B236)="","",INDEX(REPORTE!$B:$B,$B236))</f>
        <v/>
      </c>
      <c r="E236" t="str">
        <f>IF($D236="","",IFERROR(VLOOKUP($D236,BD_PLANTA!$A:$F,6,0),""))</f>
        <v/>
      </c>
      <c r="F236" t="str">
        <f>INDEX(REPORTE!$D:$D,$B236)</f>
        <v/>
      </c>
      <c r="G236" t="str">
        <f>INDEX(REPORTE!$E:$E,$B236)</f>
        <v/>
      </c>
      <c r="H236" t="str">
        <f t="shared" si="14"/>
        <v>HEXTREG</v>
      </c>
      <c r="I236">
        <f>CHOOSE($C236,N(INDEX(REPORTE!$F:$F,$B236))+N(INDEX(REPORTE!$G:$G,$B236)),N(INDEX(REPORTE!$H:$H,$B236)),N(INDEX(REPORTE!$I:$I,$B236)))</f>
        <v>0</v>
      </c>
      <c r="J236">
        <f t="shared" si="15"/>
        <v>0</v>
      </c>
      <c r="K236">
        <f>SUM($J$2:$J236)</f>
        <v>3</v>
      </c>
    </row>
    <row r="237" spans="1:11" x14ac:dyDescent="0.25">
      <c r="A237">
        <v>236</v>
      </c>
      <c r="B237">
        <f t="shared" si="12"/>
        <v>96</v>
      </c>
      <c r="C237">
        <f t="shared" si="13"/>
        <v>2</v>
      </c>
      <c r="D237" t="str">
        <f>IF(INDEX(REPORTE!$B:$B,$B237)="","",INDEX(REPORTE!$B:$B,$B237))</f>
        <v/>
      </c>
      <c r="E237" t="str">
        <f>IF($D237="","",IFERROR(VLOOKUP($D237,BD_PLANTA!$A:$F,6,0),""))</f>
        <v/>
      </c>
      <c r="F237" t="str">
        <f>INDEX(REPORTE!$D:$D,$B237)</f>
        <v/>
      </c>
      <c r="G237" t="str">
        <f>INDEX(REPORTE!$E:$E,$B237)</f>
        <v/>
      </c>
      <c r="H237" t="str">
        <f t="shared" si="14"/>
        <v>HEXTJU</v>
      </c>
      <c r="I237">
        <f>CHOOSE($C237,N(INDEX(REPORTE!$F:$F,$B237))+N(INDEX(REPORTE!$G:$G,$B237)),N(INDEX(REPORTE!$H:$H,$B237)),N(INDEX(REPORTE!$I:$I,$B237)))</f>
        <v>0</v>
      </c>
      <c r="J237">
        <f t="shared" si="15"/>
        <v>0</v>
      </c>
      <c r="K237">
        <f>SUM($J$2:$J237)</f>
        <v>3</v>
      </c>
    </row>
    <row r="238" spans="1:11" x14ac:dyDescent="0.25">
      <c r="A238">
        <v>237</v>
      </c>
      <c r="B238">
        <f t="shared" si="12"/>
        <v>96</v>
      </c>
      <c r="C238">
        <f t="shared" si="13"/>
        <v>3</v>
      </c>
      <c r="D238" t="str">
        <f>IF(INDEX(REPORTE!$B:$B,$B238)="","",INDEX(REPORTE!$B:$B,$B238))</f>
        <v/>
      </c>
      <c r="E238" t="str">
        <f>IF($D238="","",IFERROR(VLOOKUP($D238,BD_PLANTA!$A:$F,6,0),""))</f>
        <v/>
      </c>
      <c r="F238" t="str">
        <f>INDEX(REPORTE!$D:$D,$B238)</f>
        <v/>
      </c>
      <c r="G238" t="str">
        <f>INDEX(REPORTE!$E:$E,$B238)</f>
        <v/>
      </c>
      <c r="H238" t="str">
        <f t="shared" si="14"/>
        <v>HEXTADUL</v>
      </c>
      <c r="I238">
        <f>CHOOSE($C238,N(INDEX(REPORTE!$F:$F,$B238))+N(INDEX(REPORTE!$G:$G,$B238)),N(INDEX(REPORTE!$H:$H,$B238)),N(INDEX(REPORTE!$I:$I,$B238)))</f>
        <v>0</v>
      </c>
      <c r="J238">
        <f t="shared" si="15"/>
        <v>0</v>
      </c>
      <c r="K238">
        <f>SUM($J$2:$J238)</f>
        <v>3</v>
      </c>
    </row>
    <row r="239" spans="1:11" x14ac:dyDescent="0.25">
      <c r="A239">
        <v>238</v>
      </c>
      <c r="B239">
        <f t="shared" si="12"/>
        <v>97</v>
      </c>
      <c r="C239">
        <f t="shared" si="13"/>
        <v>1</v>
      </c>
      <c r="D239" t="str">
        <f>IF(INDEX(REPORTE!$B:$B,$B239)="","",INDEX(REPORTE!$B:$B,$B239))</f>
        <v/>
      </c>
      <c r="E239" t="str">
        <f>IF($D239="","",IFERROR(VLOOKUP($D239,BD_PLANTA!$A:$F,6,0),""))</f>
        <v/>
      </c>
      <c r="F239" t="str">
        <f>INDEX(REPORTE!$D:$D,$B239)</f>
        <v/>
      </c>
      <c r="G239" t="str">
        <f>INDEX(REPORTE!$E:$E,$B239)</f>
        <v/>
      </c>
      <c r="H239" t="str">
        <f t="shared" si="14"/>
        <v>HEXTREG</v>
      </c>
      <c r="I239">
        <f>CHOOSE($C239,N(INDEX(REPORTE!$F:$F,$B239))+N(INDEX(REPORTE!$G:$G,$B239)),N(INDEX(REPORTE!$H:$H,$B239)),N(INDEX(REPORTE!$I:$I,$B239)))</f>
        <v>0</v>
      </c>
      <c r="J239">
        <f t="shared" si="15"/>
        <v>0</v>
      </c>
      <c r="K239">
        <f>SUM($J$2:$J239)</f>
        <v>3</v>
      </c>
    </row>
    <row r="240" spans="1:11" x14ac:dyDescent="0.25">
      <c r="A240">
        <v>239</v>
      </c>
      <c r="B240">
        <f t="shared" si="12"/>
        <v>97</v>
      </c>
      <c r="C240">
        <f t="shared" si="13"/>
        <v>2</v>
      </c>
      <c r="D240" t="str">
        <f>IF(INDEX(REPORTE!$B:$B,$B240)="","",INDEX(REPORTE!$B:$B,$B240))</f>
        <v/>
      </c>
      <c r="E240" t="str">
        <f>IF($D240="","",IFERROR(VLOOKUP($D240,BD_PLANTA!$A:$F,6,0),""))</f>
        <v/>
      </c>
      <c r="F240" t="str">
        <f>INDEX(REPORTE!$D:$D,$B240)</f>
        <v/>
      </c>
      <c r="G240" t="str">
        <f>INDEX(REPORTE!$E:$E,$B240)</f>
        <v/>
      </c>
      <c r="H240" t="str">
        <f t="shared" si="14"/>
        <v>HEXTJU</v>
      </c>
      <c r="I240">
        <f>CHOOSE($C240,N(INDEX(REPORTE!$F:$F,$B240))+N(INDEX(REPORTE!$G:$G,$B240)),N(INDEX(REPORTE!$H:$H,$B240)),N(INDEX(REPORTE!$I:$I,$B240)))</f>
        <v>0</v>
      </c>
      <c r="J240">
        <f t="shared" si="15"/>
        <v>0</v>
      </c>
      <c r="K240">
        <f>SUM($J$2:$J240)</f>
        <v>3</v>
      </c>
    </row>
    <row r="241" spans="1:11" x14ac:dyDescent="0.25">
      <c r="A241">
        <v>240</v>
      </c>
      <c r="B241">
        <f t="shared" si="12"/>
        <v>97</v>
      </c>
      <c r="C241">
        <f t="shared" si="13"/>
        <v>3</v>
      </c>
      <c r="D241" t="str">
        <f>IF(INDEX(REPORTE!$B:$B,$B241)="","",INDEX(REPORTE!$B:$B,$B241))</f>
        <v/>
      </c>
      <c r="E241" t="str">
        <f>IF($D241="","",IFERROR(VLOOKUP($D241,BD_PLANTA!$A:$F,6,0),""))</f>
        <v/>
      </c>
      <c r="F241" t="str">
        <f>INDEX(REPORTE!$D:$D,$B241)</f>
        <v/>
      </c>
      <c r="G241" t="str">
        <f>INDEX(REPORTE!$E:$E,$B241)</f>
        <v/>
      </c>
      <c r="H241" t="str">
        <f t="shared" si="14"/>
        <v>HEXTADUL</v>
      </c>
      <c r="I241">
        <f>CHOOSE($C241,N(INDEX(REPORTE!$F:$F,$B241))+N(INDEX(REPORTE!$G:$G,$B241)),N(INDEX(REPORTE!$H:$H,$B241)),N(INDEX(REPORTE!$I:$I,$B241)))</f>
        <v>0</v>
      </c>
      <c r="J241">
        <f t="shared" si="15"/>
        <v>0</v>
      </c>
      <c r="K241">
        <f>SUM($J$2:$J241)</f>
        <v>3</v>
      </c>
    </row>
    <row r="242" spans="1:11" x14ac:dyDescent="0.25">
      <c r="A242">
        <v>241</v>
      </c>
      <c r="B242">
        <f t="shared" si="12"/>
        <v>98</v>
      </c>
      <c r="C242">
        <f t="shared" si="13"/>
        <v>1</v>
      </c>
      <c r="D242" t="str">
        <f>IF(INDEX(REPORTE!$B:$B,$B242)="","",INDEX(REPORTE!$B:$B,$B242))</f>
        <v/>
      </c>
      <c r="E242" t="str">
        <f>IF($D242="","",IFERROR(VLOOKUP($D242,BD_PLANTA!$A:$F,6,0),""))</f>
        <v/>
      </c>
      <c r="F242" t="str">
        <f>INDEX(REPORTE!$D:$D,$B242)</f>
        <v/>
      </c>
      <c r="G242" t="str">
        <f>INDEX(REPORTE!$E:$E,$B242)</f>
        <v/>
      </c>
      <c r="H242" t="str">
        <f t="shared" si="14"/>
        <v>HEXTREG</v>
      </c>
      <c r="I242">
        <f>CHOOSE($C242,N(INDEX(REPORTE!$F:$F,$B242))+N(INDEX(REPORTE!$G:$G,$B242)),N(INDEX(REPORTE!$H:$H,$B242)),N(INDEX(REPORTE!$I:$I,$B242)))</f>
        <v>0</v>
      </c>
      <c r="J242">
        <f t="shared" si="15"/>
        <v>0</v>
      </c>
      <c r="K242">
        <f>SUM($J$2:$J242)</f>
        <v>3</v>
      </c>
    </row>
    <row r="243" spans="1:11" x14ac:dyDescent="0.25">
      <c r="A243">
        <v>242</v>
      </c>
      <c r="B243">
        <f t="shared" si="12"/>
        <v>98</v>
      </c>
      <c r="C243">
        <f t="shared" si="13"/>
        <v>2</v>
      </c>
      <c r="D243" t="str">
        <f>IF(INDEX(REPORTE!$B:$B,$B243)="","",INDEX(REPORTE!$B:$B,$B243))</f>
        <v/>
      </c>
      <c r="E243" t="str">
        <f>IF($D243="","",IFERROR(VLOOKUP($D243,BD_PLANTA!$A:$F,6,0),""))</f>
        <v/>
      </c>
      <c r="F243" t="str">
        <f>INDEX(REPORTE!$D:$D,$B243)</f>
        <v/>
      </c>
      <c r="G243" t="str">
        <f>INDEX(REPORTE!$E:$E,$B243)</f>
        <v/>
      </c>
      <c r="H243" t="str">
        <f t="shared" si="14"/>
        <v>HEXTJU</v>
      </c>
      <c r="I243">
        <f>CHOOSE($C243,N(INDEX(REPORTE!$F:$F,$B243))+N(INDEX(REPORTE!$G:$G,$B243)),N(INDEX(REPORTE!$H:$H,$B243)),N(INDEX(REPORTE!$I:$I,$B243)))</f>
        <v>0</v>
      </c>
      <c r="J243">
        <f t="shared" si="15"/>
        <v>0</v>
      </c>
      <c r="K243">
        <f>SUM($J$2:$J243)</f>
        <v>3</v>
      </c>
    </row>
    <row r="244" spans="1:11" x14ac:dyDescent="0.25">
      <c r="A244">
        <v>243</v>
      </c>
      <c r="B244">
        <f t="shared" si="12"/>
        <v>98</v>
      </c>
      <c r="C244">
        <f t="shared" si="13"/>
        <v>3</v>
      </c>
      <c r="D244" t="str">
        <f>IF(INDEX(REPORTE!$B:$B,$B244)="","",INDEX(REPORTE!$B:$B,$B244))</f>
        <v/>
      </c>
      <c r="E244" t="str">
        <f>IF($D244="","",IFERROR(VLOOKUP($D244,BD_PLANTA!$A:$F,6,0),""))</f>
        <v/>
      </c>
      <c r="F244" t="str">
        <f>INDEX(REPORTE!$D:$D,$B244)</f>
        <v/>
      </c>
      <c r="G244" t="str">
        <f>INDEX(REPORTE!$E:$E,$B244)</f>
        <v/>
      </c>
      <c r="H244" t="str">
        <f t="shared" si="14"/>
        <v>HEXTADUL</v>
      </c>
      <c r="I244">
        <f>CHOOSE($C244,N(INDEX(REPORTE!$F:$F,$B244))+N(INDEX(REPORTE!$G:$G,$B244)),N(INDEX(REPORTE!$H:$H,$B244)),N(INDEX(REPORTE!$I:$I,$B244)))</f>
        <v>0</v>
      </c>
      <c r="J244">
        <f t="shared" si="15"/>
        <v>0</v>
      </c>
      <c r="K244">
        <f>SUM($J$2:$J244)</f>
        <v>3</v>
      </c>
    </row>
    <row r="245" spans="1:11" x14ac:dyDescent="0.25">
      <c r="A245">
        <v>244</v>
      </c>
      <c r="B245">
        <f t="shared" si="12"/>
        <v>99</v>
      </c>
      <c r="C245">
        <f t="shared" si="13"/>
        <v>1</v>
      </c>
      <c r="D245" t="str">
        <f>IF(INDEX(REPORTE!$B:$B,$B245)="","",INDEX(REPORTE!$B:$B,$B245))</f>
        <v/>
      </c>
      <c r="E245" t="str">
        <f>IF($D245="","",IFERROR(VLOOKUP($D245,BD_PLANTA!$A:$F,6,0),""))</f>
        <v/>
      </c>
      <c r="F245" t="str">
        <f>INDEX(REPORTE!$D:$D,$B245)</f>
        <v/>
      </c>
      <c r="G245" t="str">
        <f>INDEX(REPORTE!$E:$E,$B245)</f>
        <v/>
      </c>
      <c r="H245" t="str">
        <f t="shared" si="14"/>
        <v>HEXTREG</v>
      </c>
      <c r="I245">
        <f>CHOOSE($C245,N(INDEX(REPORTE!$F:$F,$B245))+N(INDEX(REPORTE!$G:$G,$B245)),N(INDEX(REPORTE!$H:$H,$B245)),N(INDEX(REPORTE!$I:$I,$B245)))</f>
        <v>0</v>
      </c>
      <c r="J245">
        <f t="shared" si="15"/>
        <v>0</v>
      </c>
      <c r="K245">
        <f>SUM($J$2:$J245)</f>
        <v>3</v>
      </c>
    </row>
    <row r="246" spans="1:11" x14ac:dyDescent="0.25">
      <c r="A246">
        <v>245</v>
      </c>
      <c r="B246">
        <f t="shared" si="12"/>
        <v>99</v>
      </c>
      <c r="C246">
        <f t="shared" si="13"/>
        <v>2</v>
      </c>
      <c r="D246" t="str">
        <f>IF(INDEX(REPORTE!$B:$B,$B246)="","",INDEX(REPORTE!$B:$B,$B246))</f>
        <v/>
      </c>
      <c r="E246" t="str">
        <f>IF($D246="","",IFERROR(VLOOKUP($D246,BD_PLANTA!$A:$F,6,0),""))</f>
        <v/>
      </c>
      <c r="F246" t="str">
        <f>INDEX(REPORTE!$D:$D,$B246)</f>
        <v/>
      </c>
      <c r="G246" t="str">
        <f>INDEX(REPORTE!$E:$E,$B246)</f>
        <v/>
      </c>
      <c r="H246" t="str">
        <f t="shared" si="14"/>
        <v>HEXTJU</v>
      </c>
      <c r="I246">
        <f>CHOOSE($C246,N(INDEX(REPORTE!$F:$F,$B246))+N(INDEX(REPORTE!$G:$G,$B246)),N(INDEX(REPORTE!$H:$H,$B246)),N(INDEX(REPORTE!$I:$I,$B246)))</f>
        <v>0</v>
      </c>
      <c r="J246">
        <f t="shared" si="15"/>
        <v>0</v>
      </c>
      <c r="K246">
        <f>SUM($J$2:$J246)</f>
        <v>3</v>
      </c>
    </row>
    <row r="247" spans="1:11" x14ac:dyDescent="0.25">
      <c r="A247">
        <v>246</v>
      </c>
      <c r="B247">
        <f t="shared" si="12"/>
        <v>99</v>
      </c>
      <c r="C247">
        <f t="shared" si="13"/>
        <v>3</v>
      </c>
      <c r="D247" t="str">
        <f>IF(INDEX(REPORTE!$B:$B,$B247)="","",INDEX(REPORTE!$B:$B,$B247))</f>
        <v/>
      </c>
      <c r="E247" t="str">
        <f>IF($D247="","",IFERROR(VLOOKUP($D247,BD_PLANTA!$A:$F,6,0),""))</f>
        <v/>
      </c>
      <c r="F247" t="str">
        <f>INDEX(REPORTE!$D:$D,$B247)</f>
        <v/>
      </c>
      <c r="G247" t="str">
        <f>INDEX(REPORTE!$E:$E,$B247)</f>
        <v/>
      </c>
      <c r="H247" t="str">
        <f t="shared" si="14"/>
        <v>HEXTADUL</v>
      </c>
      <c r="I247">
        <f>CHOOSE($C247,N(INDEX(REPORTE!$F:$F,$B247))+N(INDEX(REPORTE!$G:$G,$B247)),N(INDEX(REPORTE!$H:$H,$B247)),N(INDEX(REPORTE!$I:$I,$B247)))</f>
        <v>0</v>
      </c>
      <c r="J247">
        <f t="shared" si="15"/>
        <v>0</v>
      </c>
      <c r="K247">
        <f>SUM($J$2:$J247)</f>
        <v>3</v>
      </c>
    </row>
    <row r="248" spans="1:11" x14ac:dyDescent="0.25">
      <c r="A248">
        <v>247</v>
      </c>
      <c r="B248">
        <f t="shared" si="12"/>
        <v>100</v>
      </c>
      <c r="C248">
        <f t="shared" si="13"/>
        <v>1</v>
      </c>
      <c r="D248" t="str">
        <f>IF(INDEX(REPORTE!$B:$B,$B248)="","",INDEX(REPORTE!$B:$B,$B248))</f>
        <v/>
      </c>
      <c r="E248" t="str">
        <f>IF($D248="","",IFERROR(VLOOKUP($D248,BD_PLANTA!$A:$F,6,0),""))</f>
        <v/>
      </c>
      <c r="F248" t="str">
        <f>INDEX(REPORTE!$D:$D,$B248)</f>
        <v/>
      </c>
      <c r="G248" t="str">
        <f>INDEX(REPORTE!$E:$E,$B248)</f>
        <v/>
      </c>
      <c r="H248" t="str">
        <f t="shared" si="14"/>
        <v>HEXTREG</v>
      </c>
      <c r="I248">
        <f>CHOOSE($C248,N(INDEX(REPORTE!$F:$F,$B248))+N(INDEX(REPORTE!$G:$G,$B248)),N(INDEX(REPORTE!$H:$H,$B248)),N(INDEX(REPORTE!$I:$I,$B248)))</f>
        <v>0</v>
      </c>
      <c r="J248">
        <f t="shared" si="15"/>
        <v>0</v>
      </c>
      <c r="K248">
        <f>SUM($J$2:$J248)</f>
        <v>3</v>
      </c>
    </row>
    <row r="249" spans="1:11" x14ac:dyDescent="0.25">
      <c r="A249">
        <v>248</v>
      </c>
      <c r="B249">
        <f t="shared" si="12"/>
        <v>100</v>
      </c>
      <c r="C249">
        <f t="shared" si="13"/>
        <v>2</v>
      </c>
      <c r="D249" t="str">
        <f>IF(INDEX(REPORTE!$B:$B,$B249)="","",INDEX(REPORTE!$B:$B,$B249))</f>
        <v/>
      </c>
      <c r="E249" t="str">
        <f>IF($D249="","",IFERROR(VLOOKUP($D249,BD_PLANTA!$A:$F,6,0),""))</f>
        <v/>
      </c>
      <c r="F249" t="str">
        <f>INDEX(REPORTE!$D:$D,$B249)</f>
        <v/>
      </c>
      <c r="G249" t="str">
        <f>INDEX(REPORTE!$E:$E,$B249)</f>
        <v/>
      </c>
      <c r="H249" t="str">
        <f t="shared" si="14"/>
        <v>HEXTJU</v>
      </c>
      <c r="I249">
        <f>CHOOSE($C249,N(INDEX(REPORTE!$F:$F,$B249))+N(INDEX(REPORTE!$G:$G,$B249)),N(INDEX(REPORTE!$H:$H,$B249)),N(INDEX(REPORTE!$I:$I,$B249)))</f>
        <v>0</v>
      </c>
      <c r="J249">
        <f t="shared" si="15"/>
        <v>0</v>
      </c>
      <c r="K249">
        <f>SUM($J$2:$J249)</f>
        <v>3</v>
      </c>
    </row>
    <row r="250" spans="1:11" x14ac:dyDescent="0.25">
      <c r="A250">
        <v>249</v>
      </c>
      <c r="B250">
        <f t="shared" si="12"/>
        <v>100</v>
      </c>
      <c r="C250">
        <f t="shared" si="13"/>
        <v>3</v>
      </c>
      <c r="D250" t="str">
        <f>IF(INDEX(REPORTE!$B:$B,$B250)="","",INDEX(REPORTE!$B:$B,$B250))</f>
        <v/>
      </c>
      <c r="E250" t="str">
        <f>IF($D250="","",IFERROR(VLOOKUP($D250,BD_PLANTA!$A:$F,6,0),""))</f>
        <v/>
      </c>
      <c r="F250" t="str">
        <f>INDEX(REPORTE!$D:$D,$B250)</f>
        <v/>
      </c>
      <c r="G250" t="str">
        <f>INDEX(REPORTE!$E:$E,$B250)</f>
        <v/>
      </c>
      <c r="H250" t="str">
        <f t="shared" si="14"/>
        <v>HEXTADUL</v>
      </c>
      <c r="I250">
        <f>CHOOSE($C250,N(INDEX(REPORTE!$F:$F,$B250))+N(INDEX(REPORTE!$G:$G,$B250)),N(INDEX(REPORTE!$H:$H,$B250)),N(INDEX(REPORTE!$I:$I,$B250)))</f>
        <v>0</v>
      </c>
      <c r="J250">
        <f t="shared" si="15"/>
        <v>0</v>
      </c>
      <c r="K250">
        <f>SUM($J$2:$J250)</f>
        <v>3</v>
      </c>
    </row>
    <row r="251" spans="1:11" x14ac:dyDescent="0.25">
      <c r="A251">
        <v>250</v>
      </c>
      <c r="B251">
        <f t="shared" si="12"/>
        <v>101</v>
      </c>
      <c r="C251">
        <f t="shared" si="13"/>
        <v>1</v>
      </c>
      <c r="D251" t="str">
        <f>IF(INDEX(REPORTE!$B:$B,$B251)="","",INDEX(REPORTE!$B:$B,$B251))</f>
        <v/>
      </c>
      <c r="E251" t="str">
        <f>IF($D251="","",IFERROR(VLOOKUP($D251,BD_PLANTA!$A:$F,6,0),""))</f>
        <v/>
      </c>
      <c r="F251" t="str">
        <f>INDEX(REPORTE!$D:$D,$B251)</f>
        <v/>
      </c>
      <c r="G251" t="str">
        <f>INDEX(REPORTE!$E:$E,$B251)</f>
        <v/>
      </c>
      <c r="H251" t="str">
        <f t="shared" si="14"/>
        <v>HEXTREG</v>
      </c>
      <c r="I251">
        <f>CHOOSE($C251,N(INDEX(REPORTE!$F:$F,$B251))+N(INDEX(REPORTE!$G:$G,$B251)),N(INDEX(REPORTE!$H:$H,$B251)),N(INDEX(REPORTE!$I:$I,$B251)))</f>
        <v>0</v>
      </c>
      <c r="J251">
        <f t="shared" si="15"/>
        <v>0</v>
      </c>
      <c r="K251">
        <f>SUM($J$2:$J251)</f>
        <v>3</v>
      </c>
    </row>
    <row r="252" spans="1:11" x14ac:dyDescent="0.25">
      <c r="A252">
        <v>251</v>
      </c>
      <c r="B252">
        <f t="shared" si="12"/>
        <v>101</v>
      </c>
      <c r="C252">
        <f t="shared" si="13"/>
        <v>2</v>
      </c>
      <c r="D252" t="str">
        <f>IF(INDEX(REPORTE!$B:$B,$B252)="","",INDEX(REPORTE!$B:$B,$B252))</f>
        <v/>
      </c>
      <c r="E252" t="str">
        <f>IF($D252="","",IFERROR(VLOOKUP($D252,BD_PLANTA!$A:$F,6,0),""))</f>
        <v/>
      </c>
      <c r="F252" t="str">
        <f>INDEX(REPORTE!$D:$D,$B252)</f>
        <v/>
      </c>
      <c r="G252" t="str">
        <f>INDEX(REPORTE!$E:$E,$B252)</f>
        <v/>
      </c>
      <c r="H252" t="str">
        <f t="shared" si="14"/>
        <v>HEXTJU</v>
      </c>
      <c r="I252">
        <f>CHOOSE($C252,N(INDEX(REPORTE!$F:$F,$B252))+N(INDEX(REPORTE!$G:$G,$B252)),N(INDEX(REPORTE!$H:$H,$B252)),N(INDEX(REPORTE!$I:$I,$B252)))</f>
        <v>0</v>
      </c>
      <c r="J252">
        <f t="shared" si="15"/>
        <v>0</v>
      </c>
      <c r="K252">
        <f>SUM($J$2:$J252)</f>
        <v>3</v>
      </c>
    </row>
    <row r="253" spans="1:11" x14ac:dyDescent="0.25">
      <c r="A253">
        <v>252</v>
      </c>
      <c r="B253">
        <f t="shared" si="12"/>
        <v>101</v>
      </c>
      <c r="C253">
        <f t="shared" si="13"/>
        <v>3</v>
      </c>
      <c r="D253" t="str">
        <f>IF(INDEX(REPORTE!$B:$B,$B253)="","",INDEX(REPORTE!$B:$B,$B253))</f>
        <v/>
      </c>
      <c r="E253" t="str">
        <f>IF($D253="","",IFERROR(VLOOKUP($D253,BD_PLANTA!$A:$F,6,0),""))</f>
        <v/>
      </c>
      <c r="F253" t="str">
        <f>INDEX(REPORTE!$D:$D,$B253)</f>
        <v/>
      </c>
      <c r="G253" t="str">
        <f>INDEX(REPORTE!$E:$E,$B253)</f>
        <v/>
      </c>
      <c r="H253" t="str">
        <f t="shared" si="14"/>
        <v>HEXTADUL</v>
      </c>
      <c r="I253">
        <f>CHOOSE($C253,N(INDEX(REPORTE!$F:$F,$B253))+N(INDEX(REPORTE!$G:$G,$B253)),N(INDEX(REPORTE!$H:$H,$B253)),N(INDEX(REPORTE!$I:$I,$B253)))</f>
        <v>0</v>
      </c>
      <c r="J253">
        <f t="shared" si="15"/>
        <v>0</v>
      </c>
      <c r="K253">
        <f>SUM($J$2:$J253)</f>
        <v>3</v>
      </c>
    </row>
    <row r="254" spans="1:11" x14ac:dyDescent="0.25">
      <c r="A254">
        <v>253</v>
      </c>
      <c r="B254">
        <f t="shared" si="12"/>
        <v>102</v>
      </c>
      <c r="C254">
        <f t="shared" si="13"/>
        <v>1</v>
      </c>
      <c r="D254" t="str">
        <f>IF(INDEX(REPORTE!$B:$B,$B254)="","",INDEX(REPORTE!$B:$B,$B254))</f>
        <v/>
      </c>
      <c r="E254" t="str">
        <f>IF($D254="","",IFERROR(VLOOKUP($D254,BD_PLANTA!$A:$F,6,0),""))</f>
        <v/>
      </c>
      <c r="F254" t="str">
        <f>INDEX(REPORTE!$D:$D,$B254)</f>
        <v/>
      </c>
      <c r="G254" t="str">
        <f>INDEX(REPORTE!$E:$E,$B254)</f>
        <v/>
      </c>
      <c r="H254" t="str">
        <f t="shared" si="14"/>
        <v>HEXTREG</v>
      </c>
      <c r="I254">
        <f>CHOOSE($C254,N(INDEX(REPORTE!$F:$F,$B254))+N(INDEX(REPORTE!$G:$G,$B254)),N(INDEX(REPORTE!$H:$H,$B254)),N(INDEX(REPORTE!$I:$I,$B254)))</f>
        <v>0</v>
      </c>
      <c r="J254">
        <f t="shared" si="15"/>
        <v>0</v>
      </c>
      <c r="K254">
        <f>SUM($J$2:$J254)</f>
        <v>3</v>
      </c>
    </row>
    <row r="255" spans="1:11" x14ac:dyDescent="0.25">
      <c r="A255">
        <v>254</v>
      </c>
      <c r="B255">
        <f t="shared" si="12"/>
        <v>102</v>
      </c>
      <c r="C255">
        <f t="shared" si="13"/>
        <v>2</v>
      </c>
      <c r="D255" t="str">
        <f>IF(INDEX(REPORTE!$B:$B,$B255)="","",INDEX(REPORTE!$B:$B,$B255))</f>
        <v/>
      </c>
      <c r="E255" t="str">
        <f>IF($D255="","",IFERROR(VLOOKUP($D255,BD_PLANTA!$A:$F,6,0),""))</f>
        <v/>
      </c>
      <c r="F255" t="str">
        <f>INDEX(REPORTE!$D:$D,$B255)</f>
        <v/>
      </c>
      <c r="G255" t="str">
        <f>INDEX(REPORTE!$E:$E,$B255)</f>
        <v/>
      </c>
      <c r="H255" t="str">
        <f t="shared" si="14"/>
        <v>HEXTJU</v>
      </c>
      <c r="I255">
        <f>CHOOSE($C255,N(INDEX(REPORTE!$F:$F,$B255))+N(INDEX(REPORTE!$G:$G,$B255)),N(INDEX(REPORTE!$H:$H,$B255)),N(INDEX(REPORTE!$I:$I,$B255)))</f>
        <v>0</v>
      </c>
      <c r="J255">
        <f t="shared" si="15"/>
        <v>0</v>
      </c>
      <c r="K255">
        <f>SUM($J$2:$J255)</f>
        <v>3</v>
      </c>
    </row>
    <row r="256" spans="1:11" x14ac:dyDescent="0.25">
      <c r="A256">
        <v>255</v>
      </c>
      <c r="B256">
        <f t="shared" si="12"/>
        <v>102</v>
      </c>
      <c r="C256">
        <f t="shared" si="13"/>
        <v>3</v>
      </c>
      <c r="D256" t="str">
        <f>IF(INDEX(REPORTE!$B:$B,$B256)="","",INDEX(REPORTE!$B:$B,$B256))</f>
        <v/>
      </c>
      <c r="E256" t="str">
        <f>IF($D256="","",IFERROR(VLOOKUP($D256,BD_PLANTA!$A:$F,6,0),""))</f>
        <v/>
      </c>
      <c r="F256" t="str">
        <f>INDEX(REPORTE!$D:$D,$B256)</f>
        <v/>
      </c>
      <c r="G256" t="str">
        <f>INDEX(REPORTE!$E:$E,$B256)</f>
        <v/>
      </c>
      <c r="H256" t="str">
        <f t="shared" si="14"/>
        <v>HEXTADUL</v>
      </c>
      <c r="I256">
        <f>CHOOSE($C256,N(INDEX(REPORTE!$F:$F,$B256))+N(INDEX(REPORTE!$G:$G,$B256)),N(INDEX(REPORTE!$H:$H,$B256)),N(INDEX(REPORTE!$I:$I,$B256)))</f>
        <v>0</v>
      </c>
      <c r="J256">
        <f t="shared" si="15"/>
        <v>0</v>
      </c>
      <c r="K256">
        <f>SUM($J$2:$J256)</f>
        <v>3</v>
      </c>
    </row>
    <row r="257" spans="1:11" x14ac:dyDescent="0.25">
      <c r="A257">
        <v>256</v>
      </c>
      <c r="B257">
        <f t="shared" si="12"/>
        <v>103</v>
      </c>
      <c r="C257">
        <f t="shared" si="13"/>
        <v>1</v>
      </c>
      <c r="D257" t="str">
        <f>IF(INDEX(REPORTE!$B:$B,$B257)="","",INDEX(REPORTE!$B:$B,$B257))</f>
        <v/>
      </c>
      <c r="E257" t="str">
        <f>IF($D257="","",IFERROR(VLOOKUP($D257,BD_PLANTA!$A:$F,6,0),""))</f>
        <v/>
      </c>
      <c r="F257" t="str">
        <f>INDEX(REPORTE!$D:$D,$B257)</f>
        <v/>
      </c>
      <c r="G257" t="str">
        <f>INDEX(REPORTE!$E:$E,$B257)</f>
        <v/>
      </c>
      <c r="H257" t="str">
        <f t="shared" si="14"/>
        <v>HEXTREG</v>
      </c>
      <c r="I257">
        <f>CHOOSE($C257,N(INDEX(REPORTE!$F:$F,$B257))+N(INDEX(REPORTE!$G:$G,$B257)),N(INDEX(REPORTE!$H:$H,$B257)),N(INDEX(REPORTE!$I:$I,$B257)))</f>
        <v>0</v>
      </c>
      <c r="J257">
        <f t="shared" si="15"/>
        <v>0</v>
      </c>
      <c r="K257">
        <f>SUM($J$2:$J257)</f>
        <v>3</v>
      </c>
    </row>
    <row r="258" spans="1:11" x14ac:dyDescent="0.25">
      <c r="A258">
        <v>257</v>
      </c>
      <c r="B258">
        <f t="shared" ref="B258:B321" si="16">18+INT(($A258-1)/3)</f>
        <v>103</v>
      </c>
      <c r="C258">
        <f t="shared" ref="C258:C321" si="17">MOD($A258-1,3)+1</f>
        <v>2</v>
      </c>
      <c r="D258" t="str">
        <f>IF(INDEX(REPORTE!$B:$B,$B258)="","",INDEX(REPORTE!$B:$B,$B258))</f>
        <v/>
      </c>
      <c r="E258" t="str">
        <f>IF($D258="","",IFERROR(VLOOKUP($D258,BD_PLANTA!$A:$F,6,0),""))</f>
        <v/>
      </c>
      <c r="F258" t="str">
        <f>INDEX(REPORTE!$D:$D,$B258)</f>
        <v/>
      </c>
      <c r="G258" t="str">
        <f>INDEX(REPORTE!$E:$E,$B258)</f>
        <v/>
      </c>
      <c r="H258" t="str">
        <f t="shared" ref="H258:H321" si="18">CHOOSE($C258,"HEXTREG","HEXTJU","HEXTADUL")</f>
        <v>HEXTJU</v>
      </c>
      <c r="I258">
        <f>CHOOSE($C258,N(INDEX(REPORTE!$F:$F,$B258))+N(INDEX(REPORTE!$G:$G,$B258)),N(INDEX(REPORTE!$H:$H,$B258)),N(INDEX(REPORTE!$I:$I,$B258)))</f>
        <v>0</v>
      </c>
      <c r="J258">
        <f t="shared" ref="J258:J321" si="19">IF(AND($D258&lt;&gt;"",$I258&gt;0),1,0)</f>
        <v>0</v>
      </c>
      <c r="K258">
        <f>SUM($J$2:$J258)</f>
        <v>3</v>
      </c>
    </row>
    <row r="259" spans="1:11" x14ac:dyDescent="0.25">
      <c r="A259">
        <v>258</v>
      </c>
      <c r="B259">
        <f t="shared" si="16"/>
        <v>103</v>
      </c>
      <c r="C259">
        <f t="shared" si="17"/>
        <v>3</v>
      </c>
      <c r="D259" t="str">
        <f>IF(INDEX(REPORTE!$B:$B,$B259)="","",INDEX(REPORTE!$B:$B,$B259))</f>
        <v/>
      </c>
      <c r="E259" t="str">
        <f>IF($D259="","",IFERROR(VLOOKUP($D259,BD_PLANTA!$A:$F,6,0),""))</f>
        <v/>
      </c>
      <c r="F259" t="str">
        <f>INDEX(REPORTE!$D:$D,$B259)</f>
        <v/>
      </c>
      <c r="G259" t="str">
        <f>INDEX(REPORTE!$E:$E,$B259)</f>
        <v/>
      </c>
      <c r="H259" t="str">
        <f t="shared" si="18"/>
        <v>HEXTADUL</v>
      </c>
      <c r="I259">
        <f>CHOOSE($C259,N(INDEX(REPORTE!$F:$F,$B259))+N(INDEX(REPORTE!$G:$G,$B259)),N(INDEX(REPORTE!$H:$H,$B259)),N(INDEX(REPORTE!$I:$I,$B259)))</f>
        <v>0</v>
      </c>
      <c r="J259">
        <f t="shared" si="19"/>
        <v>0</v>
      </c>
      <c r="K259">
        <f>SUM($J$2:$J259)</f>
        <v>3</v>
      </c>
    </row>
    <row r="260" spans="1:11" x14ac:dyDescent="0.25">
      <c r="A260">
        <v>259</v>
      </c>
      <c r="B260">
        <f t="shared" si="16"/>
        <v>104</v>
      </c>
      <c r="C260">
        <f t="shared" si="17"/>
        <v>1</v>
      </c>
      <c r="D260" t="str">
        <f>IF(INDEX(REPORTE!$B:$B,$B260)="","",INDEX(REPORTE!$B:$B,$B260))</f>
        <v/>
      </c>
      <c r="E260" t="str">
        <f>IF($D260="","",IFERROR(VLOOKUP($D260,BD_PLANTA!$A:$F,6,0),""))</f>
        <v/>
      </c>
      <c r="F260" t="str">
        <f>INDEX(REPORTE!$D:$D,$B260)</f>
        <v/>
      </c>
      <c r="G260" t="str">
        <f>INDEX(REPORTE!$E:$E,$B260)</f>
        <v/>
      </c>
      <c r="H260" t="str">
        <f t="shared" si="18"/>
        <v>HEXTREG</v>
      </c>
      <c r="I260">
        <f>CHOOSE($C260,N(INDEX(REPORTE!$F:$F,$B260))+N(INDEX(REPORTE!$G:$G,$B260)),N(INDEX(REPORTE!$H:$H,$B260)),N(INDEX(REPORTE!$I:$I,$B260)))</f>
        <v>0</v>
      </c>
      <c r="J260">
        <f t="shared" si="19"/>
        <v>0</v>
      </c>
      <c r="K260">
        <f>SUM($J$2:$J260)</f>
        <v>3</v>
      </c>
    </row>
    <row r="261" spans="1:11" x14ac:dyDescent="0.25">
      <c r="A261">
        <v>260</v>
      </c>
      <c r="B261">
        <f t="shared" si="16"/>
        <v>104</v>
      </c>
      <c r="C261">
        <f t="shared" si="17"/>
        <v>2</v>
      </c>
      <c r="D261" t="str">
        <f>IF(INDEX(REPORTE!$B:$B,$B261)="","",INDEX(REPORTE!$B:$B,$B261))</f>
        <v/>
      </c>
      <c r="E261" t="str">
        <f>IF($D261="","",IFERROR(VLOOKUP($D261,BD_PLANTA!$A:$F,6,0),""))</f>
        <v/>
      </c>
      <c r="F261" t="str">
        <f>INDEX(REPORTE!$D:$D,$B261)</f>
        <v/>
      </c>
      <c r="G261" t="str">
        <f>INDEX(REPORTE!$E:$E,$B261)</f>
        <v/>
      </c>
      <c r="H261" t="str">
        <f t="shared" si="18"/>
        <v>HEXTJU</v>
      </c>
      <c r="I261">
        <f>CHOOSE($C261,N(INDEX(REPORTE!$F:$F,$B261))+N(INDEX(REPORTE!$G:$G,$B261)),N(INDEX(REPORTE!$H:$H,$B261)),N(INDEX(REPORTE!$I:$I,$B261)))</f>
        <v>0</v>
      </c>
      <c r="J261">
        <f t="shared" si="19"/>
        <v>0</v>
      </c>
      <c r="K261">
        <f>SUM($J$2:$J261)</f>
        <v>3</v>
      </c>
    </row>
    <row r="262" spans="1:11" x14ac:dyDescent="0.25">
      <c r="A262">
        <v>261</v>
      </c>
      <c r="B262">
        <f t="shared" si="16"/>
        <v>104</v>
      </c>
      <c r="C262">
        <f t="shared" si="17"/>
        <v>3</v>
      </c>
      <c r="D262" t="str">
        <f>IF(INDEX(REPORTE!$B:$B,$B262)="","",INDEX(REPORTE!$B:$B,$B262))</f>
        <v/>
      </c>
      <c r="E262" t="str">
        <f>IF($D262="","",IFERROR(VLOOKUP($D262,BD_PLANTA!$A:$F,6,0),""))</f>
        <v/>
      </c>
      <c r="F262" t="str">
        <f>INDEX(REPORTE!$D:$D,$B262)</f>
        <v/>
      </c>
      <c r="G262" t="str">
        <f>INDEX(REPORTE!$E:$E,$B262)</f>
        <v/>
      </c>
      <c r="H262" t="str">
        <f t="shared" si="18"/>
        <v>HEXTADUL</v>
      </c>
      <c r="I262">
        <f>CHOOSE($C262,N(INDEX(REPORTE!$F:$F,$B262))+N(INDEX(REPORTE!$G:$G,$B262)),N(INDEX(REPORTE!$H:$H,$B262)),N(INDEX(REPORTE!$I:$I,$B262)))</f>
        <v>0</v>
      </c>
      <c r="J262">
        <f t="shared" si="19"/>
        <v>0</v>
      </c>
      <c r="K262">
        <f>SUM($J$2:$J262)</f>
        <v>3</v>
      </c>
    </row>
    <row r="263" spans="1:11" x14ac:dyDescent="0.25">
      <c r="A263">
        <v>262</v>
      </c>
      <c r="B263">
        <f t="shared" si="16"/>
        <v>105</v>
      </c>
      <c r="C263">
        <f t="shared" si="17"/>
        <v>1</v>
      </c>
      <c r="D263" t="str">
        <f>IF(INDEX(REPORTE!$B:$B,$B263)="","",INDEX(REPORTE!$B:$B,$B263))</f>
        <v/>
      </c>
      <c r="E263" t="str">
        <f>IF($D263="","",IFERROR(VLOOKUP($D263,BD_PLANTA!$A:$F,6,0),""))</f>
        <v/>
      </c>
      <c r="F263" t="str">
        <f>INDEX(REPORTE!$D:$D,$B263)</f>
        <v/>
      </c>
      <c r="G263" t="str">
        <f>INDEX(REPORTE!$E:$E,$B263)</f>
        <v/>
      </c>
      <c r="H263" t="str">
        <f t="shared" si="18"/>
        <v>HEXTREG</v>
      </c>
      <c r="I263">
        <f>CHOOSE($C263,N(INDEX(REPORTE!$F:$F,$B263))+N(INDEX(REPORTE!$G:$G,$B263)),N(INDEX(REPORTE!$H:$H,$B263)),N(INDEX(REPORTE!$I:$I,$B263)))</f>
        <v>0</v>
      </c>
      <c r="J263">
        <f t="shared" si="19"/>
        <v>0</v>
      </c>
      <c r="K263">
        <f>SUM($J$2:$J263)</f>
        <v>3</v>
      </c>
    </row>
    <row r="264" spans="1:11" x14ac:dyDescent="0.25">
      <c r="A264">
        <v>263</v>
      </c>
      <c r="B264">
        <f t="shared" si="16"/>
        <v>105</v>
      </c>
      <c r="C264">
        <f t="shared" si="17"/>
        <v>2</v>
      </c>
      <c r="D264" t="str">
        <f>IF(INDEX(REPORTE!$B:$B,$B264)="","",INDEX(REPORTE!$B:$B,$B264))</f>
        <v/>
      </c>
      <c r="E264" t="str">
        <f>IF($D264="","",IFERROR(VLOOKUP($D264,BD_PLANTA!$A:$F,6,0),""))</f>
        <v/>
      </c>
      <c r="F264" t="str">
        <f>INDEX(REPORTE!$D:$D,$B264)</f>
        <v/>
      </c>
      <c r="G264" t="str">
        <f>INDEX(REPORTE!$E:$E,$B264)</f>
        <v/>
      </c>
      <c r="H264" t="str">
        <f t="shared" si="18"/>
        <v>HEXTJU</v>
      </c>
      <c r="I264">
        <f>CHOOSE($C264,N(INDEX(REPORTE!$F:$F,$B264))+N(INDEX(REPORTE!$G:$G,$B264)),N(INDEX(REPORTE!$H:$H,$B264)),N(INDEX(REPORTE!$I:$I,$B264)))</f>
        <v>0</v>
      </c>
      <c r="J264">
        <f t="shared" si="19"/>
        <v>0</v>
      </c>
      <c r="K264">
        <f>SUM($J$2:$J264)</f>
        <v>3</v>
      </c>
    </row>
    <row r="265" spans="1:11" x14ac:dyDescent="0.25">
      <c r="A265">
        <v>264</v>
      </c>
      <c r="B265">
        <f t="shared" si="16"/>
        <v>105</v>
      </c>
      <c r="C265">
        <f t="shared" si="17"/>
        <v>3</v>
      </c>
      <c r="D265" t="str">
        <f>IF(INDEX(REPORTE!$B:$B,$B265)="","",INDEX(REPORTE!$B:$B,$B265))</f>
        <v/>
      </c>
      <c r="E265" t="str">
        <f>IF($D265="","",IFERROR(VLOOKUP($D265,BD_PLANTA!$A:$F,6,0),""))</f>
        <v/>
      </c>
      <c r="F265" t="str">
        <f>INDEX(REPORTE!$D:$D,$B265)</f>
        <v/>
      </c>
      <c r="G265" t="str">
        <f>INDEX(REPORTE!$E:$E,$B265)</f>
        <v/>
      </c>
      <c r="H265" t="str">
        <f t="shared" si="18"/>
        <v>HEXTADUL</v>
      </c>
      <c r="I265">
        <f>CHOOSE($C265,N(INDEX(REPORTE!$F:$F,$B265))+N(INDEX(REPORTE!$G:$G,$B265)),N(INDEX(REPORTE!$H:$H,$B265)),N(INDEX(REPORTE!$I:$I,$B265)))</f>
        <v>0</v>
      </c>
      <c r="J265">
        <f t="shared" si="19"/>
        <v>0</v>
      </c>
      <c r="K265">
        <f>SUM($J$2:$J265)</f>
        <v>3</v>
      </c>
    </row>
    <row r="266" spans="1:11" x14ac:dyDescent="0.25">
      <c r="A266">
        <v>265</v>
      </c>
      <c r="B266">
        <f t="shared" si="16"/>
        <v>106</v>
      </c>
      <c r="C266">
        <f t="shared" si="17"/>
        <v>1</v>
      </c>
      <c r="D266" t="str">
        <f>IF(INDEX(REPORTE!$B:$B,$B266)="","",INDEX(REPORTE!$B:$B,$B266))</f>
        <v/>
      </c>
      <c r="E266" t="str">
        <f>IF($D266="","",IFERROR(VLOOKUP($D266,BD_PLANTA!$A:$F,6,0),""))</f>
        <v/>
      </c>
      <c r="F266" t="str">
        <f>INDEX(REPORTE!$D:$D,$B266)</f>
        <v/>
      </c>
      <c r="G266" t="str">
        <f>INDEX(REPORTE!$E:$E,$B266)</f>
        <v/>
      </c>
      <c r="H266" t="str">
        <f t="shared" si="18"/>
        <v>HEXTREG</v>
      </c>
      <c r="I266">
        <f>CHOOSE($C266,N(INDEX(REPORTE!$F:$F,$B266))+N(INDEX(REPORTE!$G:$G,$B266)),N(INDEX(REPORTE!$H:$H,$B266)),N(INDEX(REPORTE!$I:$I,$B266)))</f>
        <v>0</v>
      </c>
      <c r="J266">
        <f t="shared" si="19"/>
        <v>0</v>
      </c>
      <c r="K266">
        <f>SUM($J$2:$J266)</f>
        <v>3</v>
      </c>
    </row>
    <row r="267" spans="1:11" x14ac:dyDescent="0.25">
      <c r="A267">
        <v>266</v>
      </c>
      <c r="B267">
        <f t="shared" si="16"/>
        <v>106</v>
      </c>
      <c r="C267">
        <f t="shared" si="17"/>
        <v>2</v>
      </c>
      <c r="D267" t="str">
        <f>IF(INDEX(REPORTE!$B:$B,$B267)="","",INDEX(REPORTE!$B:$B,$B267))</f>
        <v/>
      </c>
      <c r="E267" t="str">
        <f>IF($D267="","",IFERROR(VLOOKUP($D267,BD_PLANTA!$A:$F,6,0),""))</f>
        <v/>
      </c>
      <c r="F267" t="str">
        <f>INDEX(REPORTE!$D:$D,$B267)</f>
        <v/>
      </c>
      <c r="G267" t="str">
        <f>INDEX(REPORTE!$E:$E,$B267)</f>
        <v/>
      </c>
      <c r="H267" t="str">
        <f t="shared" si="18"/>
        <v>HEXTJU</v>
      </c>
      <c r="I267">
        <f>CHOOSE($C267,N(INDEX(REPORTE!$F:$F,$B267))+N(INDEX(REPORTE!$G:$G,$B267)),N(INDEX(REPORTE!$H:$H,$B267)),N(INDEX(REPORTE!$I:$I,$B267)))</f>
        <v>0</v>
      </c>
      <c r="J267">
        <f t="shared" si="19"/>
        <v>0</v>
      </c>
      <c r="K267">
        <f>SUM($J$2:$J267)</f>
        <v>3</v>
      </c>
    </row>
    <row r="268" spans="1:11" x14ac:dyDescent="0.25">
      <c r="A268">
        <v>267</v>
      </c>
      <c r="B268">
        <f t="shared" si="16"/>
        <v>106</v>
      </c>
      <c r="C268">
        <f t="shared" si="17"/>
        <v>3</v>
      </c>
      <c r="D268" t="str">
        <f>IF(INDEX(REPORTE!$B:$B,$B268)="","",INDEX(REPORTE!$B:$B,$B268))</f>
        <v/>
      </c>
      <c r="E268" t="str">
        <f>IF($D268="","",IFERROR(VLOOKUP($D268,BD_PLANTA!$A:$F,6,0),""))</f>
        <v/>
      </c>
      <c r="F268" t="str">
        <f>INDEX(REPORTE!$D:$D,$B268)</f>
        <v/>
      </c>
      <c r="G268" t="str">
        <f>INDEX(REPORTE!$E:$E,$B268)</f>
        <v/>
      </c>
      <c r="H268" t="str">
        <f t="shared" si="18"/>
        <v>HEXTADUL</v>
      </c>
      <c r="I268">
        <f>CHOOSE($C268,N(INDEX(REPORTE!$F:$F,$B268))+N(INDEX(REPORTE!$G:$G,$B268)),N(INDEX(REPORTE!$H:$H,$B268)),N(INDEX(REPORTE!$I:$I,$B268)))</f>
        <v>0</v>
      </c>
      <c r="J268">
        <f t="shared" si="19"/>
        <v>0</v>
      </c>
      <c r="K268">
        <f>SUM($J$2:$J268)</f>
        <v>3</v>
      </c>
    </row>
    <row r="269" spans="1:11" x14ac:dyDescent="0.25">
      <c r="A269">
        <v>268</v>
      </c>
      <c r="B269">
        <f t="shared" si="16"/>
        <v>107</v>
      </c>
      <c r="C269">
        <f t="shared" si="17"/>
        <v>1</v>
      </c>
      <c r="D269" t="str">
        <f>IF(INDEX(REPORTE!$B:$B,$B269)="","",INDEX(REPORTE!$B:$B,$B269))</f>
        <v/>
      </c>
      <c r="E269" t="str">
        <f>IF($D269="","",IFERROR(VLOOKUP($D269,BD_PLANTA!$A:$F,6,0),""))</f>
        <v/>
      </c>
      <c r="F269" t="str">
        <f>INDEX(REPORTE!$D:$D,$B269)</f>
        <v/>
      </c>
      <c r="G269" t="str">
        <f>INDEX(REPORTE!$E:$E,$B269)</f>
        <v/>
      </c>
      <c r="H269" t="str">
        <f t="shared" si="18"/>
        <v>HEXTREG</v>
      </c>
      <c r="I269">
        <f>CHOOSE($C269,N(INDEX(REPORTE!$F:$F,$B269))+N(INDEX(REPORTE!$G:$G,$B269)),N(INDEX(REPORTE!$H:$H,$B269)),N(INDEX(REPORTE!$I:$I,$B269)))</f>
        <v>0</v>
      </c>
      <c r="J269">
        <f t="shared" si="19"/>
        <v>0</v>
      </c>
      <c r="K269">
        <f>SUM($J$2:$J269)</f>
        <v>3</v>
      </c>
    </row>
    <row r="270" spans="1:11" x14ac:dyDescent="0.25">
      <c r="A270">
        <v>269</v>
      </c>
      <c r="B270">
        <f t="shared" si="16"/>
        <v>107</v>
      </c>
      <c r="C270">
        <f t="shared" si="17"/>
        <v>2</v>
      </c>
      <c r="D270" t="str">
        <f>IF(INDEX(REPORTE!$B:$B,$B270)="","",INDEX(REPORTE!$B:$B,$B270))</f>
        <v/>
      </c>
      <c r="E270" t="str">
        <f>IF($D270="","",IFERROR(VLOOKUP($D270,BD_PLANTA!$A:$F,6,0),""))</f>
        <v/>
      </c>
      <c r="F270" t="str">
        <f>INDEX(REPORTE!$D:$D,$B270)</f>
        <v/>
      </c>
      <c r="G270" t="str">
        <f>INDEX(REPORTE!$E:$E,$B270)</f>
        <v/>
      </c>
      <c r="H270" t="str">
        <f t="shared" si="18"/>
        <v>HEXTJU</v>
      </c>
      <c r="I270">
        <f>CHOOSE($C270,N(INDEX(REPORTE!$F:$F,$B270))+N(INDEX(REPORTE!$G:$G,$B270)),N(INDEX(REPORTE!$H:$H,$B270)),N(INDEX(REPORTE!$I:$I,$B270)))</f>
        <v>0</v>
      </c>
      <c r="J270">
        <f t="shared" si="19"/>
        <v>0</v>
      </c>
      <c r="K270">
        <f>SUM($J$2:$J270)</f>
        <v>3</v>
      </c>
    </row>
    <row r="271" spans="1:11" x14ac:dyDescent="0.25">
      <c r="A271">
        <v>270</v>
      </c>
      <c r="B271">
        <f t="shared" si="16"/>
        <v>107</v>
      </c>
      <c r="C271">
        <f t="shared" si="17"/>
        <v>3</v>
      </c>
      <c r="D271" t="str">
        <f>IF(INDEX(REPORTE!$B:$B,$B271)="","",INDEX(REPORTE!$B:$B,$B271))</f>
        <v/>
      </c>
      <c r="E271" t="str">
        <f>IF($D271="","",IFERROR(VLOOKUP($D271,BD_PLANTA!$A:$F,6,0),""))</f>
        <v/>
      </c>
      <c r="F271" t="str">
        <f>INDEX(REPORTE!$D:$D,$B271)</f>
        <v/>
      </c>
      <c r="G271" t="str">
        <f>INDEX(REPORTE!$E:$E,$B271)</f>
        <v/>
      </c>
      <c r="H271" t="str">
        <f t="shared" si="18"/>
        <v>HEXTADUL</v>
      </c>
      <c r="I271">
        <f>CHOOSE($C271,N(INDEX(REPORTE!$F:$F,$B271))+N(INDEX(REPORTE!$G:$G,$B271)),N(INDEX(REPORTE!$H:$H,$B271)),N(INDEX(REPORTE!$I:$I,$B271)))</f>
        <v>0</v>
      </c>
      <c r="J271">
        <f t="shared" si="19"/>
        <v>0</v>
      </c>
      <c r="K271">
        <f>SUM($J$2:$J271)</f>
        <v>3</v>
      </c>
    </row>
    <row r="272" spans="1:11" x14ac:dyDescent="0.25">
      <c r="A272">
        <v>271</v>
      </c>
      <c r="B272">
        <f t="shared" si="16"/>
        <v>108</v>
      </c>
      <c r="C272">
        <f t="shared" si="17"/>
        <v>1</v>
      </c>
      <c r="D272" t="str">
        <f>IF(INDEX(REPORTE!$B:$B,$B272)="","",INDEX(REPORTE!$B:$B,$B272))</f>
        <v/>
      </c>
      <c r="E272" t="str">
        <f>IF($D272="","",IFERROR(VLOOKUP($D272,BD_PLANTA!$A:$F,6,0),""))</f>
        <v/>
      </c>
      <c r="F272" t="str">
        <f>INDEX(REPORTE!$D:$D,$B272)</f>
        <v/>
      </c>
      <c r="G272" t="str">
        <f>INDEX(REPORTE!$E:$E,$B272)</f>
        <v/>
      </c>
      <c r="H272" t="str">
        <f t="shared" si="18"/>
        <v>HEXTREG</v>
      </c>
      <c r="I272">
        <f>CHOOSE($C272,N(INDEX(REPORTE!$F:$F,$B272))+N(INDEX(REPORTE!$G:$G,$B272)),N(INDEX(REPORTE!$H:$H,$B272)),N(INDEX(REPORTE!$I:$I,$B272)))</f>
        <v>0</v>
      </c>
      <c r="J272">
        <f t="shared" si="19"/>
        <v>0</v>
      </c>
      <c r="K272">
        <f>SUM($J$2:$J272)</f>
        <v>3</v>
      </c>
    </row>
    <row r="273" spans="1:11" x14ac:dyDescent="0.25">
      <c r="A273">
        <v>272</v>
      </c>
      <c r="B273">
        <f t="shared" si="16"/>
        <v>108</v>
      </c>
      <c r="C273">
        <f t="shared" si="17"/>
        <v>2</v>
      </c>
      <c r="D273" t="str">
        <f>IF(INDEX(REPORTE!$B:$B,$B273)="","",INDEX(REPORTE!$B:$B,$B273))</f>
        <v/>
      </c>
      <c r="E273" t="str">
        <f>IF($D273="","",IFERROR(VLOOKUP($D273,BD_PLANTA!$A:$F,6,0),""))</f>
        <v/>
      </c>
      <c r="F273" t="str">
        <f>INDEX(REPORTE!$D:$D,$B273)</f>
        <v/>
      </c>
      <c r="G273" t="str">
        <f>INDEX(REPORTE!$E:$E,$B273)</f>
        <v/>
      </c>
      <c r="H273" t="str">
        <f t="shared" si="18"/>
        <v>HEXTJU</v>
      </c>
      <c r="I273">
        <f>CHOOSE($C273,N(INDEX(REPORTE!$F:$F,$B273))+N(INDEX(REPORTE!$G:$G,$B273)),N(INDEX(REPORTE!$H:$H,$B273)),N(INDEX(REPORTE!$I:$I,$B273)))</f>
        <v>0</v>
      </c>
      <c r="J273">
        <f t="shared" si="19"/>
        <v>0</v>
      </c>
      <c r="K273">
        <f>SUM($J$2:$J273)</f>
        <v>3</v>
      </c>
    </row>
    <row r="274" spans="1:11" x14ac:dyDescent="0.25">
      <c r="A274">
        <v>273</v>
      </c>
      <c r="B274">
        <f t="shared" si="16"/>
        <v>108</v>
      </c>
      <c r="C274">
        <f t="shared" si="17"/>
        <v>3</v>
      </c>
      <c r="D274" t="str">
        <f>IF(INDEX(REPORTE!$B:$B,$B274)="","",INDEX(REPORTE!$B:$B,$B274))</f>
        <v/>
      </c>
      <c r="E274" t="str">
        <f>IF($D274="","",IFERROR(VLOOKUP($D274,BD_PLANTA!$A:$F,6,0),""))</f>
        <v/>
      </c>
      <c r="F274" t="str">
        <f>INDEX(REPORTE!$D:$D,$B274)</f>
        <v/>
      </c>
      <c r="G274" t="str">
        <f>INDEX(REPORTE!$E:$E,$B274)</f>
        <v/>
      </c>
      <c r="H274" t="str">
        <f t="shared" si="18"/>
        <v>HEXTADUL</v>
      </c>
      <c r="I274">
        <f>CHOOSE($C274,N(INDEX(REPORTE!$F:$F,$B274))+N(INDEX(REPORTE!$G:$G,$B274)),N(INDEX(REPORTE!$H:$H,$B274)),N(INDEX(REPORTE!$I:$I,$B274)))</f>
        <v>0</v>
      </c>
      <c r="J274">
        <f t="shared" si="19"/>
        <v>0</v>
      </c>
      <c r="K274">
        <f>SUM($J$2:$J274)</f>
        <v>3</v>
      </c>
    </row>
    <row r="275" spans="1:11" x14ac:dyDescent="0.25">
      <c r="A275">
        <v>274</v>
      </c>
      <c r="B275">
        <f t="shared" si="16"/>
        <v>109</v>
      </c>
      <c r="C275">
        <f t="shared" si="17"/>
        <v>1</v>
      </c>
      <c r="D275" t="str">
        <f>IF(INDEX(REPORTE!$B:$B,$B275)="","",INDEX(REPORTE!$B:$B,$B275))</f>
        <v/>
      </c>
      <c r="E275" t="str">
        <f>IF($D275="","",IFERROR(VLOOKUP($D275,BD_PLANTA!$A:$F,6,0),""))</f>
        <v/>
      </c>
      <c r="F275" t="str">
        <f>INDEX(REPORTE!$D:$D,$B275)</f>
        <v/>
      </c>
      <c r="G275" t="str">
        <f>INDEX(REPORTE!$E:$E,$B275)</f>
        <v/>
      </c>
      <c r="H275" t="str">
        <f t="shared" si="18"/>
        <v>HEXTREG</v>
      </c>
      <c r="I275">
        <f>CHOOSE($C275,N(INDEX(REPORTE!$F:$F,$B275))+N(INDEX(REPORTE!$G:$G,$B275)),N(INDEX(REPORTE!$H:$H,$B275)),N(INDEX(REPORTE!$I:$I,$B275)))</f>
        <v>0</v>
      </c>
      <c r="J275">
        <f t="shared" si="19"/>
        <v>0</v>
      </c>
      <c r="K275">
        <f>SUM($J$2:$J275)</f>
        <v>3</v>
      </c>
    </row>
    <row r="276" spans="1:11" x14ac:dyDescent="0.25">
      <c r="A276">
        <v>275</v>
      </c>
      <c r="B276">
        <f t="shared" si="16"/>
        <v>109</v>
      </c>
      <c r="C276">
        <f t="shared" si="17"/>
        <v>2</v>
      </c>
      <c r="D276" t="str">
        <f>IF(INDEX(REPORTE!$B:$B,$B276)="","",INDEX(REPORTE!$B:$B,$B276))</f>
        <v/>
      </c>
      <c r="E276" t="str">
        <f>IF($D276="","",IFERROR(VLOOKUP($D276,BD_PLANTA!$A:$F,6,0),""))</f>
        <v/>
      </c>
      <c r="F276" t="str">
        <f>INDEX(REPORTE!$D:$D,$B276)</f>
        <v/>
      </c>
      <c r="G276" t="str">
        <f>INDEX(REPORTE!$E:$E,$B276)</f>
        <v/>
      </c>
      <c r="H276" t="str">
        <f t="shared" si="18"/>
        <v>HEXTJU</v>
      </c>
      <c r="I276">
        <f>CHOOSE($C276,N(INDEX(REPORTE!$F:$F,$B276))+N(INDEX(REPORTE!$G:$G,$B276)),N(INDEX(REPORTE!$H:$H,$B276)),N(INDEX(REPORTE!$I:$I,$B276)))</f>
        <v>0</v>
      </c>
      <c r="J276">
        <f t="shared" si="19"/>
        <v>0</v>
      </c>
      <c r="K276">
        <f>SUM($J$2:$J276)</f>
        <v>3</v>
      </c>
    </row>
    <row r="277" spans="1:11" x14ac:dyDescent="0.25">
      <c r="A277">
        <v>276</v>
      </c>
      <c r="B277">
        <f t="shared" si="16"/>
        <v>109</v>
      </c>
      <c r="C277">
        <f t="shared" si="17"/>
        <v>3</v>
      </c>
      <c r="D277" t="str">
        <f>IF(INDEX(REPORTE!$B:$B,$B277)="","",INDEX(REPORTE!$B:$B,$B277))</f>
        <v/>
      </c>
      <c r="E277" t="str">
        <f>IF($D277="","",IFERROR(VLOOKUP($D277,BD_PLANTA!$A:$F,6,0),""))</f>
        <v/>
      </c>
      <c r="F277" t="str">
        <f>INDEX(REPORTE!$D:$D,$B277)</f>
        <v/>
      </c>
      <c r="G277" t="str">
        <f>INDEX(REPORTE!$E:$E,$B277)</f>
        <v/>
      </c>
      <c r="H277" t="str">
        <f t="shared" si="18"/>
        <v>HEXTADUL</v>
      </c>
      <c r="I277">
        <f>CHOOSE($C277,N(INDEX(REPORTE!$F:$F,$B277))+N(INDEX(REPORTE!$G:$G,$B277)),N(INDEX(REPORTE!$H:$H,$B277)),N(INDEX(REPORTE!$I:$I,$B277)))</f>
        <v>0</v>
      </c>
      <c r="J277">
        <f t="shared" si="19"/>
        <v>0</v>
      </c>
      <c r="K277">
        <f>SUM($J$2:$J277)</f>
        <v>3</v>
      </c>
    </row>
    <row r="278" spans="1:11" x14ac:dyDescent="0.25">
      <c r="A278">
        <v>277</v>
      </c>
      <c r="B278">
        <f t="shared" si="16"/>
        <v>110</v>
      </c>
      <c r="C278">
        <f t="shared" si="17"/>
        <v>1</v>
      </c>
      <c r="D278" t="str">
        <f>IF(INDEX(REPORTE!$B:$B,$B278)="","",INDEX(REPORTE!$B:$B,$B278))</f>
        <v/>
      </c>
      <c r="E278" t="str">
        <f>IF($D278="","",IFERROR(VLOOKUP($D278,BD_PLANTA!$A:$F,6,0),""))</f>
        <v/>
      </c>
      <c r="F278" t="str">
        <f>INDEX(REPORTE!$D:$D,$B278)</f>
        <v/>
      </c>
      <c r="G278" t="str">
        <f>INDEX(REPORTE!$E:$E,$B278)</f>
        <v/>
      </c>
      <c r="H278" t="str">
        <f t="shared" si="18"/>
        <v>HEXTREG</v>
      </c>
      <c r="I278">
        <f>CHOOSE($C278,N(INDEX(REPORTE!$F:$F,$B278))+N(INDEX(REPORTE!$G:$G,$B278)),N(INDEX(REPORTE!$H:$H,$B278)),N(INDEX(REPORTE!$I:$I,$B278)))</f>
        <v>0</v>
      </c>
      <c r="J278">
        <f t="shared" si="19"/>
        <v>0</v>
      </c>
      <c r="K278">
        <f>SUM($J$2:$J278)</f>
        <v>3</v>
      </c>
    </row>
    <row r="279" spans="1:11" x14ac:dyDescent="0.25">
      <c r="A279">
        <v>278</v>
      </c>
      <c r="B279">
        <f t="shared" si="16"/>
        <v>110</v>
      </c>
      <c r="C279">
        <f t="shared" si="17"/>
        <v>2</v>
      </c>
      <c r="D279" t="str">
        <f>IF(INDEX(REPORTE!$B:$B,$B279)="","",INDEX(REPORTE!$B:$B,$B279))</f>
        <v/>
      </c>
      <c r="E279" t="str">
        <f>IF($D279="","",IFERROR(VLOOKUP($D279,BD_PLANTA!$A:$F,6,0),""))</f>
        <v/>
      </c>
      <c r="F279" t="str">
        <f>INDEX(REPORTE!$D:$D,$B279)</f>
        <v/>
      </c>
      <c r="G279" t="str">
        <f>INDEX(REPORTE!$E:$E,$B279)</f>
        <v/>
      </c>
      <c r="H279" t="str">
        <f t="shared" si="18"/>
        <v>HEXTJU</v>
      </c>
      <c r="I279">
        <f>CHOOSE($C279,N(INDEX(REPORTE!$F:$F,$B279))+N(INDEX(REPORTE!$G:$G,$B279)),N(INDEX(REPORTE!$H:$H,$B279)),N(INDEX(REPORTE!$I:$I,$B279)))</f>
        <v>0</v>
      </c>
      <c r="J279">
        <f t="shared" si="19"/>
        <v>0</v>
      </c>
      <c r="K279">
        <f>SUM($J$2:$J279)</f>
        <v>3</v>
      </c>
    </row>
    <row r="280" spans="1:11" x14ac:dyDescent="0.25">
      <c r="A280">
        <v>279</v>
      </c>
      <c r="B280">
        <f t="shared" si="16"/>
        <v>110</v>
      </c>
      <c r="C280">
        <f t="shared" si="17"/>
        <v>3</v>
      </c>
      <c r="D280" t="str">
        <f>IF(INDEX(REPORTE!$B:$B,$B280)="","",INDEX(REPORTE!$B:$B,$B280))</f>
        <v/>
      </c>
      <c r="E280" t="str">
        <f>IF($D280="","",IFERROR(VLOOKUP($D280,BD_PLANTA!$A:$F,6,0),""))</f>
        <v/>
      </c>
      <c r="F280" t="str">
        <f>INDEX(REPORTE!$D:$D,$B280)</f>
        <v/>
      </c>
      <c r="G280" t="str">
        <f>INDEX(REPORTE!$E:$E,$B280)</f>
        <v/>
      </c>
      <c r="H280" t="str">
        <f t="shared" si="18"/>
        <v>HEXTADUL</v>
      </c>
      <c r="I280">
        <f>CHOOSE($C280,N(INDEX(REPORTE!$F:$F,$B280))+N(INDEX(REPORTE!$G:$G,$B280)),N(INDEX(REPORTE!$H:$H,$B280)),N(INDEX(REPORTE!$I:$I,$B280)))</f>
        <v>0</v>
      </c>
      <c r="J280">
        <f t="shared" si="19"/>
        <v>0</v>
      </c>
      <c r="K280">
        <f>SUM($J$2:$J280)</f>
        <v>3</v>
      </c>
    </row>
    <row r="281" spans="1:11" x14ac:dyDescent="0.25">
      <c r="A281">
        <v>280</v>
      </c>
      <c r="B281">
        <f t="shared" si="16"/>
        <v>111</v>
      </c>
      <c r="C281">
        <f t="shared" si="17"/>
        <v>1</v>
      </c>
      <c r="D281" t="str">
        <f>IF(INDEX(REPORTE!$B:$B,$B281)="","",INDEX(REPORTE!$B:$B,$B281))</f>
        <v/>
      </c>
      <c r="E281" t="str">
        <f>IF($D281="","",IFERROR(VLOOKUP($D281,BD_PLANTA!$A:$F,6,0),""))</f>
        <v/>
      </c>
      <c r="F281" t="str">
        <f>INDEX(REPORTE!$D:$D,$B281)</f>
        <v/>
      </c>
      <c r="G281" t="str">
        <f>INDEX(REPORTE!$E:$E,$B281)</f>
        <v/>
      </c>
      <c r="H281" t="str">
        <f t="shared" si="18"/>
        <v>HEXTREG</v>
      </c>
      <c r="I281">
        <f>CHOOSE($C281,N(INDEX(REPORTE!$F:$F,$B281))+N(INDEX(REPORTE!$G:$G,$B281)),N(INDEX(REPORTE!$H:$H,$B281)),N(INDEX(REPORTE!$I:$I,$B281)))</f>
        <v>0</v>
      </c>
      <c r="J281">
        <f t="shared" si="19"/>
        <v>0</v>
      </c>
      <c r="K281">
        <f>SUM($J$2:$J281)</f>
        <v>3</v>
      </c>
    </row>
    <row r="282" spans="1:11" x14ac:dyDescent="0.25">
      <c r="A282">
        <v>281</v>
      </c>
      <c r="B282">
        <f t="shared" si="16"/>
        <v>111</v>
      </c>
      <c r="C282">
        <f t="shared" si="17"/>
        <v>2</v>
      </c>
      <c r="D282" t="str">
        <f>IF(INDEX(REPORTE!$B:$B,$B282)="","",INDEX(REPORTE!$B:$B,$B282))</f>
        <v/>
      </c>
      <c r="E282" t="str">
        <f>IF($D282="","",IFERROR(VLOOKUP($D282,BD_PLANTA!$A:$F,6,0),""))</f>
        <v/>
      </c>
      <c r="F282" t="str">
        <f>INDEX(REPORTE!$D:$D,$B282)</f>
        <v/>
      </c>
      <c r="G282" t="str">
        <f>INDEX(REPORTE!$E:$E,$B282)</f>
        <v/>
      </c>
      <c r="H282" t="str">
        <f t="shared" si="18"/>
        <v>HEXTJU</v>
      </c>
      <c r="I282">
        <f>CHOOSE($C282,N(INDEX(REPORTE!$F:$F,$B282))+N(INDEX(REPORTE!$G:$G,$B282)),N(INDEX(REPORTE!$H:$H,$B282)),N(INDEX(REPORTE!$I:$I,$B282)))</f>
        <v>0</v>
      </c>
      <c r="J282">
        <f t="shared" si="19"/>
        <v>0</v>
      </c>
      <c r="K282">
        <f>SUM($J$2:$J282)</f>
        <v>3</v>
      </c>
    </row>
    <row r="283" spans="1:11" x14ac:dyDescent="0.25">
      <c r="A283">
        <v>282</v>
      </c>
      <c r="B283">
        <f t="shared" si="16"/>
        <v>111</v>
      </c>
      <c r="C283">
        <f t="shared" si="17"/>
        <v>3</v>
      </c>
      <c r="D283" t="str">
        <f>IF(INDEX(REPORTE!$B:$B,$B283)="","",INDEX(REPORTE!$B:$B,$B283))</f>
        <v/>
      </c>
      <c r="E283" t="str">
        <f>IF($D283="","",IFERROR(VLOOKUP($D283,BD_PLANTA!$A:$F,6,0),""))</f>
        <v/>
      </c>
      <c r="F283" t="str">
        <f>INDEX(REPORTE!$D:$D,$B283)</f>
        <v/>
      </c>
      <c r="G283" t="str">
        <f>INDEX(REPORTE!$E:$E,$B283)</f>
        <v/>
      </c>
      <c r="H283" t="str">
        <f t="shared" si="18"/>
        <v>HEXTADUL</v>
      </c>
      <c r="I283">
        <f>CHOOSE($C283,N(INDEX(REPORTE!$F:$F,$B283))+N(INDEX(REPORTE!$G:$G,$B283)),N(INDEX(REPORTE!$H:$H,$B283)),N(INDEX(REPORTE!$I:$I,$B283)))</f>
        <v>0</v>
      </c>
      <c r="J283">
        <f t="shared" si="19"/>
        <v>0</v>
      </c>
      <c r="K283">
        <f>SUM($J$2:$J283)</f>
        <v>3</v>
      </c>
    </row>
    <row r="284" spans="1:11" x14ac:dyDescent="0.25">
      <c r="A284">
        <v>283</v>
      </c>
      <c r="B284">
        <f t="shared" si="16"/>
        <v>112</v>
      </c>
      <c r="C284">
        <f t="shared" si="17"/>
        <v>1</v>
      </c>
      <c r="D284" t="str">
        <f>IF(INDEX(REPORTE!$B:$B,$B284)="","",INDEX(REPORTE!$B:$B,$B284))</f>
        <v/>
      </c>
      <c r="E284" t="str">
        <f>IF($D284="","",IFERROR(VLOOKUP($D284,BD_PLANTA!$A:$F,6,0),""))</f>
        <v/>
      </c>
      <c r="F284" t="str">
        <f>INDEX(REPORTE!$D:$D,$B284)</f>
        <v/>
      </c>
      <c r="G284" t="str">
        <f>INDEX(REPORTE!$E:$E,$B284)</f>
        <v/>
      </c>
      <c r="H284" t="str">
        <f t="shared" si="18"/>
        <v>HEXTREG</v>
      </c>
      <c r="I284">
        <f>CHOOSE($C284,N(INDEX(REPORTE!$F:$F,$B284))+N(INDEX(REPORTE!$G:$G,$B284)),N(INDEX(REPORTE!$H:$H,$B284)),N(INDEX(REPORTE!$I:$I,$B284)))</f>
        <v>0</v>
      </c>
      <c r="J284">
        <f t="shared" si="19"/>
        <v>0</v>
      </c>
      <c r="K284">
        <f>SUM($J$2:$J284)</f>
        <v>3</v>
      </c>
    </row>
    <row r="285" spans="1:11" x14ac:dyDescent="0.25">
      <c r="A285">
        <v>284</v>
      </c>
      <c r="B285">
        <f t="shared" si="16"/>
        <v>112</v>
      </c>
      <c r="C285">
        <f t="shared" si="17"/>
        <v>2</v>
      </c>
      <c r="D285" t="str">
        <f>IF(INDEX(REPORTE!$B:$B,$B285)="","",INDEX(REPORTE!$B:$B,$B285))</f>
        <v/>
      </c>
      <c r="E285" t="str">
        <f>IF($D285="","",IFERROR(VLOOKUP($D285,BD_PLANTA!$A:$F,6,0),""))</f>
        <v/>
      </c>
      <c r="F285" t="str">
        <f>INDEX(REPORTE!$D:$D,$B285)</f>
        <v/>
      </c>
      <c r="G285" t="str">
        <f>INDEX(REPORTE!$E:$E,$B285)</f>
        <v/>
      </c>
      <c r="H285" t="str">
        <f t="shared" si="18"/>
        <v>HEXTJU</v>
      </c>
      <c r="I285">
        <f>CHOOSE($C285,N(INDEX(REPORTE!$F:$F,$B285))+N(INDEX(REPORTE!$G:$G,$B285)),N(INDEX(REPORTE!$H:$H,$B285)),N(INDEX(REPORTE!$I:$I,$B285)))</f>
        <v>0</v>
      </c>
      <c r="J285">
        <f t="shared" si="19"/>
        <v>0</v>
      </c>
      <c r="K285">
        <f>SUM($J$2:$J285)</f>
        <v>3</v>
      </c>
    </row>
    <row r="286" spans="1:11" x14ac:dyDescent="0.25">
      <c r="A286">
        <v>285</v>
      </c>
      <c r="B286">
        <f t="shared" si="16"/>
        <v>112</v>
      </c>
      <c r="C286">
        <f t="shared" si="17"/>
        <v>3</v>
      </c>
      <c r="D286" t="str">
        <f>IF(INDEX(REPORTE!$B:$B,$B286)="","",INDEX(REPORTE!$B:$B,$B286))</f>
        <v/>
      </c>
      <c r="E286" t="str">
        <f>IF($D286="","",IFERROR(VLOOKUP($D286,BD_PLANTA!$A:$F,6,0),""))</f>
        <v/>
      </c>
      <c r="F286" t="str">
        <f>INDEX(REPORTE!$D:$D,$B286)</f>
        <v/>
      </c>
      <c r="G286" t="str">
        <f>INDEX(REPORTE!$E:$E,$B286)</f>
        <v/>
      </c>
      <c r="H286" t="str">
        <f t="shared" si="18"/>
        <v>HEXTADUL</v>
      </c>
      <c r="I286">
        <f>CHOOSE($C286,N(INDEX(REPORTE!$F:$F,$B286))+N(INDEX(REPORTE!$G:$G,$B286)),N(INDEX(REPORTE!$H:$H,$B286)),N(INDEX(REPORTE!$I:$I,$B286)))</f>
        <v>0</v>
      </c>
      <c r="J286">
        <f t="shared" si="19"/>
        <v>0</v>
      </c>
      <c r="K286">
        <f>SUM($J$2:$J286)</f>
        <v>3</v>
      </c>
    </row>
    <row r="287" spans="1:11" x14ac:dyDescent="0.25">
      <c r="A287">
        <v>286</v>
      </c>
      <c r="B287">
        <f t="shared" si="16"/>
        <v>113</v>
      </c>
      <c r="C287">
        <f t="shared" si="17"/>
        <v>1</v>
      </c>
      <c r="D287" t="str">
        <f>IF(INDEX(REPORTE!$B:$B,$B287)="","",INDEX(REPORTE!$B:$B,$B287))</f>
        <v/>
      </c>
      <c r="E287" t="str">
        <f>IF($D287="","",IFERROR(VLOOKUP($D287,BD_PLANTA!$A:$F,6,0),""))</f>
        <v/>
      </c>
      <c r="F287" t="str">
        <f>INDEX(REPORTE!$D:$D,$B287)</f>
        <v/>
      </c>
      <c r="G287" t="str">
        <f>INDEX(REPORTE!$E:$E,$B287)</f>
        <v/>
      </c>
      <c r="H287" t="str">
        <f t="shared" si="18"/>
        <v>HEXTREG</v>
      </c>
      <c r="I287">
        <f>CHOOSE($C287,N(INDEX(REPORTE!$F:$F,$B287))+N(INDEX(REPORTE!$G:$G,$B287)),N(INDEX(REPORTE!$H:$H,$B287)),N(INDEX(REPORTE!$I:$I,$B287)))</f>
        <v>0</v>
      </c>
      <c r="J287">
        <f t="shared" si="19"/>
        <v>0</v>
      </c>
      <c r="K287">
        <f>SUM($J$2:$J287)</f>
        <v>3</v>
      </c>
    </row>
    <row r="288" spans="1:11" x14ac:dyDescent="0.25">
      <c r="A288">
        <v>287</v>
      </c>
      <c r="B288">
        <f t="shared" si="16"/>
        <v>113</v>
      </c>
      <c r="C288">
        <f t="shared" si="17"/>
        <v>2</v>
      </c>
      <c r="D288" t="str">
        <f>IF(INDEX(REPORTE!$B:$B,$B288)="","",INDEX(REPORTE!$B:$B,$B288))</f>
        <v/>
      </c>
      <c r="E288" t="str">
        <f>IF($D288="","",IFERROR(VLOOKUP($D288,BD_PLANTA!$A:$F,6,0),""))</f>
        <v/>
      </c>
      <c r="F288" t="str">
        <f>INDEX(REPORTE!$D:$D,$B288)</f>
        <v/>
      </c>
      <c r="G288" t="str">
        <f>INDEX(REPORTE!$E:$E,$B288)</f>
        <v/>
      </c>
      <c r="H288" t="str">
        <f t="shared" si="18"/>
        <v>HEXTJU</v>
      </c>
      <c r="I288">
        <f>CHOOSE($C288,N(INDEX(REPORTE!$F:$F,$B288))+N(INDEX(REPORTE!$G:$G,$B288)),N(INDEX(REPORTE!$H:$H,$B288)),N(INDEX(REPORTE!$I:$I,$B288)))</f>
        <v>0</v>
      </c>
      <c r="J288">
        <f t="shared" si="19"/>
        <v>0</v>
      </c>
      <c r="K288">
        <f>SUM($J$2:$J288)</f>
        <v>3</v>
      </c>
    </row>
    <row r="289" spans="1:11" x14ac:dyDescent="0.25">
      <c r="A289">
        <v>288</v>
      </c>
      <c r="B289">
        <f t="shared" si="16"/>
        <v>113</v>
      </c>
      <c r="C289">
        <f t="shared" si="17"/>
        <v>3</v>
      </c>
      <c r="D289" t="str">
        <f>IF(INDEX(REPORTE!$B:$B,$B289)="","",INDEX(REPORTE!$B:$B,$B289))</f>
        <v/>
      </c>
      <c r="E289" t="str">
        <f>IF($D289="","",IFERROR(VLOOKUP($D289,BD_PLANTA!$A:$F,6,0),""))</f>
        <v/>
      </c>
      <c r="F289" t="str">
        <f>INDEX(REPORTE!$D:$D,$B289)</f>
        <v/>
      </c>
      <c r="G289" t="str">
        <f>INDEX(REPORTE!$E:$E,$B289)</f>
        <v/>
      </c>
      <c r="H289" t="str">
        <f t="shared" si="18"/>
        <v>HEXTADUL</v>
      </c>
      <c r="I289">
        <f>CHOOSE($C289,N(INDEX(REPORTE!$F:$F,$B289))+N(INDEX(REPORTE!$G:$G,$B289)),N(INDEX(REPORTE!$H:$H,$B289)),N(INDEX(REPORTE!$I:$I,$B289)))</f>
        <v>0</v>
      </c>
      <c r="J289">
        <f t="shared" si="19"/>
        <v>0</v>
      </c>
      <c r="K289">
        <f>SUM($J$2:$J289)</f>
        <v>3</v>
      </c>
    </row>
    <row r="290" spans="1:11" x14ac:dyDescent="0.25">
      <c r="A290">
        <v>289</v>
      </c>
      <c r="B290">
        <f t="shared" si="16"/>
        <v>114</v>
      </c>
      <c r="C290">
        <f t="shared" si="17"/>
        <v>1</v>
      </c>
      <c r="D290" t="str">
        <f>IF(INDEX(REPORTE!$B:$B,$B290)="","",INDEX(REPORTE!$B:$B,$B290))</f>
        <v/>
      </c>
      <c r="E290" t="str">
        <f>IF($D290="","",IFERROR(VLOOKUP($D290,BD_PLANTA!$A:$F,6,0),""))</f>
        <v/>
      </c>
      <c r="F290" t="str">
        <f>INDEX(REPORTE!$D:$D,$B290)</f>
        <v/>
      </c>
      <c r="G290" t="str">
        <f>INDEX(REPORTE!$E:$E,$B290)</f>
        <v/>
      </c>
      <c r="H290" t="str">
        <f t="shared" si="18"/>
        <v>HEXTREG</v>
      </c>
      <c r="I290">
        <f>CHOOSE($C290,N(INDEX(REPORTE!$F:$F,$B290))+N(INDEX(REPORTE!$G:$G,$B290)),N(INDEX(REPORTE!$H:$H,$B290)),N(INDEX(REPORTE!$I:$I,$B290)))</f>
        <v>0</v>
      </c>
      <c r="J290">
        <f t="shared" si="19"/>
        <v>0</v>
      </c>
      <c r="K290">
        <f>SUM($J$2:$J290)</f>
        <v>3</v>
      </c>
    </row>
    <row r="291" spans="1:11" x14ac:dyDescent="0.25">
      <c r="A291">
        <v>290</v>
      </c>
      <c r="B291">
        <f t="shared" si="16"/>
        <v>114</v>
      </c>
      <c r="C291">
        <f t="shared" si="17"/>
        <v>2</v>
      </c>
      <c r="D291" t="str">
        <f>IF(INDEX(REPORTE!$B:$B,$B291)="","",INDEX(REPORTE!$B:$B,$B291))</f>
        <v/>
      </c>
      <c r="E291" t="str">
        <f>IF($D291="","",IFERROR(VLOOKUP($D291,BD_PLANTA!$A:$F,6,0),""))</f>
        <v/>
      </c>
      <c r="F291" t="str">
        <f>INDEX(REPORTE!$D:$D,$B291)</f>
        <v/>
      </c>
      <c r="G291" t="str">
        <f>INDEX(REPORTE!$E:$E,$B291)</f>
        <v/>
      </c>
      <c r="H291" t="str">
        <f t="shared" si="18"/>
        <v>HEXTJU</v>
      </c>
      <c r="I291">
        <f>CHOOSE($C291,N(INDEX(REPORTE!$F:$F,$B291))+N(INDEX(REPORTE!$G:$G,$B291)),N(INDEX(REPORTE!$H:$H,$B291)),N(INDEX(REPORTE!$I:$I,$B291)))</f>
        <v>0</v>
      </c>
      <c r="J291">
        <f t="shared" si="19"/>
        <v>0</v>
      </c>
      <c r="K291">
        <f>SUM($J$2:$J291)</f>
        <v>3</v>
      </c>
    </row>
    <row r="292" spans="1:11" x14ac:dyDescent="0.25">
      <c r="A292">
        <v>291</v>
      </c>
      <c r="B292">
        <f t="shared" si="16"/>
        <v>114</v>
      </c>
      <c r="C292">
        <f t="shared" si="17"/>
        <v>3</v>
      </c>
      <c r="D292" t="str">
        <f>IF(INDEX(REPORTE!$B:$B,$B292)="","",INDEX(REPORTE!$B:$B,$B292))</f>
        <v/>
      </c>
      <c r="E292" t="str">
        <f>IF($D292="","",IFERROR(VLOOKUP($D292,BD_PLANTA!$A:$F,6,0),""))</f>
        <v/>
      </c>
      <c r="F292" t="str">
        <f>INDEX(REPORTE!$D:$D,$B292)</f>
        <v/>
      </c>
      <c r="G292" t="str">
        <f>INDEX(REPORTE!$E:$E,$B292)</f>
        <v/>
      </c>
      <c r="H292" t="str">
        <f t="shared" si="18"/>
        <v>HEXTADUL</v>
      </c>
      <c r="I292">
        <f>CHOOSE($C292,N(INDEX(REPORTE!$F:$F,$B292))+N(INDEX(REPORTE!$G:$G,$B292)),N(INDEX(REPORTE!$H:$H,$B292)),N(INDEX(REPORTE!$I:$I,$B292)))</f>
        <v>0</v>
      </c>
      <c r="J292">
        <f t="shared" si="19"/>
        <v>0</v>
      </c>
      <c r="K292">
        <f>SUM($J$2:$J292)</f>
        <v>3</v>
      </c>
    </row>
    <row r="293" spans="1:11" x14ac:dyDescent="0.25">
      <c r="A293">
        <v>292</v>
      </c>
      <c r="B293">
        <f t="shared" si="16"/>
        <v>115</v>
      </c>
      <c r="C293">
        <f t="shared" si="17"/>
        <v>1</v>
      </c>
      <c r="D293" t="str">
        <f>IF(INDEX(REPORTE!$B:$B,$B293)="","",INDEX(REPORTE!$B:$B,$B293))</f>
        <v/>
      </c>
      <c r="E293" t="str">
        <f>IF($D293="","",IFERROR(VLOOKUP($D293,BD_PLANTA!$A:$F,6,0),""))</f>
        <v/>
      </c>
      <c r="F293" t="str">
        <f>INDEX(REPORTE!$D:$D,$B293)</f>
        <v/>
      </c>
      <c r="G293" t="str">
        <f>INDEX(REPORTE!$E:$E,$B293)</f>
        <v/>
      </c>
      <c r="H293" t="str">
        <f t="shared" si="18"/>
        <v>HEXTREG</v>
      </c>
      <c r="I293">
        <f>CHOOSE($C293,N(INDEX(REPORTE!$F:$F,$B293))+N(INDEX(REPORTE!$G:$G,$B293)),N(INDEX(REPORTE!$H:$H,$B293)),N(INDEX(REPORTE!$I:$I,$B293)))</f>
        <v>0</v>
      </c>
      <c r="J293">
        <f t="shared" si="19"/>
        <v>0</v>
      </c>
      <c r="K293">
        <f>SUM($J$2:$J293)</f>
        <v>3</v>
      </c>
    </row>
    <row r="294" spans="1:11" x14ac:dyDescent="0.25">
      <c r="A294">
        <v>293</v>
      </c>
      <c r="B294">
        <f t="shared" si="16"/>
        <v>115</v>
      </c>
      <c r="C294">
        <f t="shared" si="17"/>
        <v>2</v>
      </c>
      <c r="D294" t="str">
        <f>IF(INDEX(REPORTE!$B:$B,$B294)="","",INDEX(REPORTE!$B:$B,$B294))</f>
        <v/>
      </c>
      <c r="E294" t="str">
        <f>IF($D294="","",IFERROR(VLOOKUP($D294,BD_PLANTA!$A:$F,6,0),""))</f>
        <v/>
      </c>
      <c r="F294" t="str">
        <f>INDEX(REPORTE!$D:$D,$B294)</f>
        <v/>
      </c>
      <c r="G294" t="str">
        <f>INDEX(REPORTE!$E:$E,$B294)</f>
        <v/>
      </c>
      <c r="H294" t="str">
        <f t="shared" si="18"/>
        <v>HEXTJU</v>
      </c>
      <c r="I294">
        <f>CHOOSE($C294,N(INDEX(REPORTE!$F:$F,$B294))+N(INDEX(REPORTE!$G:$G,$B294)),N(INDEX(REPORTE!$H:$H,$B294)),N(INDEX(REPORTE!$I:$I,$B294)))</f>
        <v>0</v>
      </c>
      <c r="J294">
        <f t="shared" si="19"/>
        <v>0</v>
      </c>
      <c r="K294">
        <f>SUM($J$2:$J294)</f>
        <v>3</v>
      </c>
    </row>
    <row r="295" spans="1:11" x14ac:dyDescent="0.25">
      <c r="A295">
        <v>294</v>
      </c>
      <c r="B295">
        <f t="shared" si="16"/>
        <v>115</v>
      </c>
      <c r="C295">
        <f t="shared" si="17"/>
        <v>3</v>
      </c>
      <c r="D295" t="str">
        <f>IF(INDEX(REPORTE!$B:$B,$B295)="","",INDEX(REPORTE!$B:$B,$B295))</f>
        <v/>
      </c>
      <c r="E295" t="str">
        <f>IF($D295="","",IFERROR(VLOOKUP($D295,BD_PLANTA!$A:$F,6,0),""))</f>
        <v/>
      </c>
      <c r="F295" t="str">
        <f>INDEX(REPORTE!$D:$D,$B295)</f>
        <v/>
      </c>
      <c r="G295" t="str">
        <f>INDEX(REPORTE!$E:$E,$B295)</f>
        <v/>
      </c>
      <c r="H295" t="str">
        <f t="shared" si="18"/>
        <v>HEXTADUL</v>
      </c>
      <c r="I295">
        <f>CHOOSE($C295,N(INDEX(REPORTE!$F:$F,$B295))+N(INDEX(REPORTE!$G:$G,$B295)),N(INDEX(REPORTE!$H:$H,$B295)),N(INDEX(REPORTE!$I:$I,$B295)))</f>
        <v>0</v>
      </c>
      <c r="J295">
        <f t="shared" si="19"/>
        <v>0</v>
      </c>
      <c r="K295">
        <f>SUM($J$2:$J295)</f>
        <v>3</v>
      </c>
    </row>
    <row r="296" spans="1:11" x14ac:dyDescent="0.25">
      <c r="A296">
        <v>295</v>
      </c>
      <c r="B296">
        <f t="shared" si="16"/>
        <v>116</v>
      </c>
      <c r="C296">
        <f t="shared" si="17"/>
        <v>1</v>
      </c>
      <c r="D296" t="str">
        <f>IF(INDEX(REPORTE!$B:$B,$B296)="","",INDEX(REPORTE!$B:$B,$B296))</f>
        <v/>
      </c>
      <c r="E296" t="str">
        <f>IF($D296="","",IFERROR(VLOOKUP($D296,BD_PLANTA!$A:$F,6,0),""))</f>
        <v/>
      </c>
      <c r="F296" t="str">
        <f>INDEX(REPORTE!$D:$D,$B296)</f>
        <v/>
      </c>
      <c r="G296" t="str">
        <f>INDEX(REPORTE!$E:$E,$B296)</f>
        <v/>
      </c>
      <c r="H296" t="str">
        <f t="shared" si="18"/>
        <v>HEXTREG</v>
      </c>
      <c r="I296">
        <f>CHOOSE($C296,N(INDEX(REPORTE!$F:$F,$B296))+N(INDEX(REPORTE!$G:$G,$B296)),N(INDEX(REPORTE!$H:$H,$B296)),N(INDEX(REPORTE!$I:$I,$B296)))</f>
        <v>0</v>
      </c>
      <c r="J296">
        <f t="shared" si="19"/>
        <v>0</v>
      </c>
      <c r="K296">
        <f>SUM($J$2:$J296)</f>
        <v>3</v>
      </c>
    </row>
    <row r="297" spans="1:11" x14ac:dyDescent="0.25">
      <c r="A297">
        <v>296</v>
      </c>
      <c r="B297">
        <f t="shared" si="16"/>
        <v>116</v>
      </c>
      <c r="C297">
        <f t="shared" si="17"/>
        <v>2</v>
      </c>
      <c r="D297" t="str">
        <f>IF(INDEX(REPORTE!$B:$B,$B297)="","",INDEX(REPORTE!$B:$B,$B297))</f>
        <v/>
      </c>
      <c r="E297" t="str">
        <f>IF($D297="","",IFERROR(VLOOKUP($D297,BD_PLANTA!$A:$F,6,0),""))</f>
        <v/>
      </c>
      <c r="F297" t="str">
        <f>INDEX(REPORTE!$D:$D,$B297)</f>
        <v/>
      </c>
      <c r="G297" t="str">
        <f>INDEX(REPORTE!$E:$E,$B297)</f>
        <v/>
      </c>
      <c r="H297" t="str">
        <f t="shared" si="18"/>
        <v>HEXTJU</v>
      </c>
      <c r="I297">
        <f>CHOOSE($C297,N(INDEX(REPORTE!$F:$F,$B297))+N(INDEX(REPORTE!$G:$G,$B297)),N(INDEX(REPORTE!$H:$H,$B297)),N(INDEX(REPORTE!$I:$I,$B297)))</f>
        <v>0</v>
      </c>
      <c r="J297">
        <f t="shared" si="19"/>
        <v>0</v>
      </c>
      <c r="K297">
        <f>SUM($J$2:$J297)</f>
        <v>3</v>
      </c>
    </row>
    <row r="298" spans="1:11" x14ac:dyDescent="0.25">
      <c r="A298">
        <v>297</v>
      </c>
      <c r="B298">
        <f t="shared" si="16"/>
        <v>116</v>
      </c>
      <c r="C298">
        <f t="shared" si="17"/>
        <v>3</v>
      </c>
      <c r="D298" t="str">
        <f>IF(INDEX(REPORTE!$B:$B,$B298)="","",INDEX(REPORTE!$B:$B,$B298))</f>
        <v/>
      </c>
      <c r="E298" t="str">
        <f>IF($D298="","",IFERROR(VLOOKUP($D298,BD_PLANTA!$A:$F,6,0),""))</f>
        <v/>
      </c>
      <c r="F298" t="str">
        <f>INDEX(REPORTE!$D:$D,$B298)</f>
        <v/>
      </c>
      <c r="G298" t="str">
        <f>INDEX(REPORTE!$E:$E,$B298)</f>
        <v/>
      </c>
      <c r="H298" t="str">
        <f t="shared" si="18"/>
        <v>HEXTADUL</v>
      </c>
      <c r="I298">
        <f>CHOOSE($C298,N(INDEX(REPORTE!$F:$F,$B298))+N(INDEX(REPORTE!$G:$G,$B298)),N(INDEX(REPORTE!$H:$H,$B298)),N(INDEX(REPORTE!$I:$I,$B298)))</f>
        <v>0</v>
      </c>
      <c r="J298">
        <f t="shared" si="19"/>
        <v>0</v>
      </c>
      <c r="K298">
        <f>SUM($J$2:$J298)</f>
        <v>3</v>
      </c>
    </row>
    <row r="299" spans="1:11" x14ac:dyDescent="0.25">
      <c r="A299">
        <v>298</v>
      </c>
      <c r="B299">
        <f t="shared" si="16"/>
        <v>117</v>
      </c>
      <c r="C299">
        <f t="shared" si="17"/>
        <v>1</v>
      </c>
      <c r="D299" t="str">
        <f>IF(INDEX(REPORTE!$B:$B,$B299)="","",INDEX(REPORTE!$B:$B,$B299))</f>
        <v/>
      </c>
      <c r="E299" t="str">
        <f>IF($D299="","",IFERROR(VLOOKUP($D299,BD_PLANTA!$A:$F,6,0),""))</f>
        <v/>
      </c>
      <c r="F299" t="str">
        <f>INDEX(REPORTE!$D:$D,$B299)</f>
        <v/>
      </c>
      <c r="G299" t="str">
        <f>INDEX(REPORTE!$E:$E,$B299)</f>
        <v/>
      </c>
      <c r="H299" t="str">
        <f t="shared" si="18"/>
        <v>HEXTREG</v>
      </c>
      <c r="I299">
        <f>CHOOSE($C299,N(INDEX(REPORTE!$F:$F,$B299))+N(INDEX(REPORTE!$G:$G,$B299)),N(INDEX(REPORTE!$H:$H,$B299)),N(INDEX(REPORTE!$I:$I,$B299)))</f>
        <v>0</v>
      </c>
      <c r="J299">
        <f t="shared" si="19"/>
        <v>0</v>
      </c>
      <c r="K299">
        <f>SUM($J$2:$J299)</f>
        <v>3</v>
      </c>
    </row>
    <row r="300" spans="1:11" x14ac:dyDescent="0.25">
      <c r="A300">
        <v>299</v>
      </c>
      <c r="B300">
        <f t="shared" si="16"/>
        <v>117</v>
      </c>
      <c r="C300">
        <f t="shared" si="17"/>
        <v>2</v>
      </c>
      <c r="D300" t="str">
        <f>IF(INDEX(REPORTE!$B:$B,$B300)="","",INDEX(REPORTE!$B:$B,$B300))</f>
        <v/>
      </c>
      <c r="E300" t="str">
        <f>IF($D300="","",IFERROR(VLOOKUP($D300,BD_PLANTA!$A:$F,6,0),""))</f>
        <v/>
      </c>
      <c r="F300" t="str">
        <f>INDEX(REPORTE!$D:$D,$B300)</f>
        <v/>
      </c>
      <c r="G300" t="str">
        <f>INDEX(REPORTE!$E:$E,$B300)</f>
        <v/>
      </c>
      <c r="H300" t="str">
        <f t="shared" si="18"/>
        <v>HEXTJU</v>
      </c>
      <c r="I300">
        <f>CHOOSE($C300,N(INDEX(REPORTE!$F:$F,$B300))+N(INDEX(REPORTE!$G:$G,$B300)),N(INDEX(REPORTE!$H:$H,$B300)),N(INDEX(REPORTE!$I:$I,$B300)))</f>
        <v>0</v>
      </c>
      <c r="J300">
        <f t="shared" si="19"/>
        <v>0</v>
      </c>
      <c r="K300">
        <f>SUM($J$2:$J300)</f>
        <v>3</v>
      </c>
    </row>
    <row r="301" spans="1:11" x14ac:dyDescent="0.25">
      <c r="A301">
        <v>300</v>
      </c>
      <c r="B301">
        <f t="shared" si="16"/>
        <v>117</v>
      </c>
      <c r="C301">
        <f t="shared" si="17"/>
        <v>3</v>
      </c>
      <c r="D301" t="str">
        <f>IF(INDEX(REPORTE!$B:$B,$B301)="","",INDEX(REPORTE!$B:$B,$B301))</f>
        <v/>
      </c>
      <c r="E301" t="str">
        <f>IF($D301="","",IFERROR(VLOOKUP($D301,BD_PLANTA!$A:$F,6,0),""))</f>
        <v/>
      </c>
      <c r="F301" t="str">
        <f>INDEX(REPORTE!$D:$D,$B301)</f>
        <v/>
      </c>
      <c r="G301" t="str">
        <f>INDEX(REPORTE!$E:$E,$B301)</f>
        <v/>
      </c>
      <c r="H301" t="str">
        <f t="shared" si="18"/>
        <v>HEXTADUL</v>
      </c>
      <c r="I301">
        <f>CHOOSE($C301,N(INDEX(REPORTE!$F:$F,$B301))+N(INDEX(REPORTE!$G:$G,$B301)),N(INDEX(REPORTE!$H:$H,$B301)),N(INDEX(REPORTE!$I:$I,$B301)))</f>
        <v>0</v>
      </c>
      <c r="J301">
        <f t="shared" si="19"/>
        <v>0</v>
      </c>
      <c r="K301">
        <f>SUM($J$2:$J301)</f>
        <v>3</v>
      </c>
    </row>
    <row r="302" spans="1:11" x14ac:dyDescent="0.25">
      <c r="A302">
        <v>301</v>
      </c>
      <c r="B302">
        <f t="shared" si="16"/>
        <v>118</v>
      </c>
      <c r="C302">
        <f t="shared" si="17"/>
        <v>1</v>
      </c>
      <c r="D302" t="str">
        <f>IF(INDEX(REPORTE!$B:$B,$B302)="","",INDEX(REPORTE!$B:$B,$B302))</f>
        <v/>
      </c>
      <c r="E302" t="str">
        <f>IF($D302="","",IFERROR(VLOOKUP($D302,BD_PLANTA!$A:$F,6,0),""))</f>
        <v/>
      </c>
      <c r="F302" t="str">
        <f>INDEX(REPORTE!$D:$D,$B302)</f>
        <v/>
      </c>
      <c r="G302" t="str">
        <f>INDEX(REPORTE!$E:$E,$B302)</f>
        <v/>
      </c>
      <c r="H302" t="str">
        <f t="shared" si="18"/>
        <v>HEXTREG</v>
      </c>
      <c r="I302">
        <f>CHOOSE($C302,N(INDEX(REPORTE!$F:$F,$B302))+N(INDEX(REPORTE!$G:$G,$B302)),N(INDEX(REPORTE!$H:$H,$B302)),N(INDEX(REPORTE!$I:$I,$B302)))</f>
        <v>0</v>
      </c>
      <c r="J302">
        <f t="shared" si="19"/>
        <v>0</v>
      </c>
      <c r="K302">
        <f>SUM($J$2:$J302)</f>
        <v>3</v>
      </c>
    </row>
    <row r="303" spans="1:11" x14ac:dyDescent="0.25">
      <c r="A303">
        <v>302</v>
      </c>
      <c r="B303">
        <f t="shared" si="16"/>
        <v>118</v>
      </c>
      <c r="C303">
        <f t="shared" si="17"/>
        <v>2</v>
      </c>
      <c r="D303" t="str">
        <f>IF(INDEX(REPORTE!$B:$B,$B303)="","",INDEX(REPORTE!$B:$B,$B303))</f>
        <v/>
      </c>
      <c r="E303" t="str">
        <f>IF($D303="","",IFERROR(VLOOKUP($D303,BD_PLANTA!$A:$F,6,0),""))</f>
        <v/>
      </c>
      <c r="F303" t="str">
        <f>INDEX(REPORTE!$D:$D,$B303)</f>
        <v/>
      </c>
      <c r="G303" t="str">
        <f>INDEX(REPORTE!$E:$E,$B303)</f>
        <v/>
      </c>
      <c r="H303" t="str">
        <f t="shared" si="18"/>
        <v>HEXTJU</v>
      </c>
      <c r="I303">
        <f>CHOOSE($C303,N(INDEX(REPORTE!$F:$F,$B303))+N(INDEX(REPORTE!$G:$G,$B303)),N(INDEX(REPORTE!$H:$H,$B303)),N(INDEX(REPORTE!$I:$I,$B303)))</f>
        <v>0</v>
      </c>
      <c r="J303">
        <f t="shared" si="19"/>
        <v>0</v>
      </c>
      <c r="K303">
        <f>SUM($J$2:$J303)</f>
        <v>3</v>
      </c>
    </row>
    <row r="304" spans="1:11" x14ac:dyDescent="0.25">
      <c r="A304">
        <v>303</v>
      </c>
      <c r="B304">
        <f t="shared" si="16"/>
        <v>118</v>
      </c>
      <c r="C304">
        <f t="shared" si="17"/>
        <v>3</v>
      </c>
      <c r="D304" t="str">
        <f>IF(INDEX(REPORTE!$B:$B,$B304)="","",INDEX(REPORTE!$B:$B,$B304))</f>
        <v/>
      </c>
      <c r="E304" t="str">
        <f>IF($D304="","",IFERROR(VLOOKUP($D304,BD_PLANTA!$A:$F,6,0),""))</f>
        <v/>
      </c>
      <c r="F304" t="str">
        <f>INDEX(REPORTE!$D:$D,$B304)</f>
        <v/>
      </c>
      <c r="G304" t="str">
        <f>INDEX(REPORTE!$E:$E,$B304)</f>
        <v/>
      </c>
      <c r="H304" t="str">
        <f t="shared" si="18"/>
        <v>HEXTADUL</v>
      </c>
      <c r="I304">
        <f>CHOOSE($C304,N(INDEX(REPORTE!$F:$F,$B304))+N(INDEX(REPORTE!$G:$G,$B304)),N(INDEX(REPORTE!$H:$H,$B304)),N(INDEX(REPORTE!$I:$I,$B304)))</f>
        <v>0</v>
      </c>
      <c r="J304">
        <f t="shared" si="19"/>
        <v>0</v>
      </c>
      <c r="K304">
        <f>SUM($J$2:$J304)</f>
        <v>3</v>
      </c>
    </row>
    <row r="305" spans="1:11" x14ac:dyDescent="0.25">
      <c r="A305">
        <v>304</v>
      </c>
      <c r="B305">
        <f t="shared" si="16"/>
        <v>119</v>
      </c>
      <c r="C305">
        <f t="shared" si="17"/>
        <v>1</v>
      </c>
      <c r="D305" t="str">
        <f>IF(INDEX(REPORTE!$B:$B,$B305)="","",INDEX(REPORTE!$B:$B,$B305))</f>
        <v/>
      </c>
      <c r="E305" t="str">
        <f>IF($D305="","",IFERROR(VLOOKUP($D305,BD_PLANTA!$A:$F,6,0),""))</f>
        <v/>
      </c>
      <c r="F305" t="str">
        <f>INDEX(REPORTE!$D:$D,$B305)</f>
        <v/>
      </c>
      <c r="G305" t="str">
        <f>INDEX(REPORTE!$E:$E,$B305)</f>
        <v/>
      </c>
      <c r="H305" t="str">
        <f t="shared" si="18"/>
        <v>HEXTREG</v>
      </c>
      <c r="I305">
        <f>CHOOSE($C305,N(INDEX(REPORTE!$F:$F,$B305))+N(INDEX(REPORTE!$G:$G,$B305)),N(INDEX(REPORTE!$H:$H,$B305)),N(INDEX(REPORTE!$I:$I,$B305)))</f>
        <v>0</v>
      </c>
      <c r="J305">
        <f t="shared" si="19"/>
        <v>0</v>
      </c>
      <c r="K305">
        <f>SUM($J$2:$J305)</f>
        <v>3</v>
      </c>
    </row>
    <row r="306" spans="1:11" x14ac:dyDescent="0.25">
      <c r="A306">
        <v>305</v>
      </c>
      <c r="B306">
        <f t="shared" si="16"/>
        <v>119</v>
      </c>
      <c r="C306">
        <f t="shared" si="17"/>
        <v>2</v>
      </c>
      <c r="D306" t="str">
        <f>IF(INDEX(REPORTE!$B:$B,$B306)="","",INDEX(REPORTE!$B:$B,$B306))</f>
        <v/>
      </c>
      <c r="E306" t="str">
        <f>IF($D306="","",IFERROR(VLOOKUP($D306,BD_PLANTA!$A:$F,6,0),""))</f>
        <v/>
      </c>
      <c r="F306" t="str">
        <f>INDEX(REPORTE!$D:$D,$B306)</f>
        <v/>
      </c>
      <c r="G306" t="str">
        <f>INDEX(REPORTE!$E:$E,$B306)</f>
        <v/>
      </c>
      <c r="H306" t="str">
        <f t="shared" si="18"/>
        <v>HEXTJU</v>
      </c>
      <c r="I306">
        <f>CHOOSE($C306,N(INDEX(REPORTE!$F:$F,$B306))+N(INDEX(REPORTE!$G:$G,$B306)),N(INDEX(REPORTE!$H:$H,$B306)),N(INDEX(REPORTE!$I:$I,$B306)))</f>
        <v>0</v>
      </c>
      <c r="J306">
        <f t="shared" si="19"/>
        <v>0</v>
      </c>
      <c r="K306">
        <f>SUM($J$2:$J306)</f>
        <v>3</v>
      </c>
    </row>
    <row r="307" spans="1:11" x14ac:dyDescent="0.25">
      <c r="A307">
        <v>306</v>
      </c>
      <c r="B307">
        <f t="shared" si="16"/>
        <v>119</v>
      </c>
      <c r="C307">
        <f t="shared" si="17"/>
        <v>3</v>
      </c>
      <c r="D307" t="str">
        <f>IF(INDEX(REPORTE!$B:$B,$B307)="","",INDEX(REPORTE!$B:$B,$B307))</f>
        <v/>
      </c>
      <c r="E307" t="str">
        <f>IF($D307="","",IFERROR(VLOOKUP($D307,BD_PLANTA!$A:$F,6,0),""))</f>
        <v/>
      </c>
      <c r="F307" t="str">
        <f>INDEX(REPORTE!$D:$D,$B307)</f>
        <v/>
      </c>
      <c r="G307" t="str">
        <f>INDEX(REPORTE!$E:$E,$B307)</f>
        <v/>
      </c>
      <c r="H307" t="str">
        <f t="shared" si="18"/>
        <v>HEXTADUL</v>
      </c>
      <c r="I307">
        <f>CHOOSE($C307,N(INDEX(REPORTE!$F:$F,$B307))+N(INDEX(REPORTE!$G:$G,$B307)),N(INDEX(REPORTE!$H:$H,$B307)),N(INDEX(REPORTE!$I:$I,$B307)))</f>
        <v>0</v>
      </c>
      <c r="J307">
        <f t="shared" si="19"/>
        <v>0</v>
      </c>
      <c r="K307">
        <f>SUM($J$2:$J307)</f>
        <v>3</v>
      </c>
    </row>
    <row r="308" spans="1:11" x14ac:dyDescent="0.25">
      <c r="A308">
        <v>307</v>
      </c>
      <c r="B308">
        <f t="shared" si="16"/>
        <v>120</v>
      </c>
      <c r="C308">
        <f t="shared" si="17"/>
        <v>1</v>
      </c>
      <c r="D308" t="str">
        <f>IF(INDEX(REPORTE!$B:$B,$B308)="","",INDEX(REPORTE!$B:$B,$B308))</f>
        <v/>
      </c>
      <c r="E308" t="str">
        <f>IF($D308="","",IFERROR(VLOOKUP($D308,BD_PLANTA!$A:$F,6,0),""))</f>
        <v/>
      </c>
      <c r="F308" t="str">
        <f>INDEX(REPORTE!$D:$D,$B308)</f>
        <v/>
      </c>
      <c r="G308" t="str">
        <f>INDEX(REPORTE!$E:$E,$B308)</f>
        <v/>
      </c>
      <c r="H308" t="str">
        <f t="shared" si="18"/>
        <v>HEXTREG</v>
      </c>
      <c r="I308">
        <f>CHOOSE($C308,N(INDEX(REPORTE!$F:$F,$B308))+N(INDEX(REPORTE!$G:$G,$B308)),N(INDEX(REPORTE!$H:$H,$B308)),N(INDEX(REPORTE!$I:$I,$B308)))</f>
        <v>0</v>
      </c>
      <c r="J308">
        <f t="shared" si="19"/>
        <v>0</v>
      </c>
      <c r="K308">
        <f>SUM($J$2:$J308)</f>
        <v>3</v>
      </c>
    </row>
    <row r="309" spans="1:11" x14ac:dyDescent="0.25">
      <c r="A309">
        <v>308</v>
      </c>
      <c r="B309">
        <f t="shared" si="16"/>
        <v>120</v>
      </c>
      <c r="C309">
        <f t="shared" si="17"/>
        <v>2</v>
      </c>
      <c r="D309" t="str">
        <f>IF(INDEX(REPORTE!$B:$B,$B309)="","",INDEX(REPORTE!$B:$B,$B309))</f>
        <v/>
      </c>
      <c r="E309" t="str">
        <f>IF($D309="","",IFERROR(VLOOKUP($D309,BD_PLANTA!$A:$F,6,0),""))</f>
        <v/>
      </c>
      <c r="F309" t="str">
        <f>INDEX(REPORTE!$D:$D,$B309)</f>
        <v/>
      </c>
      <c r="G309" t="str">
        <f>INDEX(REPORTE!$E:$E,$B309)</f>
        <v/>
      </c>
      <c r="H309" t="str">
        <f t="shared" si="18"/>
        <v>HEXTJU</v>
      </c>
      <c r="I309">
        <f>CHOOSE($C309,N(INDEX(REPORTE!$F:$F,$B309))+N(INDEX(REPORTE!$G:$G,$B309)),N(INDEX(REPORTE!$H:$H,$B309)),N(INDEX(REPORTE!$I:$I,$B309)))</f>
        <v>0</v>
      </c>
      <c r="J309">
        <f t="shared" si="19"/>
        <v>0</v>
      </c>
      <c r="K309">
        <f>SUM($J$2:$J309)</f>
        <v>3</v>
      </c>
    </row>
    <row r="310" spans="1:11" x14ac:dyDescent="0.25">
      <c r="A310">
        <v>309</v>
      </c>
      <c r="B310">
        <f t="shared" si="16"/>
        <v>120</v>
      </c>
      <c r="C310">
        <f t="shared" si="17"/>
        <v>3</v>
      </c>
      <c r="D310" t="str">
        <f>IF(INDEX(REPORTE!$B:$B,$B310)="","",INDEX(REPORTE!$B:$B,$B310))</f>
        <v/>
      </c>
      <c r="E310" t="str">
        <f>IF($D310="","",IFERROR(VLOOKUP($D310,BD_PLANTA!$A:$F,6,0),""))</f>
        <v/>
      </c>
      <c r="F310" t="str">
        <f>INDEX(REPORTE!$D:$D,$B310)</f>
        <v/>
      </c>
      <c r="G310" t="str">
        <f>INDEX(REPORTE!$E:$E,$B310)</f>
        <v/>
      </c>
      <c r="H310" t="str">
        <f t="shared" si="18"/>
        <v>HEXTADUL</v>
      </c>
      <c r="I310">
        <f>CHOOSE($C310,N(INDEX(REPORTE!$F:$F,$B310))+N(INDEX(REPORTE!$G:$G,$B310)),N(INDEX(REPORTE!$H:$H,$B310)),N(INDEX(REPORTE!$I:$I,$B310)))</f>
        <v>0</v>
      </c>
      <c r="J310">
        <f t="shared" si="19"/>
        <v>0</v>
      </c>
      <c r="K310">
        <f>SUM($J$2:$J310)</f>
        <v>3</v>
      </c>
    </row>
    <row r="311" spans="1:11" x14ac:dyDescent="0.25">
      <c r="A311">
        <v>310</v>
      </c>
      <c r="B311">
        <f t="shared" si="16"/>
        <v>121</v>
      </c>
      <c r="C311">
        <f t="shared" si="17"/>
        <v>1</v>
      </c>
      <c r="D311" t="str">
        <f>IF(INDEX(REPORTE!$B:$B,$B311)="","",INDEX(REPORTE!$B:$B,$B311))</f>
        <v/>
      </c>
      <c r="E311" t="str">
        <f>IF($D311="","",IFERROR(VLOOKUP($D311,BD_PLANTA!$A:$F,6,0),""))</f>
        <v/>
      </c>
      <c r="F311" t="str">
        <f>INDEX(REPORTE!$D:$D,$B311)</f>
        <v/>
      </c>
      <c r="G311" t="str">
        <f>INDEX(REPORTE!$E:$E,$B311)</f>
        <v/>
      </c>
      <c r="H311" t="str">
        <f t="shared" si="18"/>
        <v>HEXTREG</v>
      </c>
      <c r="I311">
        <f>CHOOSE($C311,N(INDEX(REPORTE!$F:$F,$B311))+N(INDEX(REPORTE!$G:$G,$B311)),N(INDEX(REPORTE!$H:$H,$B311)),N(INDEX(REPORTE!$I:$I,$B311)))</f>
        <v>0</v>
      </c>
      <c r="J311">
        <f t="shared" si="19"/>
        <v>0</v>
      </c>
      <c r="K311">
        <f>SUM($J$2:$J311)</f>
        <v>3</v>
      </c>
    </row>
    <row r="312" spans="1:11" x14ac:dyDescent="0.25">
      <c r="A312">
        <v>311</v>
      </c>
      <c r="B312">
        <f t="shared" si="16"/>
        <v>121</v>
      </c>
      <c r="C312">
        <f t="shared" si="17"/>
        <v>2</v>
      </c>
      <c r="D312" t="str">
        <f>IF(INDEX(REPORTE!$B:$B,$B312)="","",INDEX(REPORTE!$B:$B,$B312))</f>
        <v/>
      </c>
      <c r="E312" t="str">
        <f>IF($D312="","",IFERROR(VLOOKUP($D312,BD_PLANTA!$A:$F,6,0),""))</f>
        <v/>
      </c>
      <c r="F312" t="str">
        <f>INDEX(REPORTE!$D:$D,$B312)</f>
        <v/>
      </c>
      <c r="G312" t="str">
        <f>INDEX(REPORTE!$E:$E,$B312)</f>
        <v/>
      </c>
      <c r="H312" t="str">
        <f t="shared" si="18"/>
        <v>HEXTJU</v>
      </c>
      <c r="I312">
        <f>CHOOSE($C312,N(INDEX(REPORTE!$F:$F,$B312))+N(INDEX(REPORTE!$G:$G,$B312)),N(INDEX(REPORTE!$H:$H,$B312)),N(INDEX(REPORTE!$I:$I,$B312)))</f>
        <v>0</v>
      </c>
      <c r="J312">
        <f t="shared" si="19"/>
        <v>0</v>
      </c>
      <c r="K312">
        <f>SUM($J$2:$J312)</f>
        <v>3</v>
      </c>
    </row>
    <row r="313" spans="1:11" x14ac:dyDescent="0.25">
      <c r="A313">
        <v>312</v>
      </c>
      <c r="B313">
        <f t="shared" si="16"/>
        <v>121</v>
      </c>
      <c r="C313">
        <f t="shared" si="17"/>
        <v>3</v>
      </c>
      <c r="D313" t="str">
        <f>IF(INDEX(REPORTE!$B:$B,$B313)="","",INDEX(REPORTE!$B:$B,$B313))</f>
        <v/>
      </c>
      <c r="E313" t="str">
        <f>IF($D313="","",IFERROR(VLOOKUP($D313,BD_PLANTA!$A:$F,6,0),""))</f>
        <v/>
      </c>
      <c r="F313" t="str">
        <f>INDEX(REPORTE!$D:$D,$B313)</f>
        <v/>
      </c>
      <c r="G313" t="str">
        <f>INDEX(REPORTE!$E:$E,$B313)</f>
        <v/>
      </c>
      <c r="H313" t="str">
        <f t="shared" si="18"/>
        <v>HEXTADUL</v>
      </c>
      <c r="I313">
        <f>CHOOSE($C313,N(INDEX(REPORTE!$F:$F,$B313))+N(INDEX(REPORTE!$G:$G,$B313)),N(INDEX(REPORTE!$H:$H,$B313)),N(INDEX(REPORTE!$I:$I,$B313)))</f>
        <v>0</v>
      </c>
      <c r="J313">
        <f t="shared" si="19"/>
        <v>0</v>
      </c>
      <c r="K313">
        <f>SUM($J$2:$J313)</f>
        <v>3</v>
      </c>
    </row>
    <row r="314" spans="1:11" x14ac:dyDescent="0.25">
      <c r="A314">
        <v>313</v>
      </c>
      <c r="B314">
        <f t="shared" si="16"/>
        <v>122</v>
      </c>
      <c r="C314">
        <f t="shared" si="17"/>
        <v>1</v>
      </c>
      <c r="D314" t="str">
        <f>IF(INDEX(REPORTE!$B:$B,$B314)="","",INDEX(REPORTE!$B:$B,$B314))</f>
        <v/>
      </c>
      <c r="E314" t="str">
        <f>IF($D314="","",IFERROR(VLOOKUP($D314,BD_PLANTA!$A:$F,6,0),""))</f>
        <v/>
      </c>
      <c r="F314" t="str">
        <f>INDEX(REPORTE!$D:$D,$B314)</f>
        <v/>
      </c>
      <c r="G314" t="str">
        <f>INDEX(REPORTE!$E:$E,$B314)</f>
        <v/>
      </c>
      <c r="H314" t="str">
        <f t="shared" si="18"/>
        <v>HEXTREG</v>
      </c>
      <c r="I314">
        <f>CHOOSE($C314,N(INDEX(REPORTE!$F:$F,$B314))+N(INDEX(REPORTE!$G:$G,$B314)),N(INDEX(REPORTE!$H:$H,$B314)),N(INDEX(REPORTE!$I:$I,$B314)))</f>
        <v>0</v>
      </c>
      <c r="J314">
        <f t="shared" si="19"/>
        <v>0</v>
      </c>
      <c r="K314">
        <f>SUM($J$2:$J314)</f>
        <v>3</v>
      </c>
    </row>
    <row r="315" spans="1:11" x14ac:dyDescent="0.25">
      <c r="A315">
        <v>314</v>
      </c>
      <c r="B315">
        <f t="shared" si="16"/>
        <v>122</v>
      </c>
      <c r="C315">
        <f t="shared" si="17"/>
        <v>2</v>
      </c>
      <c r="D315" t="str">
        <f>IF(INDEX(REPORTE!$B:$B,$B315)="","",INDEX(REPORTE!$B:$B,$B315))</f>
        <v/>
      </c>
      <c r="E315" t="str">
        <f>IF($D315="","",IFERROR(VLOOKUP($D315,BD_PLANTA!$A:$F,6,0),""))</f>
        <v/>
      </c>
      <c r="F315" t="str">
        <f>INDEX(REPORTE!$D:$D,$B315)</f>
        <v/>
      </c>
      <c r="G315" t="str">
        <f>INDEX(REPORTE!$E:$E,$B315)</f>
        <v/>
      </c>
      <c r="H315" t="str">
        <f t="shared" si="18"/>
        <v>HEXTJU</v>
      </c>
      <c r="I315">
        <f>CHOOSE($C315,N(INDEX(REPORTE!$F:$F,$B315))+N(INDEX(REPORTE!$G:$G,$B315)),N(INDEX(REPORTE!$H:$H,$B315)),N(INDEX(REPORTE!$I:$I,$B315)))</f>
        <v>0</v>
      </c>
      <c r="J315">
        <f t="shared" si="19"/>
        <v>0</v>
      </c>
      <c r="K315">
        <f>SUM($J$2:$J315)</f>
        <v>3</v>
      </c>
    </row>
    <row r="316" spans="1:11" x14ac:dyDescent="0.25">
      <c r="A316">
        <v>315</v>
      </c>
      <c r="B316">
        <f t="shared" si="16"/>
        <v>122</v>
      </c>
      <c r="C316">
        <f t="shared" si="17"/>
        <v>3</v>
      </c>
      <c r="D316" t="str">
        <f>IF(INDEX(REPORTE!$B:$B,$B316)="","",INDEX(REPORTE!$B:$B,$B316))</f>
        <v/>
      </c>
      <c r="E316" t="str">
        <f>IF($D316="","",IFERROR(VLOOKUP($D316,BD_PLANTA!$A:$F,6,0),""))</f>
        <v/>
      </c>
      <c r="F316" t="str">
        <f>INDEX(REPORTE!$D:$D,$B316)</f>
        <v/>
      </c>
      <c r="G316" t="str">
        <f>INDEX(REPORTE!$E:$E,$B316)</f>
        <v/>
      </c>
      <c r="H316" t="str">
        <f t="shared" si="18"/>
        <v>HEXTADUL</v>
      </c>
      <c r="I316">
        <f>CHOOSE($C316,N(INDEX(REPORTE!$F:$F,$B316))+N(INDEX(REPORTE!$G:$G,$B316)),N(INDEX(REPORTE!$H:$H,$B316)),N(INDEX(REPORTE!$I:$I,$B316)))</f>
        <v>0</v>
      </c>
      <c r="J316">
        <f t="shared" si="19"/>
        <v>0</v>
      </c>
      <c r="K316">
        <f>SUM($J$2:$J316)</f>
        <v>3</v>
      </c>
    </row>
    <row r="317" spans="1:11" x14ac:dyDescent="0.25">
      <c r="A317">
        <v>316</v>
      </c>
      <c r="B317">
        <f t="shared" si="16"/>
        <v>123</v>
      </c>
      <c r="C317">
        <f t="shared" si="17"/>
        <v>1</v>
      </c>
      <c r="D317" t="str">
        <f>IF(INDEX(REPORTE!$B:$B,$B317)="","",INDEX(REPORTE!$B:$B,$B317))</f>
        <v/>
      </c>
      <c r="E317" t="str">
        <f>IF($D317="","",IFERROR(VLOOKUP($D317,BD_PLANTA!$A:$F,6,0),""))</f>
        <v/>
      </c>
      <c r="F317" t="str">
        <f>INDEX(REPORTE!$D:$D,$B317)</f>
        <v/>
      </c>
      <c r="G317" t="str">
        <f>INDEX(REPORTE!$E:$E,$B317)</f>
        <v/>
      </c>
      <c r="H317" t="str">
        <f t="shared" si="18"/>
        <v>HEXTREG</v>
      </c>
      <c r="I317">
        <f>CHOOSE($C317,N(INDEX(REPORTE!$F:$F,$B317))+N(INDEX(REPORTE!$G:$G,$B317)),N(INDEX(REPORTE!$H:$H,$B317)),N(INDEX(REPORTE!$I:$I,$B317)))</f>
        <v>0</v>
      </c>
      <c r="J317">
        <f t="shared" si="19"/>
        <v>0</v>
      </c>
      <c r="K317">
        <f>SUM($J$2:$J317)</f>
        <v>3</v>
      </c>
    </row>
    <row r="318" spans="1:11" x14ac:dyDescent="0.25">
      <c r="A318">
        <v>317</v>
      </c>
      <c r="B318">
        <f t="shared" si="16"/>
        <v>123</v>
      </c>
      <c r="C318">
        <f t="shared" si="17"/>
        <v>2</v>
      </c>
      <c r="D318" t="str">
        <f>IF(INDEX(REPORTE!$B:$B,$B318)="","",INDEX(REPORTE!$B:$B,$B318))</f>
        <v/>
      </c>
      <c r="E318" t="str">
        <f>IF($D318="","",IFERROR(VLOOKUP($D318,BD_PLANTA!$A:$F,6,0),""))</f>
        <v/>
      </c>
      <c r="F318" t="str">
        <f>INDEX(REPORTE!$D:$D,$B318)</f>
        <v/>
      </c>
      <c r="G318" t="str">
        <f>INDEX(REPORTE!$E:$E,$B318)</f>
        <v/>
      </c>
      <c r="H318" t="str">
        <f t="shared" si="18"/>
        <v>HEXTJU</v>
      </c>
      <c r="I318">
        <f>CHOOSE($C318,N(INDEX(REPORTE!$F:$F,$B318))+N(INDEX(REPORTE!$G:$G,$B318)),N(INDEX(REPORTE!$H:$H,$B318)),N(INDEX(REPORTE!$I:$I,$B318)))</f>
        <v>0</v>
      </c>
      <c r="J318">
        <f t="shared" si="19"/>
        <v>0</v>
      </c>
      <c r="K318">
        <f>SUM($J$2:$J318)</f>
        <v>3</v>
      </c>
    </row>
    <row r="319" spans="1:11" x14ac:dyDescent="0.25">
      <c r="A319">
        <v>318</v>
      </c>
      <c r="B319">
        <f t="shared" si="16"/>
        <v>123</v>
      </c>
      <c r="C319">
        <f t="shared" si="17"/>
        <v>3</v>
      </c>
      <c r="D319" t="str">
        <f>IF(INDEX(REPORTE!$B:$B,$B319)="","",INDEX(REPORTE!$B:$B,$B319))</f>
        <v/>
      </c>
      <c r="E319" t="str">
        <f>IF($D319="","",IFERROR(VLOOKUP($D319,BD_PLANTA!$A:$F,6,0),""))</f>
        <v/>
      </c>
      <c r="F319" t="str">
        <f>INDEX(REPORTE!$D:$D,$B319)</f>
        <v/>
      </c>
      <c r="G319" t="str">
        <f>INDEX(REPORTE!$E:$E,$B319)</f>
        <v/>
      </c>
      <c r="H319" t="str">
        <f t="shared" si="18"/>
        <v>HEXTADUL</v>
      </c>
      <c r="I319">
        <f>CHOOSE($C319,N(INDEX(REPORTE!$F:$F,$B319))+N(INDEX(REPORTE!$G:$G,$B319)),N(INDEX(REPORTE!$H:$H,$B319)),N(INDEX(REPORTE!$I:$I,$B319)))</f>
        <v>0</v>
      </c>
      <c r="J319">
        <f t="shared" si="19"/>
        <v>0</v>
      </c>
      <c r="K319">
        <f>SUM($J$2:$J319)</f>
        <v>3</v>
      </c>
    </row>
    <row r="320" spans="1:11" x14ac:dyDescent="0.25">
      <c r="A320">
        <v>319</v>
      </c>
      <c r="B320">
        <f t="shared" si="16"/>
        <v>124</v>
      </c>
      <c r="C320">
        <f t="shared" si="17"/>
        <v>1</v>
      </c>
      <c r="D320" t="str">
        <f>IF(INDEX(REPORTE!$B:$B,$B320)="","",INDEX(REPORTE!$B:$B,$B320))</f>
        <v/>
      </c>
      <c r="E320" t="str">
        <f>IF($D320="","",IFERROR(VLOOKUP($D320,BD_PLANTA!$A:$F,6,0),""))</f>
        <v/>
      </c>
      <c r="F320" t="str">
        <f>INDEX(REPORTE!$D:$D,$B320)</f>
        <v/>
      </c>
      <c r="G320" t="str">
        <f>INDEX(REPORTE!$E:$E,$B320)</f>
        <v/>
      </c>
      <c r="H320" t="str">
        <f t="shared" si="18"/>
        <v>HEXTREG</v>
      </c>
      <c r="I320">
        <f>CHOOSE($C320,N(INDEX(REPORTE!$F:$F,$B320))+N(INDEX(REPORTE!$G:$G,$B320)),N(INDEX(REPORTE!$H:$H,$B320)),N(INDEX(REPORTE!$I:$I,$B320)))</f>
        <v>0</v>
      </c>
      <c r="J320">
        <f t="shared" si="19"/>
        <v>0</v>
      </c>
      <c r="K320">
        <f>SUM($J$2:$J320)</f>
        <v>3</v>
      </c>
    </row>
    <row r="321" spans="1:11" x14ac:dyDescent="0.25">
      <c r="A321">
        <v>320</v>
      </c>
      <c r="B321">
        <f t="shared" si="16"/>
        <v>124</v>
      </c>
      <c r="C321">
        <f t="shared" si="17"/>
        <v>2</v>
      </c>
      <c r="D321" t="str">
        <f>IF(INDEX(REPORTE!$B:$B,$B321)="","",INDEX(REPORTE!$B:$B,$B321))</f>
        <v/>
      </c>
      <c r="E321" t="str">
        <f>IF($D321="","",IFERROR(VLOOKUP($D321,BD_PLANTA!$A:$F,6,0),""))</f>
        <v/>
      </c>
      <c r="F321" t="str">
        <f>INDEX(REPORTE!$D:$D,$B321)</f>
        <v/>
      </c>
      <c r="G321" t="str">
        <f>INDEX(REPORTE!$E:$E,$B321)</f>
        <v/>
      </c>
      <c r="H321" t="str">
        <f t="shared" si="18"/>
        <v>HEXTJU</v>
      </c>
      <c r="I321">
        <f>CHOOSE($C321,N(INDEX(REPORTE!$F:$F,$B321))+N(INDEX(REPORTE!$G:$G,$B321)),N(INDEX(REPORTE!$H:$H,$B321)),N(INDEX(REPORTE!$I:$I,$B321)))</f>
        <v>0</v>
      </c>
      <c r="J321">
        <f t="shared" si="19"/>
        <v>0</v>
      </c>
      <c r="K321">
        <f>SUM($J$2:$J321)</f>
        <v>3</v>
      </c>
    </row>
    <row r="322" spans="1:11" x14ac:dyDescent="0.25">
      <c r="A322">
        <v>321</v>
      </c>
      <c r="B322">
        <f t="shared" ref="B322:B361" si="20">18+INT(($A322-1)/3)</f>
        <v>124</v>
      </c>
      <c r="C322">
        <f t="shared" ref="C322:C361" si="21">MOD($A322-1,3)+1</f>
        <v>3</v>
      </c>
      <c r="D322" t="str">
        <f>IF(INDEX(REPORTE!$B:$B,$B322)="","",INDEX(REPORTE!$B:$B,$B322))</f>
        <v/>
      </c>
      <c r="E322" t="str">
        <f>IF($D322="","",IFERROR(VLOOKUP($D322,BD_PLANTA!$A:$F,6,0),""))</f>
        <v/>
      </c>
      <c r="F322" t="str">
        <f>INDEX(REPORTE!$D:$D,$B322)</f>
        <v/>
      </c>
      <c r="G322" t="str">
        <f>INDEX(REPORTE!$E:$E,$B322)</f>
        <v/>
      </c>
      <c r="H322" t="str">
        <f t="shared" ref="H322:H361" si="22">CHOOSE($C322,"HEXTREG","HEXTJU","HEXTADUL")</f>
        <v>HEXTADUL</v>
      </c>
      <c r="I322">
        <f>CHOOSE($C322,N(INDEX(REPORTE!$F:$F,$B322))+N(INDEX(REPORTE!$G:$G,$B322)),N(INDEX(REPORTE!$H:$H,$B322)),N(INDEX(REPORTE!$I:$I,$B322)))</f>
        <v>0</v>
      </c>
      <c r="J322">
        <f t="shared" ref="J322:J361" si="23">IF(AND($D322&lt;&gt;"",$I322&gt;0),1,0)</f>
        <v>0</v>
      </c>
      <c r="K322">
        <f>SUM($J$2:$J322)</f>
        <v>3</v>
      </c>
    </row>
    <row r="323" spans="1:11" x14ac:dyDescent="0.25">
      <c r="A323">
        <v>322</v>
      </c>
      <c r="B323">
        <f t="shared" si="20"/>
        <v>125</v>
      </c>
      <c r="C323">
        <f t="shared" si="21"/>
        <v>1</v>
      </c>
      <c r="D323" t="str">
        <f>IF(INDEX(REPORTE!$B:$B,$B323)="","",INDEX(REPORTE!$B:$B,$B323))</f>
        <v/>
      </c>
      <c r="E323" t="str">
        <f>IF($D323="","",IFERROR(VLOOKUP($D323,BD_PLANTA!$A:$F,6,0),""))</f>
        <v/>
      </c>
      <c r="F323" t="str">
        <f>INDEX(REPORTE!$D:$D,$B323)</f>
        <v/>
      </c>
      <c r="G323" t="str">
        <f>INDEX(REPORTE!$E:$E,$B323)</f>
        <v/>
      </c>
      <c r="H323" t="str">
        <f t="shared" si="22"/>
        <v>HEXTREG</v>
      </c>
      <c r="I323">
        <f>CHOOSE($C323,N(INDEX(REPORTE!$F:$F,$B323))+N(INDEX(REPORTE!$G:$G,$B323)),N(INDEX(REPORTE!$H:$H,$B323)),N(INDEX(REPORTE!$I:$I,$B323)))</f>
        <v>0</v>
      </c>
      <c r="J323">
        <f t="shared" si="23"/>
        <v>0</v>
      </c>
      <c r="K323">
        <f>SUM($J$2:$J323)</f>
        <v>3</v>
      </c>
    </row>
    <row r="324" spans="1:11" x14ac:dyDescent="0.25">
      <c r="A324">
        <v>323</v>
      </c>
      <c r="B324">
        <f t="shared" si="20"/>
        <v>125</v>
      </c>
      <c r="C324">
        <f t="shared" si="21"/>
        <v>2</v>
      </c>
      <c r="D324" t="str">
        <f>IF(INDEX(REPORTE!$B:$B,$B324)="","",INDEX(REPORTE!$B:$B,$B324))</f>
        <v/>
      </c>
      <c r="E324" t="str">
        <f>IF($D324="","",IFERROR(VLOOKUP($D324,BD_PLANTA!$A:$F,6,0),""))</f>
        <v/>
      </c>
      <c r="F324" t="str">
        <f>INDEX(REPORTE!$D:$D,$B324)</f>
        <v/>
      </c>
      <c r="G324" t="str">
        <f>INDEX(REPORTE!$E:$E,$B324)</f>
        <v/>
      </c>
      <c r="H324" t="str">
        <f t="shared" si="22"/>
        <v>HEXTJU</v>
      </c>
      <c r="I324">
        <f>CHOOSE($C324,N(INDEX(REPORTE!$F:$F,$B324))+N(INDEX(REPORTE!$G:$G,$B324)),N(INDEX(REPORTE!$H:$H,$B324)),N(INDEX(REPORTE!$I:$I,$B324)))</f>
        <v>0</v>
      </c>
      <c r="J324">
        <f t="shared" si="23"/>
        <v>0</v>
      </c>
      <c r="K324">
        <f>SUM($J$2:$J324)</f>
        <v>3</v>
      </c>
    </row>
    <row r="325" spans="1:11" x14ac:dyDescent="0.25">
      <c r="A325">
        <v>324</v>
      </c>
      <c r="B325">
        <f t="shared" si="20"/>
        <v>125</v>
      </c>
      <c r="C325">
        <f t="shared" si="21"/>
        <v>3</v>
      </c>
      <c r="D325" t="str">
        <f>IF(INDEX(REPORTE!$B:$B,$B325)="","",INDEX(REPORTE!$B:$B,$B325))</f>
        <v/>
      </c>
      <c r="E325" t="str">
        <f>IF($D325="","",IFERROR(VLOOKUP($D325,BD_PLANTA!$A:$F,6,0),""))</f>
        <v/>
      </c>
      <c r="F325" t="str">
        <f>INDEX(REPORTE!$D:$D,$B325)</f>
        <v/>
      </c>
      <c r="G325" t="str">
        <f>INDEX(REPORTE!$E:$E,$B325)</f>
        <v/>
      </c>
      <c r="H325" t="str">
        <f t="shared" si="22"/>
        <v>HEXTADUL</v>
      </c>
      <c r="I325">
        <f>CHOOSE($C325,N(INDEX(REPORTE!$F:$F,$B325))+N(INDEX(REPORTE!$G:$G,$B325)),N(INDEX(REPORTE!$H:$H,$B325)),N(INDEX(REPORTE!$I:$I,$B325)))</f>
        <v>0</v>
      </c>
      <c r="J325">
        <f t="shared" si="23"/>
        <v>0</v>
      </c>
      <c r="K325">
        <f>SUM($J$2:$J325)</f>
        <v>3</v>
      </c>
    </row>
    <row r="326" spans="1:11" x14ac:dyDescent="0.25">
      <c r="A326">
        <v>325</v>
      </c>
      <c r="B326">
        <f t="shared" si="20"/>
        <v>126</v>
      </c>
      <c r="C326">
        <f t="shared" si="21"/>
        <v>1</v>
      </c>
      <c r="D326" t="str">
        <f>IF(INDEX(REPORTE!$B:$B,$B326)="","",INDEX(REPORTE!$B:$B,$B326))</f>
        <v/>
      </c>
      <c r="E326" t="str">
        <f>IF($D326="","",IFERROR(VLOOKUP($D326,BD_PLANTA!$A:$F,6,0),""))</f>
        <v/>
      </c>
      <c r="F326" t="str">
        <f>INDEX(REPORTE!$D:$D,$B326)</f>
        <v/>
      </c>
      <c r="G326" t="str">
        <f>INDEX(REPORTE!$E:$E,$B326)</f>
        <v/>
      </c>
      <c r="H326" t="str">
        <f t="shared" si="22"/>
        <v>HEXTREG</v>
      </c>
      <c r="I326">
        <f>CHOOSE($C326,N(INDEX(REPORTE!$F:$F,$B326))+N(INDEX(REPORTE!$G:$G,$B326)),N(INDEX(REPORTE!$H:$H,$B326)),N(INDEX(REPORTE!$I:$I,$B326)))</f>
        <v>0</v>
      </c>
      <c r="J326">
        <f t="shared" si="23"/>
        <v>0</v>
      </c>
      <c r="K326">
        <f>SUM($J$2:$J326)</f>
        <v>3</v>
      </c>
    </row>
    <row r="327" spans="1:11" x14ac:dyDescent="0.25">
      <c r="A327">
        <v>326</v>
      </c>
      <c r="B327">
        <f t="shared" si="20"/>
        <v>126</v>
      </c>
      <c r="C327">
        <f t="shared" si="21"/>
        <v>2</v>
      </c>
      <c r="D327" t="str">
        <f>IF(INDEX(REPORTE!$B:$B,$B327)="","",INDEX(REPORTE!$B:$B,$B327))</f>
        <v/>
      </c>
      <c r="E327" t="str">
        <f>IF($D327="","",IFERROR(VLOOKUP($D327,BD_PLANTA!$A:$F,6,0),""))</f>
        <v/>
      </c>
      <c r="F327" t="str">
        <f>INDEX(REPORTE!$D:$D,$B327)</f>
        <v/>
      </c>
      <c r="G327" t="str">
        <f>INDEX(REPORTE!$E:$E,$B327)</f>
        <v/>
      </c>
      <c r="H327" t="str">
        <f t="shared" si="22"/>
        <v>HEXTJU</v>
      </c>
      <c r="I327">
        <f>CHOOSE($C327,N(INDEX(REPORTE!$F:$F,$B327))+N(INDEX(REPORTE!$G:$G,$B327)),N(INDEX(REPORTE!$H:$H,$B327)),N(INDEX(REPORTE!$I:$I,$B327)))</f>
        <v>0</v>
      </c>
      <c r="J327">
        <f t="shared" si="23"/>
        <v>0</v>
      </c>
      <c r="K327">
        <f>SUM($J$2:$J327)</f>
        <v>3</v>
      </c>
    </row>
    <row r="328" spans="1:11" x14ac:dyDescent="0.25">
      <c r="A328">
        <v>327</v>
      </c>
      <c r="B328">
        <f t="shared" si="20"/>
        <v>126</v>
      </c>
      <c r="C328">
        <f t="shared" si="21"/>
        <v>3</v>
      </c>
      <c r="D328" t="str">
        <f>IF(INDEX(REPORTE!$B:$B,$B328)="","",INDEX(REPORTE!$B:$B,$B328))</f>
        <v/>
      </c>
      <c r="E328" t="str">
        <f>IF($D328="","",IFERROR(VLOOKUP($D328,BD_PLANTA!$A:$F,6,0),""))</f>
        <v/>
      </c>
      <c r="F328" t="str">
        <f>INDEX(REPORTE!$D:$D,$B328)</f>
        <v/>
      </c>
      <c r="G328" t="str">
        <f>INDEX(REPORTE!$E:$E,$B328)</f>
        <v/>
      </c>
      <c r="H328" t="str">
        <f t="shared" si="22"/>
        <v>HEXTADUL</v>
      </c>
      <c r="I328">
        <f>CHOOSE($C328,N(INDEX(REPORTE!$F:$F,$B328))+N(INDEX(REPORTE!$G:$G,$B328)),N(INDEX(REPORTE!$H:$H,$B328)),N(INDEX(REPORTE!$I:$I,$B328)))</f>
        <v>0</v>
      </c>
      <c r="J328">
        <f t="shared" si="23"/>
        <v>0</v>
      </c>
      <c r="K328">
        <f>SUM($J$2:$J328)</f>
        <v>3</v>
      </c>
    </row>
    <row r="329" spans="1:11" x14ac:dyDescent="0.25">
      <c r="A329">
        <v>328</v>
      </c>
      <c r="B329">
        <f t="shared" si="20"/>
        <v>127</v>
      </c>
      <c r="C329">
        <f t="shared" si="21"/>
        <v>1</v>
      </c>
      <c r="D329" t="str">
        <f>IF(INDEX(REPORTE!$B:$B,$B329)="","",INDEX(REPORTE!$B:$B,$B329))</f>
        <v/>
      </c>
      <c r="E329" t="str">
        <f>IF($D329="","",IFERROR(VLOOKUP($D329,BD_PLANTA!$A:$F,6,0),""))</f>
        <v/>
      </c>
      <c r="F329" t="str">
        <f>INDEX(REPORTE!$D:$D,$B329)</f>
        <v/>
      </c>
      <c r="G329" t="str">
        <f>INDEX(REPORTE!$E:$E,$B329)</f>
        <v/>
      </c>
      <c r="H329" t="str">
        <f t="shared" si="22"/>
        <v>HEXTREG</v>
      </c>
      <c r="I329">
        <f>CHOOSE($C329,N(INDEX(REPORTE!$F:$F,$B329))+N(INDEX(REPORTE!$G:$G,$B329)),N(INDEX(REPORTE!$H:$H,$B329)),N(INDEX(REPORTE!$I:$I,$B329)))</f>
        <v>0</v>
      </c>
      <c r="J329">
        <f t="shared" si="23"/>
        <v>0</v>
      </c>
      <c r="K329">
        <f>SUM($J$2:$J329)</f>
        <v>3</v>
      </c>
    </row>
    <row r="330" spans="1:11" x14ac:dyDescent="0.25">
      <c r="A330">
        <v>329</v>
      </c>
      <c r="B330">
        <f t="shared" si="20"/>
        <v>127</v>
      </c>
      <c r="C330">
        <f t="shared" si="21"/>
        <v>2</v>
      </c>
      <c r="D330" t="str">
        <f>IF(INDEX(REPORTE!$B:$B,$B330)="","",INDEX(REPORTE!$B:$B,$B330))</f>
        <v/>
      </c>
      <c r="E330" t="str">
        <f>IF($D330="","",IFERROR(VLOOKUP($D330,BD_PLANTA!$A:$F,6,0),""))</f>
        <v/>
      </c>
      <c r="F330" t="str">
        <f>INDEX(REPORTE!$D:$D,$B330)</f>
        <v/>
      </c>
      <c r="G330" t="str">
        <f>INDEX(REPORTE!$E:$E,$B330)</f>
        <v/>
      </c>
      <c r="H330" t="str">
        <f t="shared" si="22"/>
        <v>HEXTJU</v>
      </c>
      <c r="I330">
        <f>CHOOSE($C330,N(INDEX(REPORTE!$F:$F,$B330))+N(INDEX(REPORTE!$G:$G,$B330)),N(INDEX(REPORTE!$H:$H,$B330)),N(INDEX(REPORTE!$I:$I,$B330)))</f>
        <v>0</v>
      </c>
      <c r="J330">
        <f t="shared" si="23"/>
        <v>0</v>
      </c>
      <c r="K330">
        <f>SUM($J$2:$J330)</f>
        <v>3</v>
      </c>
    </row>
    <row r="331" spans="1:11" x14ac:dyDescent="0.25">
      <c r="A331">
        <v>330</v>
      </c>
      <c r="B331">
        <f t="shared" si="20"/>
        <v>127</v>
      </c>
      <c r="C331">
        <f t="shared" si="21"/>
        <v>3</v>
      </c>
      <c r="D331" t="str">
        <f>IF(INDEX(REPORTE!$B:$B,$B331)="","",INDEX(REPORTE!$B:$B,$B331))</f>
        <v/>
      </c>
      <c r="E331" t="str">
        <f>IF($D331="","",IFERROR(VLOOKUP($D331,BD_PLANTA!$A:$F,6,0),""))</f>
        <v/>
      </c>
      <c r="F331" t="str">
        <f>INDEX(REPORTE!$D:$D,$B331)</f>
        <v/>
      </c>
      <c r="G331" t="str">
        <f>INDEX(REPORTE!$E:$E,$B331)</f>
        <v/>
      </c>
      <c r="H331" t="str">
        <f t="shared" si="22"/>
        <v>HEXTADUL</v>
      </c>
      <c r="I331">
        <f>CHOOSE($C331,N(INDEX(REPORTE!$F:$F,$B331))+N(INDEX(REPORTE!$G:$G,$B331)),N(INDEX(REPORTE!$H:$H,$B331)),N(INDEX(REPORTE!$I:$I,$B331)))</f>
        <v>0</v>
      </c>
      <c r="J331">
        <f t="shared" si="23"/>
        <v>0</v>
      </c>
      <c r="K331">
        <f>SUM($J$2:$J331)</f>
        <v>3</v>
      </c>
    </row>
    <row r="332" spans="1:11" x14ac:dyDescent="0.25">
      <c r="A332">
        <v>331</v>
      </c>
      <c r="B332">
        <f t="shared" si="20"/>
        <v>128</v>
      </c>
      <c r="C332">
        <f t="shared" si="21"/>
        <v>1</v>
      </c>
      <c r="D332" t="str">
        <f>IF(INDEX(REPORTE!$B:$B,$B332)="","",INDEX(REPORTE!$B:$B,$B332))</f>
        <v/>
      </c>
      <c r="E332" t="str">
        <f>IF($D332="","",IFERROR(VLOOKUP($D332,BD_PLANTA!$A:$F,6,0),""))</f>
        <v/>
      </c>
      <c r="F332" t="str">
        <f>INDEX(REPORTE!$D:$D,$B332)</f>
        <v/>
      </c>
      <c r="G332" t="str">
        <f>INDEX(REPORTE!$E:$E,$B332)</f>
        <v/>
      </c>
      <c r="H332" t="str">
        <f t="shared" si="22"/>
        <v>HEXTREG</v>
      </c>
      <c r="I332">
        <f>CHOOSE($C332,N(INDEX(REPORTE!$F:$F,$B332))+N(INDEX(REPORTE!$G:$G,$B332)),N(INDEX(REPORTE!$H:$H,$B332)),N(INDEX(REPORTE!$I:$I,$B332)))</f>
        <v>0</v>
      </c>
      <c r="J332">
        <f t="shared" si="23"/>
        <v>0</v>
      </c>
      <c r="K332">
        <f>SUM($J$2:$J332)</f>
        <v>3</v>
      </c>
    </row>
    <row r="333" spans="1:11" x14ac:dyDescent="0.25">
      <c r="A333">
        <v>332</v>
      </c>
      <c r="B333">
        <f t="shared" si="20"/>
        <v>128</v>
      </c>
      <c r="C333">
        <f t="shared" si="21"/>
        <v>2</v>
      </c>
      <c r="D333" t="str">
        <f>IF(INDEX(REPORTE!$B:$B,$B333)="","",INDEX(REPORTE!$B:$B,$B333))</f>
        <v/>
      </c>
      <c r="E333" t="str">
        <f>IF($D333="","",IFERROR(VLOOKUP($D333,BD_PLANTA!$A:$F,6,0),""))</f>
        <v/>
      </c>
      <c r="F333" t="str">
        <f>INDEX(REPORTE!$D:$D,$B333)</f>
        <v/>
      </c>
      <c r="G333" t="str">
        <f>INDEX(REPORTE!$E:$E,$B333)</f>
        <v/>
      </c>
      <c r="H333" t="str">
        <f t="shared" si="22"/>
        <v>HEXTJU</v>
      </c>
      <c r="I333">
        <f>CHOOSE($C333,N(INDEX(REPORTE!$F:$F,$B333))+N(INDEX(REPORTE!$G:$G,$B333)),N(INDEX(REPORTE!$H:$H,$B333)),N(INDEX(REPORTE!$I:$I,$B333)))</f>
        <v>0</v>
      </c>
      <c r="J333">
        <f t="shared" si="23"/>
        <v>0</v>
      </c>
      <c r="K333">
        <f>SUM($J$2:$J333)</f>
        <v>3</v>
      </c>
    </row>
    <row r="334" spans="1:11" x14ac:dyDescent="0.25">
      <c r="A334">
        <v>333</v>
      </c>
      <c r="B334">
        <f t="shared" si="20"/>
        <v>128</v>
      </c>
      <c r="C334">
        <f t="shared" si="21"/>
        <v>3</v>
      </c>
      <c r="D334" t="str">
        <f>IF(INDEX(REPORTE!$B:$B,$B334)="","",INDEX(REPORTE!$B:$B,$B334))</f>
        <v/>
      </c>
      <c r="E334" t="str">
        <f>IF($D334="","",IFERROR(VLOOKUP($D334,BD_PLANTA!$A:$F,6,0),""))</f>
        <v/>
      </c>
      <c r="F334" t="str">
        <f>INDEX(REPORTE!$D:$D,$B334)</f>
        <v/>
      </c>
      <c r="G334" t="str">
        <f>INDEX(REPORTE!$E:$E,$B334)</f>
        <v/>
      </c>
      <c r="H334" t="str">
        <f t="shared" si="22"/>
        <v>HEXTADUL</v>
      </c>
      <c r="I334">
        <f>CHOOSE($C334,N(INDEX(REPORTE!$F:$F,$B334))+N(INDEX(REPORTE!$G:$G,$B334)),N(INDEX(REPORTE!$H:$H,$B334)),N(INDEX(REPORTE!$I:$I,$B334)))</f>
        <v>0</v>
      </c>
      <c r="J334">
        <f t="shared" si="23"/>
        <v>0</v>
      </c>
      <c r="K334">
        <f>SUM($J$2:$J334)</f>
        <v>3</v>
      </c>
    </row>
    <row r="335" spans="1:11" x14ac:dyDescent="0.25">
      <c r="A335">
        <v>334</v>
      </c>
      <c r="B335">
        <f t="shared" si="20"/>
        <v>129</v>
      </c>
      <c r="C335">
        <f t="shared" si="21"/>
        <v>1</v>
      </c>
      <c r="D335" t="str">
        <f>IF(INDEX(REPORTE!$B:$B,$B335)="","",INDEX(REPORTE!$B:$B,$B335))</f>
        <v/>
      </c>
      <c r="E335" t="str">
        <f>IF($D335="","",IFERROR(VLOOKUP($D335,BD_PLANTA!$A:$F,6,0),""))</f>
        <v/>
      </c>
      <c r="F335" t="str">
        <f>INDEX(REPORTE!$D:$D,$B335)</f>
        <v/>
      </c>
      <c r="G335" t="str">
        <f>INDEX(REPORTE!$E:$E,$B335)</f>
        <v/>
      </c>
      <c r="H335" t="str">
        <f t="shared" si="22"/>
        <v>HEXTREG</v>
      </c>
      <c r="I335">
        <f>CHOOSE($C335,N(INDEX(REPORTE!$F:$F,$B335))+N(INDEX(REPORTE!$G:$G,$B335)),N(INDEX(REPORTE!$H:$H,$B335)),N(INDEX(REPORTE!$I:$I,$B335)))</f>
        <v>0</v>
      </c>
      <c r="J335">
        <f t="shared" si="23"/>
        <v>0</v>
      </c>
      <c r="K335">
        <f>SUM($J$2:$J335)</f>
        <v>3</v>
      </c>
    </row>
    <row r="336" spans="1:11" x14ac:dyDescent="0.25">
      <c r="A336">
        <v>335</v>
      </c>
      <c r="B336">
        <f t="shared" si="20"/>
        <v>129</v>
      </c>
      <c r="C336">
        <f t="shared" si="21"/>
        <v>2</v>
      </c>
      <c r="D336" t="str">
        <f>IF(INDEX(REPORTE!$B:$B,$B336)="","",INDEX(REPORTE!$B:$B,$B336))</f>
        <v/>
      </c>
      <c r="E336" t="str">
        <f>IF($D336="","",IFERROR(VLOOKUP($D336,BD_PLANTA!$A:$F,6,0),""))</f>
        <v/>
      </c>
      <c r="F336" t="str">
        <f>INDEX(REPORTE!$D:$D,$B336)</f>
        <v/>
      </c>
      <c r="G336" t="str">
        <f>INDEX(REPORTE!$E:$E,$B336)</f>
        <v/>
      </c>
      <c r="H336" t="str">
        <f t="shared" si="22"/>
        <v>HEXTJU</v>
      </c>
      <c r="I336">
        <f>CHOOSE($C336,N(INDEX(REPORTE!$F:$F,$B336))+N(INDEX(REPORTE!$G:$G,$B336)),N(INDEX(REPORTE!$H:$H,$B336)),N(INDEX(REPORTE!$I:$I,$B336)))</f>
        <v>0</v>
      </c>
      <c r="J336">
        <f t="shared" si="23"/>
        <v>0</v>
      </c>
      <c r="K336">
        <f>SUM($J$2:$J336)</f>
        <v>3</v>
      </c>
    </row>
    <row r="337" spans="1:11" x14ac:dyDescent="0.25">
      <c r="A337">
        <v>336</v>
      </c>
      <c r="B337">
        <f t="shared" si="20"/>
        <v>129</v>
      </c>
      <c r="C337">
        <f t="shared" si="21"/>
        <v>3</v>
      </c>
      <c r="D337" t="str">
        <f>IF(INDEX(REPORTE!$B:$B,$B337)="","",INDEX(REPORTE!$B:$B,$B337))</f>
        <v/>
      </c>
      <c r="E337" t="str">
        <f>IF($D337="","",IFERROR(VLOOKUP($D337,BD_PLANTA!$A:$F,6,0),""))</f>
        <v/>
      </c>
      <c r="F337" t="str">
        <f>INDEX(REPORTE!$D:$D,$B337)</f>
        <v/>
      </c>
      <c r="G337" t="str">
        <f>INDEX(REPORTE!$E:$E,$B337)</f>
        <v/>
      </c>
      <c r="H337" t="str">
        <f t="shared" si="22"/>
        <v>HEXTADUL</v>
      </c>
      <c r="I337">
        <f>CHOOSE($C337,N(INDEX(REPORTE!$F:$F,$B337))+N(INDEX(REPORTE!$G:$G,$B337)),N(INDEX(REPORTE!$H:$H,$B337)),N(INDEX(REPORTE!$I:$I,$B337)))</f>
        <v>0</v>
      </c>
      <c r="J337">
        <f t="shared" si="23"/>
        <v>0</v>
      </c>
      <c r="K337">
        <f>SUM($J$2:$J337)</f>
        <v>3</v>
      </c>
    </row>
    <row r="338" spans="1:11" x14ac:dyDescent="0.25">
      <c r="A338">
        <v>337</v>
      </c>
      <c r="B338">
        <f t="shared" si="20"/>
        <v>130</v>
      </c>
      <c r="C338">
        <f t="shared" si="21"/>
        <v>1</v>
      </c>
      <c r="D338" t="str">
        <f>IF(INDEX(REPORTE!$B:$B,$B338)="","",INDEX(REPORTE!$B:$B,$B338))</f>
        <v/>
      </c>
      <c r="E338" t="str">
        <f>IF($D338="","",IFERROR(VLOOKUP($D338,BD_PLANTA!$A:$F,6,0),""))</f>
        <v/>
      </c>
      <c r="F338" t="str">
        <f>INDEX(REPORTE!$D:$D,$B338)</f>
        <v/>
      </c>
      <c r="G338" t="str">
        <f>INDEX(REPORTE!$E:$E,$B338)</f>
        <v/>
      </c>
      <c r="H338" t="str">
        <f t="shared" si="22"/>
        <v>HEXTREG</v>
      </c>
      <c r="I338">
        <f>CHOOSE($C338,N(INDEX(REPORTE!$F:$F,$B338))+N(INDEX(REPORTE!$G:$G,$B338)),N(INDEX(REPORTE!$H:$H,$B338)),N(INDEX(REPORTE!$I:$I,$B338)))</f>
        <v>0</v>
      </c>
      <c r="J338">
        <f t="shared" si="23"/>
        <v>0</v>
      </c>
      <c r="K338">
        <f>SUM($J$2:$J338)</f>
        <v>3</v>
      </c>
    </row>
    <row r="339" spans="1:11" x14ac:dyDescent="0.25">
      <c r="A339">
        <v>338</v>
      </c>
      <c r="B339">
        <f t="shared" si="20"/>
        <v>130</v>
      </c>
      <c r="C339">
        <f t="shared" si="21"/>
        <v>2</v>
      </c>
      <c r="D339" t="str">
        <f>IF(INDEX(REPORTE!$B:$B,$B339)="","",INDEX(REPORTE!$B:$B,$B339))</f>
        <v/>
      </c>
      <c r="E339" t="str">
        <f>IF($D339="","",IFERROR(VLOOKUP($D339,BD_PLANTA!$A:$F,6,0),""))</f>
        <v/>
      </c>
      <c r="F339" t="str">
        <f>INDEX(REPORTE!$D:$D,$B339)</f>
        <v/>
      </c>
      <c r="G339" t="str">
        <f>INDEX(REPORTE!$E:$E,$B339)</f>
        <v/>
      </c>
      <c r="H339" t="str">
        <f t="shared" si="22"/>
        <v>HEXTJU</v>
      </c>
      <c r="I339">
        <f>CHOOSE($C339,N(INDEX(REPORTE!$F:$F,$B339))+N(INDEX(REPORTE!$G:$G,$B339)),N(INDEX(REPORTE!$H:$H,$B339)),N(INDEX(REPORTE!$I:$I,$B339)))</f>
        <v>0</v>
      </c>
      <c r="J339">
        <f t="shared" si="23"/>
        <v>0</v>
      </c>
      <c r="K339">
        <f>SUM($J$2:$J339)</f>
        <v>3</v>
      </c>
    </row>
    <row r="340" spans="1:11" x14ac:dyDescent="0.25">
      <c r="A340">
        <v>339</v>
      </c>
      <c r="B340">
        <f t="shared" si="20"/>
        <v>130</v>
      </c>
      <c r="C340">
        <f t="shared" si="21"/>
        <v>3</v>
      </c>
      <c r="D340" t="str">
        <f>IF(INDEX(REPORTE!$B:$B,$B340)="","",INDEX(REPORTE!$B:$B,$B340))</f>
        <v/>
      </c>
      <c r="E340" t="str">
        <f>IF($D340="","",IFERROR(VLOOKUP($D340,BD_PLANTA!$A:$F,6,0),""))</f>
        <v/>
      </c>
      <c r="F340" t="str">
        <f>INDEX(REPORTE!$D:$D,$B340)</f>
        <v/>
      </c>
      <c r="G340" t="str">
        <f>INDEX(REPORTE!$E:$E,$B340)</f>
        <v/>
      </c>
      <c r="H340" t="str">
        <f t="shared" si="22"/>
        <v>HEXTADUL</v>
      </c>
      <c r="I340">
        <f>CHOOSE($C340,N(INDEX(REPORTE!$F:$F,$B340))+N(INDEX(REPORTE!$G:$G,$B340)),N(INDEX(REPORTE!$H:$H,$B340)),N(INDEX(REPORTE!$I:$I,$B340)))</f>
        <v>0</v>
      </c>
      <c r="J340">
        <f t="shared" si="23"/>
        <v>0</v>
      </c>
      <c r="K340">
        <f>SUM($J$2:$J340)</f>
        <v>3</v>
      </c>
    </row>
    <row r="341" spans="1:11" x14ac:dyDescent="0.25">
      <c r="A341">
        <v>340</v>
      </c>
      <c r="B341">
        <f t="shared" si="20"/>
        <v>131</v>
      </c>
      <c r="C341">
        <f t="shared" si="21"/>
        <v>1</v>
      </c>
      <c r="D341" t="str">
        <f>IF(INDEX(REPORTE!$B:$B,$B341)="","",INDEX(REPORTE!$B:$B,$B341))</f>
        <v/>
      </c>
      <c r="E341" t="str">
        <f>IF($D341="","",IFERROR(VLOOKUP($D341,BD_PLANTA!$A:$F,6,0),""))</f>
        <v/>
      </c>
      <c r="F341" t="str">
        <f>INDEX(REPORTE!$D:$D,$B341)</f>
        <v/>
      </c>
      <c r="G341" t="str">
        <f>INDEX(REPORTE!$E:$E,$B341)</f>
        <v/>
      </c>
      <c r="H341" t="str">
        <f t="shared" si="22"/>
        <v>HEXTREG</v>
      </c>
      <c r="I341">
        <f>CHOOSE($C341,N(INDEX(REPORTE!$F:$F,$B341))+N(INDEX(REPORTE!$G:$G,$B341)),N(INDEX(REPORTE!$H:$H,$B341)),N(INDEX(REPORTE!$I:$I,$B341)))</f>
        <v>0</v>
      </c>
      <c r="J341">
        <f t="shared" si="23"/>
        <v>0</v>
      </c>
      <c r="K341">
        <f>SUM($J$2:$J341)</f>
        <v>3</v>
      </c>
    </row>
    <row r="342" spans="1:11" x14ac:dyDescent="0.25">
      <c r="A342">
        <v>341</v>
      </c>
      <c r="B342">
        <f t="shared" si="20"/>
        <v>131</v>
      </c>
      <c r="C342">
        <f t="shared" si="21"/>
        <v>2</v>
      </c>
      <c r="D342" t="str">
        <f>IF(INDEX(REPORTE!$B:$B,$B342)="","",INDEX(REPORTE!$B:$B,$B342))</f>
        <v/>
      </c>
      <c r="E342" t="str">
        <f>IF($D342="","",IFERROR(VLOOKUP($D342,BD_PLANTA!$A:$F,6,0),""))</f>
        <v/>
      </c>
      <c r="F342" t="str">
        <f>INDEX(REPORTE!$D:$D,$B342)</f>
        <v/>
      </c>
      <c r="G342" t="str">
        <f>INDEX(REPORTE!$E:$E,$B342)</f>
        <v/>
      </c>
      <c r="H342" t="str">
        <f t="shared" si="22"/>
        <v>HEXTJU</v>
      </c>
      <c r="I342">
        <f>CHOOSE($C342,N(INDEX(REPORTE!$F:$F,$B342))+N(INDEX(REPORTE!$G:$G,$B342)),N(INDEX(REPORTE!$H:$H,$B342)),N(INDEX(REPORTE!$I:$I,$B342)))</f>
        <v>0</v>
      </c>
      <c r="J342">
        <f t="shared" si="23"/>
        <v>0</v>
      </c>
      <c r="K342">
        <f>SUM($J$2:$J342)</f>
        <v>3</v>
      </c>
    </row>
    <row r="343" spans="1:11" x14ac:dyDescent="0.25">
      <c r="A343">
        <v>342</v>
      </c>
      <c r="B343">
        <f t="shared" si="20"/>
        <v>131</v>
      </c>
      <c r="C343">
        <f t="shared" si="21"/>
        <v>3</v>
      </c>
      <c r="D343" t="str">
        <f>IF(INDEX(REPORTE!$B:$B,$B343)="","",INDEX(REPORTE!$B:$B,$B343))</f>
        <v/>
      </c>
      <c r="E343" t="str">
        <f>IF($D343="","",IFERROR(VLOOKUP($D343,BD_PLANTA!$A:$F,6,0),""))</f>
        <v/>
      </c>
      <c r="F343" t="str">
        <f>INDEX(REPORTE!$D:$D,$B343)</f>
        <v/>
      </c>
      <c r="G343" t="str">
        <f>INDEX(REPORTE!$E:$E,$B343)</f>
        <v/>
      </c>
      <c r="H343" t="str">
        <f t="shared" si="22"/>
        <v>HEXTADUL</v>
      </c>
      <c r="I343">
        <f>CHOOSE($C343,N(INDEX(REPORTE!$F:$F,$B343))+N(INDEX(REPORTE!$G:$G,$B343)),N(INDEX(REPORTE!$H:$H,$B343)),N(INDEX(REPORTE!$I:$I,$B343)))</f>
        <v>0</v>
      </c>
      <c r="J343">
        <f t="shared" si="23"/>
        <v>0</v>
      </c>
      <c r="K343">
        <f>SUM($J$2:$J343)</f>
        <v>3</v>
      </c>
    </row>
    <row r="344" spans="1:11" x14ac:dyDescent="0.25">
      <c r="A344">
        <v>343</v>
      </c>
      <c r="B344">
        <f t="shared" si="20"/>
        <v>132</v>
      </c>
      <c r="C344">
        <f t="shared" si="21"/>
        <v>1</v>
      </c>
      <c r="D344" t="str">
        <f>IF(INDEX(REPORTE!$B:$B,$B344)="","",INDEX(REPORTE!$B:$B,$B344))</f>
        <v/>
      </c>
      <c r="E344" t="str">
        <f>IF($D344="","",IFERROR(VLOOKUP($D344,BD_PLANTA!$A:$F,6,0),""))</f>
        <v/>
      </c>
      <c r="F344" t="str">
        <f>INDEX(REPORTE!$D:$D,$B344)</f>
        <v/>
      </c>
      <c r="G344" t="str">
        <f>INDEX(REPORTE!$E:$E,$B344)</f>
        <v/>
      </c>
      <c r="H344" t="str">
        <f t="shared" si="22"/>
        <v>HEXTREG</v>
      </c>
      <c r="I344">
        <f>CHOOSE($C344,N(INDEX(REPORTE!$F:$F,$B344))+N(INDEX(REPORTE!$G:$G,$B344)),N(INDEX(REPORTE!$H:$H,$B344)),N(INDEX(REPORTE!$I:$I,$B344)))</f>
        <v>0</v>
      </c>
      <c r="J344">
        <f t="shared" si="23"/>
        <v>0</v>
      </c>
      <c r="K344">
        <f>SUM($J$2:$J344)</f>
        <v>3</v>
      </c>
    </row>
    <row r="345" spans="1:11" x14ac:dyDescent="0.25">
      <c r="A345">
        <v>344</v>
      </c>
      <c r="B345">
        <f t="shared" si="20"/>
        <v>132</v>
      </c>
      <c r="C345">
        <f t="shared" si="21"/>
        <v>2</v>
      </c>
      <c r="D345" t="str">
        <f>IF(INDEX(REPORTE!$B:$B,$B345)="","",INDEX(REPORTE!$B:$B,$B345))</f>
        <v/>
      </c>
      <c r="E345" t="str">
        <f>IF($D345="","",IFERROR(VLOOKUP($D345,BD_PLANTA!$A:$F,6,0),""))</f>
        <v/>
      </c>
      <c r="F345" t="str">
        <f>INDEX(REPORTE!$D:$D,$B345)</f>
        <v/>
      </c>
      <c r="G345" t="str">
        <f>INDEX(REPORTE!$E:$E,$B345)</f>
        <v/>
      </c>
      <c r="H345" t="str">
        <f t="shared" si="22"/>
        <v>HEXTJU</v>
      </c>
      <c r="I345">
        <f>CHOOSE($C345,N(INDEX(REPORTE!$F:$F,$B345))+N(INDEX(REPORTE!$G:$G,$B345)),N(INDEX(REPORTE!$H:$H,$B345)),N(INDEX(REPORTE!$I:$I,$B345)))</f>
        <v>0</v>
      </c>
      <c r="J345">
        <f t="shared" si="23"/>
        <v>0</v>
      </c>
      <c r="K345">
        <f>SUM($J$2:$J345)</f>
        <v>3</v>
      </c>
    </row>
    <row r="346" spans="1:11" x14ac:dyDescent="0.25">
      <c r="A346">
        <v>345</v>
      </c>
      <c r="B346">
        <f t="shared" si="20"/>
        <v>132</v>
      </c>
      <c r="C346">
        <f t="shared" si="21"/>
        <v>3</v>
      </c>
      <c r="D346" t="str">
        <f>IF(INDEX(REPORTE!$B:$B,$B346)="","",INDEX(REPORTE!$B:$B,$B346))</f>
        <v/>
      </c>
      <c r="E346" t="str">
        <f>IF($D346="","",IFERROR(VLOOKUP($D346,BD_PLANTA!$A:$F,6,0),""))</f>
        <v/>
      </c>
      <c r="F346" t="str">
        <f>INDEX(REPORTE!$D:$D,$B346)</f>
        <v/>
      </c>
      <c r="G346" t="str">
        <f>INDEX(REPORTE!$E:$E,$B346)</f>
        <v/>
      </c>
      <c r="H346" t="str">
        <f t="shared" si="22"/>
        <v>HEXTADUL</v>
      </c>
      <c r="I346">
        <f>CHOOSE($C346,N(INDEX(REPORTE!$F:$F,$B346))+N(INDEX(REPORTE!$G:$G,$B346)),N(INDEX(REPORTE!$H:$H,$B346)),N(INDEX(REPORTE!$I:$I,$B346)))</f>
        <v>0</v>
      </c>
      <c r="J346">
        <f t="shared" si="23"/>
        <v>0</v>
      </c>
      <c r="K346">
        <f>SUM($J$2:$J346)</f>
        <v>3</v>
      </c>
    </row>
    <row r="347" spans="1:11" x14ac:dyDescent="0.25">
      <c r="A347">
        <v>346</v>
      </c>
      <c r="B347">
        <f t="shared" si="20"/>
        <v>133</v>
      </c>
      <c r="C347">
        <f t="shared" si="21"/>
        <v>1</v>
      </c>
      <c r="D347" t="str">
        <f>IF(INDEX(REPORTE!$B:$B,$B347)="","",INDEX(REPORTE!$B:$B,$B347))</f>
        <v/>
      </c>
      <c r="E347" t="str">
        <f>IF($D347="","",IFERROR(VLOOKUP($D347,BD_PLANTA!$A:$F,6,0),""))</f>
        <v/>
      </c>
      <c r="F347" t="str">
        <f>INDEX(REPORTE!$D:$D,$B347)</f>
        <v/>
      </c>
      <c r="G347" t="str">
        <f>INDEX(REPORTE!$E:$E,$B347)</f>
        <v/>
      </c>
      <c r="H347" t="str">
        <f t="shared" si="22"/>
        <v>HEXTREG</v>
      </c>
      <c r="I347">
        <f>CHOOSE($C347,N(INDEX(REPORTE!$F:$F,$B347))+N(INDEX(REPORTE!$G:$G,$B347)),N(INDEX(REPORTE!$H:$H,$B347)),N(INDEX(REPORTE!$I:$I,$B347)))</f>
        <v>0</v>
      </c>
      <c r="J347">
        <f t="shared" si="23"/>
        <v>0</v>
      </c>
      <c r="K347">
        <f>SUM($J$2:$J347)</f>
        <v>3</v>
      </c>
    </row>
    <row r="348" spans="1:11" x14ac:dyDescent="0.25">
      <c r="A348">
        <v>347</v>
      </c>
      <c r="B348">
        <f t="shared" si="20"/>
        <v>133</v>
      </c>
      <c r="C348">
        <f t="shared" si="21"/>
        <v>2</v>
      </c>
      <c r="D348" t="str">
        <f>IF(INDEX(REPORTE!$B:$B,$B348)="","",INDEX(REPORTE!$B:$B,$B348))</f>
        <v/>
      </c>
      <c r="E348" t="str">
        <f>IF($D348="","",IFERROR(VLOOKUP($D348,BD_PLANTA!$A:$F,6,0),""))</f>
        <v/>
      </c>
      <c r="F348" t="str">
        <f>INDEX(REPORTE!$D:$D,$B348)</f>
        <v/>
      </c>
      <c r="G348" t="str">
        <f>INDEX(REPORTE!$E:$E,$B348)</f>
        <v/>
      </c>
      <c r="H348" t="str">
        <f t="shared" si="22"/>
        <v>HEXTJU</v>
      </c>
      <c r="I348">
        <f>CHOOSE($C348,N(INDEX(REPORTE!$F:$F,$B348))+N(INDEX(REPORTE!$G:$G,$B348)),N(INDEX(REPORTE!$H:$H,$B348)),N(INDEX(REPORTE!$I:$I,$B348)))</f>
        <v>0</v>
      </c>
      <c r="J348">
        <f t="shared" si="23"/>
        <v>0</v>
      </c>
      <c r="K348">
        <f>SUM($J$2:$J348)</f>
        <v>3</v>
      </c>
    </row>
    <row r="349" spans="1:11" x14ac:dyDescent="0.25">
      <c r="A349">
        <v>348</v>
      </c>
      <c r="B349">
        <f t="shared" si="20"/>
        <v>133</v>
      </c>
      <c r="C349">
        <f t="shared" si="21"/>
        <v>3</v>
      </c>
      <c r="D349" t="str">
        <f>IF(INDEX(REPORTE!$B:$B,$B349)="","",INDEX(REPORTE!$B:$B,$B349))</f>
        <v/>
      </c>
      <c r="E349" t="str">
        <f>IF($D349="","",IFERROR(VLOOKUP($D349,BD_PLANTA!$A:$F,6,0),""))</f>
        <v/>
      </c>
      <c r="F349" t="str">
        <f>INDEX(REPORTE!$D:$D,$B349)</f>
        <v/>
      </c>
      <c r="G349" t="str">
        <f>INDEX(REPORTE!$E:$E,$B349)</f>
        <v/>
      </c>
      <c r="H349" t="str">
        <f t="shared" si="22"/>
        <v>HEXTADUL</v>
      </c>
      <c r="I349">
        <f>CHOOSE($C349,N(INDEX(REPORTE!$F:$F,$B349))+N(INDEX(REPORTE!$G:$G,$B349)),N(INDEX(REPORTE!$H:$H,$B349)),N(INDEX(REPORTE!$I:$I,$B349)))</f>
        <v>0</v>
      </c>
      <c r="J349">
        <f t="shared" si="23"/>
        <v>0</v>
      </c>
      <c r="K349">
        <f>SUM($J$2:$J349)</f>
        <v>3</v>
      </c>
    </row>
    <row r="350" spans="1:11" x14ac:dyDescent="0.25">
      <c r="A350">
        <v>349</v>
      </c>
      <c r="B350">
        <f t="shared" si="20"/>
        <v>134</v>
      </c>
      <c r="C350">
        <f t="shared" si="21"/>
        <v>1</v>
      </c>
      <c r="D350" t="str">
        <f>IF(INDEX(REPORTE!$B:$B,$B350)="","",INDEX(REPORTE!$B:$B,$B350))</f>
        <v/>
      </c>
      <c r="E350" t="str">
        <f>IF($D350="","",IFERROR(VLOOKUP($D350,BD_PLANTA!$A:$F,6,0),""))</f>
        <v/>
      </c>
      <c r="F350" t="str">
        <f>INDEX(REPORTE!$D:$D,$B350)</f>
        <v/>
      </c>
      <c r="G350" t="str">
        <f>INDEX(REPORTE!$E:$E,$B350)</f>
        <v/>
      </c>
      <c r="H350" t="str">
        <f t="shared" si="22"/>
        <v>HEXTREG</v>
      </c>
      <c r="I350">
        <f>CHOOSE($C350,N(INDEX(REPORTE!$F:$F,$B350))+N(INDEX(REPORTE!$G:$G,$B350)),N(INDEX(REPORTE!$H:$H,$B350)),N(INDEX(REPORTE!$I:$I,$B350)))</f>
        <v>0</v>
      </c>
      <c r="J350">
        <f t="shared" si="23"/>
        <v>0</v>
      </c>
      <c r="K350">
        <f>SUM($J$2:$J350)</f>
        <v>3</v>
      </c>
    </row>
    <row r="351" spans="1:11" x14ac:dyDescent="0.25">
      <c r="A351">
        <v>350</v>
      </c>
      <c r="B351">
        <f t="shared" si="20"/>
        <v>134</v>
      </c>
      <c r="C351">
        <f t="shared" si="21"/>
        <v>2</v>
      </c>
      <c r="D351" t="str">
        <f>IF(INDEX(REPORTE!$B:$B,$B351)="","",INDEX(REPORTE!$B:$B,$B351))</f>
        <v/>
      </c>
      <c r="E351" t="str">
        <f>IF($D351="","",IFERROR(VLOOKUP($D351,BD_PLANTA!$A:$F,6,0),""))</f>
        <v/>
      </c>
      <c r="F351" t="str">
        <f>INDEX(REPORTE!$D:$D,$B351)</f>
        <v/>
      </c>
      <c r="G351" t="str">
        <f>INDEX(REPORTE!$E:$E,$B351)</f>
        <v/>
      </c>
      <c r="H351" t="str">
        <f t="shared" si="22"/>
        <v>HEXTJU</v>
      </c>
      <c r="I351">
        <f>CHOOSE($C351,N(INDEX(REPORTE!$F:$F,$B351))+N(INDEX(REPORTE!$G:$G,$B351)),N(INDEX(REPORTE!$H:$H,$B351)),N(INDEX(REPORTE!$I:$I,$B351)))</f>
        <v>0</v>
      </c>
      <c r="J351">
        <f t="shared" si="23"/>
        <v>0</v>
      </c>
      <c r="K351">
        <f>SUM($J$2:$J351)</f>
        <v>3</v>
      </c>
    </row>
    <row r="352" spans="1:11" x14ac:dyDescent="0.25">
      <c r="A352">
        <v>351</v>
      </c>
      <c r="B352">
        <f t="shared" si="20"/>
        <v>134</v>
      </c>
      <c r="C352">
        <f t="shared" si="21"/>
        <v>3</v>
      </c>
      <c r="D352" t="str">
        <f>IF(INDEX(REPORTE!$B:$B,$B352)="","",INDEX(REPORTE!$B:$B,$B352))</f>
        <v/>
      </c>
      <c r="E352" t="str">
        <f>IF($D352="","",IFERROR(VLOOKUP($D352,BD_PLANTA!$A:$F,6,0),""))</f>
        <v/>
      </c>
      <c r="F352" t="str">
        <f>INDEX(REPORTE!$D:$D,$B352)</f>
        <v/>
      </c>
      <c r="G352" t="str">
        <f>INDEX(REPORTE!$E:$E,$B352)</f>
        <v/>
      </c>
      <c r="H352" t="str">
        <f t="shared" si="22"/>
        <v>HEXTADUL</v>
      </c>
      <c r="I352">
        <f>CHOOSE($C352,N(INDEX(REPORTE!$F:$F,$B352))+N(INDEX(REPORTE!$G:$G,$B352)),N(INDEX(REPORTE!$H:$H,$B352)),N(INDEX(REPORTE!$I:$I,$B352)))</f>
        <v>0</v>
      </c>
      <c r="J352">
        <f t="shared" si="23"/>
        <v>0</v>
      </c>
      <c r="K352">
        <f>SUM($J$2:$J352)</f>
        <v>3</v>
      </c>
    </row>
    <row r="353" spans="1:11" x14ac:dyDescent="0.25">
      <c r="A353">
        <v>352</v>
      </c>
      <c r="B353">
        <f t="shared" si="20"/>
        <v>135</v>
      </c>
      <c r="C353">
        <f t="shared" si="21"/>
        <v>1</v>
      </c>
      <c r="D353" t="str">
        <f>IF(INDEX(REPORTE!$B:$B,$B353)="","",INDEX(REPORTE!$B:$B,$B353))</f>
        <v/>
      </c>
      <c r="E353" t="str">
        <f>IF($D353="","",IFERROR(VLOOKUP($D353,BD_PLANTA!$A:$F,6,0),""))</f>
        <v/>
      </c>
      <c r="F353" t="str">
        <f>INDEX(REPORTE!$D:$D,$B353)</f>
        <v/>
      </c>
      <c r="G353" t="str">
        <f>INDEX(REPORTE!$E:$E,$B353)</f>
        <v/>
      </c>
      <c r="H353" t="str">
        <f t="shared" si="22"/>
        <v>HEXTREG</v>
      </c>
      <c r="I353">
        <f>CHOOSE($C353,N(INDEX(REPORTE!$F:$F,$B353))+N(INDEX(REPORTE!$G:$G,$B353)),N(INDEX(REPORTE!$H:$H,$B353)),N(INDEX(REPORTE!$I:$I,$B353)))</f>
        <v>0</v>
      </c>
      <c r="J353">
        <f t="shared" si="23"/>
        <v>0</v>
      </c>
      <c r="K353">
        <f>SUM($J$2:$J353)</f>
        <v>3</v>
      </c>
    </row>
    <row r="354" spans="1:11" x14ac:dyDescent="0.25">
      <c r="A354">
        <v>353</v>
      </c>
      <c r="B354">
        <f t="shared" si="20"/>
        <v>135</v>
      </c>
      <c r="C354">
        <f t="shared" si="21"/>
        <v>2</v>
      </c>
      <c r="D354" t="str">
        <f>IF(INDEX(REPORTE!$B:$B,$B354)="","",INDEX(REPORTE!$B:$B,$B354))</f>
        <v/>
      </c>
      <c r="E354" t="str">
        <f>IF($D354="","",IFERROR(VLOOKUP($D354,BD_PLANTA!$A:$F,6,0),""))</f>
        <v/>
      </c>
      <c r="F354" t="str">
        <f>INDEX(REPORTE!$D:$D,$B354)</f>
        <v/>
      </c>
      <c r="G354" t="str">
        <f>INDEX(REPORTE!$E:$E,$B354)</f>
        <v/>
      </c>
      <c r="H354" t="str">
        <f t="shared" si="22"/>
        <v>HEXTJU</v>
      </c>
      <c r="I354">
        <f>CHOOSE($C354,N(INDEX(REPORTE!$F:$F,$B354))+N(INDEX(REPORTE!$G:$G,$B354)),N(INDEX(REPORTE!$H:$H,$B354)),N(INDEX(REPORTE!$I:$I,$B354)))</f>
        <v>0</v>
      </c>
      <c r="J354">
        <f t="shared" si="23"/>
        <v>0</v>
      </c>
      <c r="K354">
        <f>SUM($J$2:$J354)</f>
        <v>3</v>
      </c>
    </row>
    <row r="355" spans="1:11" x14ac:dyDescent="0.25">
      <c r="A355">
        <v>354</v>
      </c>
      <c r="B355">
        <f t="shared" si="20"/>
        <v>135</v>
      </c>
      <c r="C355">
        <f t="shared" si="21"/>
        <v>3</v>
      </c>
      <c r="D355" t="str">
        <f>IF(INDEX(REPORTE!$B:$B,$B355)="","",INDEX(REPORTE!$B:$B,$B355))</f>
        <v/>
      </c>
      <c r="E355" t="str">
        <f>IF($D355="","",IFERROR(VLOOKUP($D355,BD_PLANTA!$A:$F,6,0),""))</f>
        <v/>
      </c>
      <c r="F355" t="str">
        <f>INDEX(REPORTE!$D:$D,$B355)</f>
        <v/>
      </c>
      <c r="G355" t="str">
        <f>INDEX(REPORTE!$E:$E,$B355)</f>
        <v/>
      </c>
      <c r="H355" t="str">
        <f t="shared" si="22"/>
        <v>HEXTADUL</v>
      </c>
      <c r="I355">
        <f>CHOOSE($C355,N(INDEX(REPORTE!$F:$F,$B355))+N(INDEX(REPORTE!$G:$G,$B355)),N(INDEX(REPORTE!$H:$H,$B355)),N(INDEX(REPORTE!$I:$I,$B355)))</f>
        <v>0</v>
      </c>
      <c r="J355">
        <f t="shared" si="23"/>
        <v>0</v>
      </c>
      <c r="K355">
        <f>SUM($J$2:$J355)</f>
        <v>3</v>
      </c>
    </row>
    <row r="356" spans="1:11" x14ac:dyDescent="0.25">
      <c r="A356">
        <v>355</v>
      </c>
      <c r="B356">
        <f t="shared" si="20"/>
        <v>136</v>
      </c>
      <c r="C356">
        <f t="shared" si="21"/>
        <v>1</v>
      </c>
      <c r="D356" t="str">
        <f>IF(INDEX(REPORTE!$B:$B,$B356)="","",INDEX(REPORTE!$B:$B,$B356))</f>
        <v/>
      </c>
      <c r="E356" t="str">
        <f>IF($D356="","",IFERROR(VLOOKUP($D356,BD_PLANTA!$A:$F,6,0),""))</f>
        <v/>
      </c>
      <c r="F356" t="str">
        <f>INDEX(REPORTE!$D:$D,$B356)</f>
        <v/>
      </c>
      <c r="G356" t="str">
        <f>INDEX(REPORTE!$E:$E,$B356)</f>
        <v/>
      </c>
      <c r="H356" t="str">
        <f t="shared" si="22"/>
        <v>HEXTREG</v>
      </c>
      <c r="I356">
        <f>CHOOSE($C356,N(INDEX(REPORTE!$F:$F,$B356))+N(INDEX(REPORTE!$G:$G,$B356)),N(INDEX(REPORTE!$H:$H,$B356)),N(INDEX(REPORTE!$I:$I,$B356)))</f>
        <v>0</v>
      </c>
      <c r="J356">
        <f t="shared" si="23"/>
        <v>0</v>
      </c>
      <c r="K356">
        <f>SUM($J$2:$J356)</f>
        <v>3</v>
      </c>
    </row>
    <row r="357" spans="1:11" x14ac:dyDescent="0.25">
      <c r="A357">
        <v>356</v>
      </c>
      <c r="B357">
        <f t="shared" si="20"/>
        <v>136</v>
      </c>
      <c r="C357">
        <f t="shared" si="21"/>
        <v>2</v>
      </c>
      <c r="D357" t="str">
        <f>IF(INDEX(REPORTE!$B:$B,$B357)="","",INDEX(REPORTE!$B:$B,$B357))</f>
        <v/>
      </c>
      <c r="E357" t="str">
        <f>IF($D357="","",IFERROR(VLOOKUP($D357,BD_PLANTA!$A:$F,6,0),""))</f>
        <v/>
      </c>
      <c r="F357" t="str">
        <f>INDEX(REPORTE!$D:$D,$B357)</f>
        <v/>
      </c>
      <c r="G357" t="str">
        <f>INDEX(REPORTE!$E:$E,$B357)</f>
        <v/>
      </c>
      <c r="H357" t="str">
        <f t="shared" si="22"/>
        <v>HEXTJU</v>
      </c>
      <c r="I357">
        <f>CHOOSE($C357,N(INDEX(REPORTE!$F:$F,$B357))+N(INDEX(REPORTE!$G:$G,$B357)),N(INDEX(REPORTE!$H:$H,$B357)),N(INDEX(REPORTE!$I:$I,$B357)))</f>
        <v>0</v>
      </c>
      <c r="J357">
        <f t="shared" si="23"/>
        <v>0</v>
      </c>
      <c r="K357">
        <f>SUM($J$2:$J357)</f>
        <v>3</v>
      </c>
    </row>
    <row r="358" spans="1:11" x14ac:dyDescent="0.25">
      <c r="A358">
        <v>357</v>
      </c>
      <c r="B358">
        <f t="shared" si="20"/>
        <v>136</v>
      </c>
      <c r="C358">
        <f t="shared" si="21"/>
        <v>3</v>
      </c>
      <c r="D358" t="str">
        <f>IF(INDEX(REPORTE!$B:$B,$B358)="","",INDEX(REPORTE!$B:$B,$B358))</f>
        <v/>
      </c>
      <c r="E358" t="str">
        <f>IF($D358="","",IFERROR(VLOOKUP($D358,BD_PLANTA!$A:$F,6,0),""))</f>
        <v/>
      </c>
      <c r="F358" t="str">
        <f>INDEX(REPORTE!$D:$D,$B358)</f>
        <v/>
      </c>
      <c r="G358" t="str">
        <f>INDEX(REPORTE!$E:$E,$B358)</f>
        <v/>
      </c>
      <c r="H358" t="str">
        <f t="shared" si="22"/>
        <v>HEXTADUL</v>
      </c>
      <c r="I358">
        <f>CHOOSE($C358,N(INDEX(REPORTE!$F:$F,$B358))+N(INDEX(REPORTE!$G:$G,$B358)),N(INDEX(REPORTE!$H:$H,$B358)),N(INDEX(REPORTE!$I:$I,$B358)))</f>
        <v>0</v>
      </c>
      <c r="J358">
        <f t="shared" si="23"/>
        <v>0</v>
      </c>
      <c r="K358">
        <f>SUM($J$2:$J358)</f>
        <v>3</v>
      </c>
    </row>
    <row r="359" spans="1:11" x14ac:dyDescent="0.25">
      <c r="A359">
        <v>358</v>
      </c>
      <c r="B359">
        <f t="shared" si="20"/>
        <v>137</v>
      </c>
      <c r="C359">
        <f t="shared" si="21"/>
        <v>1</v>
      </c>
      <c r="D359" t="str">
        <f>IF(INDEX(REPORTE!$B:$B,$B359)="","",INDEX(REPORTE!$B:$B,$B359))</f>
        <v/>
      </c>
      <c r="E359" t="str">
        <f>IF($D359="","",IFERROR(VLOOKUP($D359,BD_PLANTA!$A:$F,6,0),""))</f>
        <v/>
      </c>
      <c r="F359" t="str">
        <f>INDEX(REPORTE!$D:$D,$B359)</f>
        <v/>
      </c>
      <c r="G359" t="str">
        <f>INDEX(REPORTE!$E:$E,$B359)</f>
        <v/>
      </c>
      <c r="H359" t="str">
        <f t="shared" si="22"/>
        <v>HEXTREG</v>
      </c>
      <c r="I359">
        <f>CHOOSE($C359,N(INDEX(REPORTE!$F:$F,$B359))+N(INDEX(REPORTE!$G:$G,$B359)),N(INDEX(REPORTE!$H:$H,$B359)),N(INDEX(REPORTE!$I:$I,$B359)))</f>
        <v>0</v>
      </c>
      <c r="J359">
        <f t="shared" si="23"/>
        <v>0</v>
      </c>
      <c r="K359">
        <f>SUM($J$2:$J359)</f>
        <v>3</v>
      </c>
    </row>
    <row r="360" spans="1:11" x14ac:dyDescent="0.25">
      <c r="A360">
        <v>359</v>
      </c>
      <c r="B360">
        <f t="shared" si="20"/>
        <v>137</v>
      </c>
      <c r="C360">
        <f t="shared" si="21"/>
        <v>2</v>
      </c>
      <c r="D360" t="str">
        <f>IF(INDEX(REPORTE!$B:$B,$B360)="","",INDEX(REPORTE!$B:$B,$B360))</f>
        <v/>
      </c>
      <c r="E360" t="str">
        <f>IF($D360="","",IFERROR(VLOOKUP($D360,BD_PLANTA!$A:$F,6,0),""))</f>
        <v/>
      </c>
      <c r="F360" t="str">
        <f>INDEX(REPORTE!$D:$D,$B360)</f>
        <v/>
      </c>
      <c r="G360" t="str">
        <f>INDEX(REPORTE!$E:$E,$B360)</f>
        <v/>
      </c>
      <c r="H360" t="str">
        <f t="shared" si="22"/>
        <v>HEXTJU</v>
      </c>
      <c r="I360">
        <f>CHOOSE($C360,N(INDEX(REPORTE!$F:$F,$B360))+N(INDEX(REPORTE!$G:$G,$B360)),N(INDEX(REPORTE!$H:$H,$B360)),N(INDEX(REPORTE!$I:$I,$B360)))</f>
        <v>0</v>
      </c>
      <c r="J360">
        <f t="shared" si="23"/>
        <v>0</v>
      </c>
      <c r="K360">
        <f>SUM($J$2:$J360)</f>
        <v>3</v>
      </c>
    </row>
    <row r="361" spans="1:11" x14ac:dyDescent="0.25">
      <c r="A361">
        <v>360</v>
      </c>
      <c r="B361">
        <f t="shared" si="20"/>
        <v>137</v>
      </c>
      <c r="C361">
        <f t="shared" si="21"/>
        <v>3</v>
      </c>
      <c r="D361" t="str">
        <f>IF(INDEX(REPORTE!$B:$B,$B361)="","",INDEX(REPORTE!$B:$B,$B361))</f>
        <v/>
      </c>
      <c r="E361" t="str">
        <f>IF($D361="","",IFERROR(VLOOKUP($D361,BD_PLANTA!$A:$F,6,0),""))</f>
        <v/>
      </c>
      <c r="F361" t="str">
        <f>INDEX(REPORTE!$D:$D,$B361)</f>
        <v/>
      </c>
      <c r="G361" t="str">
        <f>INDEX(REPORTE!$E:$E,$B361)</f>
        <v/>
      </c>
      <c r="H361" t="str">
        <f t="shared" si="22"/>
        <v>HEXTADUL</v>
      </c>
      <c r="I361">
        <f>CHOOSE($C361,N(INDEX(REPORTE!$F:$F,$B361))+N(INDEX(REPORTE!$G:$G,$B361)),N(INDEX(REPORTE!$H:$H,$B361)),N(INDEX(REPORTE!$I:$I,$B361)))</f>
        <v>0</v>
      </c>
      <c r="J361">
        <f t="shared" si="23"/>
        <v>0</v>
      </c>
      <c r="K361">
        <f>SUM($J$2:$J361)</f>
        <v>3</v>
      </c>
    </row>
  </sheetData>
  <pageMargins left="0.75" right="0.75" top="1" bottom="1" header="0.511811023622047" footer="0.511811023622047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8"/>
  <sheetViews>
    <sheetView showGridLines="0" zoomScaleNormal="100" workbookViewId="0">
      <pane ySplit="7" topLeftCell="A11" activePane="bottomLeft" state="frozen"/>
      <selection pane="bottomLeft" sqref="A1:G1"/>
    </sheetView>
  </sheetViews>
  <sheetFormatPr baseColWidth="10" defaultColWidth="8.7109375" defaultRowHeight="15" x14ac:dyDescent="0.25"/>
  <cols>
    <col min="1" max="1" width="6" customWidth="1"/>
    <col min="2" max="2" width="16" customWidth="1"/>
    <col min="3" max="3" width="34" customWidth="1"/>
    <col min="4" max="4" width="30" customWidth="1"/>
    <col min="5" max="7" width="13" customWidth="1"/>
    <col min="11" max="11" width="10" hidden="1" customWidth="1"/>
  </cols>
  <sheetData>
    <row r="1" spans="1:11" ht="21.75" customHeight="1" x14ac:dyDescent="0.25">
      <c r="A1" s="1" t="s">
        <v>23295</v>
      </c>
      <c r="B1" s="1"/>
      <c r="C1" s="1"/>
      <c r="D1" s="1"/>
      <c r="E1" s="1"/>
      <c r="F1" s="1"/>
      <c r="G1" s="1"/>
    </row>
    <row r="2" spans="1:11" ht="30" customHeight="1" x14ac:dyDescent="0.25">
      <c r="A2" s="52" t="s">
        <v>23296</v>
      </c>
      <c r="B2" s="52"/>
      <c r="C2" s="52"/>
      <c r="D2" s="52"/>
      <c r="E2" s="52"/>
      <c r="F2" s="52"/>
      <c r="G2" s="52"/>
    </row>
    <row r="7" spans="1:11" ht="27.75" customHeight="1" x14ac:dyDescent="0.25">
      <c r="A7" s="41" t="s">
        <v>23270</v>
      </c>
      <c r="B7" s="41" t="s">
        <v>23271</v>
      </c>
      <c r="C7" s="41" t="s">
        <v>1</v>
      </c>
      <c r="D7" s="41" t="s">
        <v>2</v>
      </c>
      <c r="E7" s="41" t="s">
        <v>23272</v>
      </c>
      <c r="F7" s="41" t="s">
        <v>23291</v>
      </c>
      <c r="G7" s="41" t="s">
        <v>23297</v>
      </c>
    </row>
    <row r="8" spans="1:11" x14ac:dyDescent="0.25">
      <c r="A8" s="42">
        <f>IF($K8="","",1)</f>
        <v>1</v>
      </c>
      <c r="B8" s="43" t="str">
        <f>IF($K8="","",INDEX(AUX!$D$2:$D$361,$K8))</f>
        <v>12635286</v>
      </c>
      <c r="C8" s="44" t="str">
        <f>IF($K8="","",INDEX(AUX!$E$2:$E$361,$K8))</f>
        <v>VAS**** BUS******* RAF*** SEG****</v>
      </c>
      <c r="D8" s="44" t="str">
        <f>IF($K8="","",INDEX(AUX!$F$2:$F$361,$K8))</f>
        <v>Docente de aula</v>
      </c>
      <c r="E8" s="42" t="str">
        <f>IF($K8="","",INDEX(AUX!$G$2:$G$361,$K8))</f>
        <v>3CM</v>
      </c>
      <c r="F8" s="45" t="str">
        <f>IF($K8="","",INDEX(AUX!$H$2:$H$361,$K8))</f>
        <v>HEXTREG</v>
      </c>
      <c r="G8" s="24">
        <f>IF($K8="","",INDEX(AUX!$I$2:$I$361,$K8))</f>
        <v>26</v>
      </c>
      <c r="K8" s="17">
        <f>IFERROR(MATCH(1,AUX!$K$2:$K$361,0),"")</f>
        <v>1</v>
      </c>
    </row>
    <row r="9" spans="1:11" x14ac:dyDescent="0.25">
      <c r="A9" s="46">
        <f>IF($K9="","",2)</f>
        <v>2</v>
      </c>
      <c r="B9" s="47" t="str">
        <f>IF($K9="","",INDEX(AUX!$D$2:$D$361,$K9))</f>
        <v>57417401</v>
      </c>
      <c r="C9" s="48" t="str">
        <f>IF($K9="","",INDEX(AUX!$E$2:$E$361,$K9))</f>
        <v>ACO*** HER****** EVE****</v>
      </c>
      <c r="D9" s="48" t="str">
        <f>IF($K9="","",INDEX(AUX!$F$2:$F$361,$K9))</f>
        <v>Docente de aula</v>
      </c>
      <c r="E9" s="46" t="str">
        <f>IF($K9="","",INDEX(AUX!$G$2:$G$361,$K9))</f>
        <v>14</v>
      </c>
      <c r="F9" s="49" t="str">
        <f>IF($K9="","",INDEX(AUX!$H$2:$H$361,$K9))</f>
        <v>HEXTREG</v>
      </c>
      <c r="G9" s="50">
        <f>IF($K9="","",INDEX(AUX!$I$2:$I$361,$K9))</f>
        <v>26</v>
      </c>
      <c r="K9" s="17">
        <f>IFERROR(MATCH(2,AUX!$K$2:$K$361,0),"")</f>
        <v>4</v>
      </c>
    </row>
    <row r="10" spans="1:11" x14ac:dyDescent="0.25">
      <c r="A10" s="42">
        <f>IF($K10="","",3)</f>
        <v>3</v>
      </c>
      <c r="B10" s="43" t="str">
        <f>IF($K10="","",INDEX(AUX!$D$2:$D$361,$K10))</f>
        <v>26846090</v>
      </c>
      <c r="C10" s="44" t="str">
        <f>IF($K10="","",INDEX(AUX!$E$2:$E$361,$K10))</f>
        <v>GOM** MAR**** GLE*** MAR**</v>
      </c>
      <c r="D10" s="44" t="str">
        <f>IF($K10="","",INDEX(AUX!$F$2:$F$361,$K10))</f>
        <v>Docente de aula</v>
      </c>
      <c r="E10" s="42" t="str">
        <f>IF($K10="","",INDEX(AUX!$G$2:$G$361,$K10))</f>
        <v>14</v>
      </c>
      <c r="F10" s="45" t="str">
        <f>IF($K10="","",INDEX(AUX!$H$2:$H$361,$K10))</f>
        <v>HEXTREG</v>
      </c>
      <c r="G10" s="24">
        <f>IF($K10="","",INDEX(AUX!$I$2:$I$361,$K10))</f>
        <v>5</v>
      </c>
      <c r="K10" s="17">
        <f>IFERROR(MATCH(3,AUX!$K$2:$K$361,0),"")</f>
        <v>7</v>
      </c>
    </row>
    <row r="11" spans="1:11" x14ac:dyDescent="0.25">
      <c r="A11" s="46" t="str">
        <f>IF($K11="","",4)</f>
        <v/>
      </c>
      <c r="B11" s="47" t="str">
        <f>IF($K11="","",INDEX(AUX!$D$2:$D$361,$K11))</f>
        <v/>
      </c>
      <c r="C11" s="48" t="str">
        <f>IF($K11="","",INDEX(AUX!$E$2:$E$361,$K11))</f>
        <v/>
      </c>
      <c r="D11" s="48" t="str">
        <f>IF($K11="","",INDEX(AUX!$F$2:$F$361,$K11))</f>
        <v/>
      </c>
      <c r="E11" s="46" t="str">
        <f>IF($K11="","",INDEX(AUX!$G$2:$G$361,$K11))</f>
        <v/>
      </c>
      <c r="F11" s="49" t="str">
        <f>IF($K11="","",INDEX(AUX!$H$2:$H$361,$K11))</f>
        <v/>
      </c>
      <c r="G11" s="50" t="str">
        <f>IF($K11="","",INDEX(AUX!$I$2:$I$361,$K11))</f>
        <v/>
      </c>
      <c r="K11" t="str">
        <f>IFERROR(MATCH(4,AUX!$K$2:$K$361,0),"")</f>
        <v/>
      </c>
    </row>
    <row r="12" spans="1:11" x14ac:dyDescent="0.25">
      <c r="A12" s="42" t="str">
        <f>IF($K12="","",5)</f>
        <v/>
      </c>
      <c r="B12" s="43" t="str">
        <f>IF($K12="","",INDEX(AUX!$D$2:$D$361,$K12))</f>
        <v/>
      </c>
      <c r="C12" s="44" t="str">
        <f>IF($K12="","",INDEX(AUX!$E$2:$E$361,$K12))</f>
        <v/>
      </c>
      <c r="D12" s="44" t="str">
        <f>IF($K12="","",INDEX(AUX!$F$2:$F$361,$K12))</f>
        <v/>
      </c>
      <c r="E12" s="42" t="str">
        <f>IF($K12="","",INDEX(AUX!$G$2:$G$361,$K12))</f>
        <v/>
      </c>
      <c r="F12" s="45" t="str">
        <f>IF($K12="","",INDEX(AUX!$H$2:$H$361,$K12))</f>
        <v/>
      </c>
      <c r="G12" s="24" t="str">
        <f>IF($K12="","",INDEX(AUX!$I$2:$I$361,$K12))</f>
        <v/>
      </c>
      <c r="K12" t="str">
        <f>IFERROR(MATCH(5,AUX!$K$2:$K$361,0),"")</f>
        <v/>
      </c>
    </row>
    <row r="13" spans="1:11" x14ac:dyDescent="0.25">
      <c r="A13" s="46" t="str">
        <f>IF($K13="","",6)</f>
        <v/>
      </c>
      <c r="B13" s="47" t="str">
        <f>IF($K13="","",INDEX(AUX!$D$2:$D$361,$K13))</f>
        <v/>
      </c>
      <c r="C13" s="48" t="str">
        <f>IF($K13="","",INDEX(AUX!$E$2:$E$361,$K13))</f>
        <v/>
      </c>
      <c r="D13" s="48" t="str">
        <f>IF($K13="","",INDEX(AUX!$F$2:$F$361,$K13))</f>
        <v/>
      </c>
      <c r="E13" s="46" t="str">
        <f>IF($K13="","",INDEX(AUX!$G$2:$G$361,$K13))</f>
        <v/>
      </c>
      <c r="F13" s="49" t="str">
        <f>IF($K13="","",INDEX(AUX!$H$2:$H$361,$K13))</f>
        <v/>
      </c>
      <c r="G13" s="50" t="str">
        <f>IF($K13="","",INDEX(AUX!$I$2:$I$361,$K13))</f>
        <v/>
      </c>
      <c r="K13" t="str">
        <f>IFERROR(MATCH(6,AUX!$K$2:$K$361,0),"")</f>
        <v/>
      </c>
    </row>
    <row r="14" spans="1:11" x14ac:dyDescent="0.25">
      <c r="A14" s="42" t="str">
        <f>IF($K14="","",7)</f>
        <v/>
      </c>
      <c r="B14" s="43" t="str">
        <f>IF($K14="","",INDEX(AUX!$D$2:$D$361,$K14))</f>
        <v/>
      </c>
      <c r="C14" s="44" t="str">
        <f>IF($K14="","",INDEX(AUX!$E$2:$E$361,$K14))</f>
        <v/>
      </c>
      <c r="D14" s="44" t="str">
        <f>IF($K14="","",INDEX(AUX!$F$2:$F$361,$K14))</f>
        <v/>
      </c>
      <c r="E14" s="42" t="str">
        <f>IF($K14="","",INDEX(AUX!$G$2:$G$361,$K14))</f>
        <v/>
      </c>
      <c r="F14" s="45" t="str">
        <f>IF($K14="","",INDEX(AUX!$H$2:$H$361,$K14))</f>
        <v/>
      </c>
      <c r="G14" s="24" t="str">
        <f>IF($K14="","",INDEX(AUX!$I$2:$I$361,$K14))</f>
        <v/>
      </c>
      <c r="K14" t="str">
        <f>IFERROR(MATCH(7,AUX!$K$2:$K$361,0),"")</f>
        <v/>
      </c>
    </row>
    <row r="15" spans="1:11" x14ac:dyDescent="0.25">
      <c r="A15" s="46" t="str">
        <f>IF($K15="","",8)</f>
        <v/>
      </c>
      <c r="B15" s="47" t="str">
        <f>IF($K15="","",INDEX(AUX!$D$2:$D$361,$K15))</f>
        <v/>
      </c>
      <c r="C15" s="48" t="str">
        <f>IF($K15="","",INDEX(AUX!$E$2:$E$361,$K15))</f>
        <v/>
      </c>
      <c r="D15" s="48" t="str">
        <f>IF($K15="","",INDEX(AUX!$F$2:$F$361,$K15))</f>
        <v/>
      </c>
      <c r="E15" s="46" t="str">
        <f>IF($K15="","",INDEX(AUX!$G$2:$G$361,$K15))</f>
        <v/>
      </c>
      <c r="F15" s="49" t="str">
        <f>IF($K15="","",INDEX(AUX!$H$2:$H$361,$K15))</f>
        <v/>
      </c>
      <c r="G15" s="50" t="str">
        <f>IF($K15="","",INDEX(AUX!$I$2:$I$361,$K15))</f>
        <v/>
      </c>
      <c r="K15" t="str">
        <f>IFERROR(MATCH(8,AUX!$K$2:$K$361,0),"")</f>
        <v/>
      </c>
    </row>
    <row r="16" spans="1:11" x14ac:dyDescent="0.25">
      <c r="A16" s="42" t="str">
        <f>IF($K16="","",9)</f>
        <v/>
      </c>
      <c r="B16" s="43" t="str">
        <f>IF($K16="","",INDEX(AUX!$D$2:$D$361,$K16))</f>
        <v/>
      </c>
      <c r="C16" s="44" t="str">
        <f>IF($K16="","",INDEX(AUX!$E$2:$E$361,$K16))</f>
        <v/>
      </c>
      <c r="D16" s="44" t="str">
        <f>IF($K16="","",INDEX(AUX!$F$2:$F$361,$K16))</f>
        <v/>
      </c>
      <c r="E16" s="42" t="str">
        <f>IF($K16="","",INDEX(AUX!$G$2:$G$361,$K16))</f>
        <v/>
      </c>
      <c r="F16" s="45" t="str">
        <f>IF($K16="","",INDEX(AUX!$H$2:$H$361,$K16))</f>
        <v/>
      </c>
      <c r="G16" s="24" t="str">
        <f>IF($K16="","",INDEX(AUX!$I$2:$I$361,$K16))</f>
        <v/>
      </c>
      <c r="K16" t="str">
        <f>IFERROR(MATCH(9,AUX!$K$2:$K$361,0),"")</f>
        <v/>
      </c>
    </row>
    <row r="17" spans="1:11" x14ac:dyDescent="0.25">
      <c r="A17" s="46" t="str">
        <f>IF($K17="","",10)</f>
        <v/>
      </c>
      <c r="B17" s="47" t="str">
        <f>IF($K17="","",INDEX(AUX!$D$2:$D$361,$K17))</f>
        <v/>
      </c>
      <c r="C17" s="48" t="str">
        <f>IF($K17="","",INDEX(AUX!$E$2:$E$361,$K17))</f>
        <v/>
      </c>
      <c r="D17" s="48" t="str">
        <f>IF($K17="","",INDEX(AUX!$F$2:$F$361,$K17))</f>
        <v/>
      </c>
      <c r="E17" s="46" t="str">
        <f>IF($K17="","",INDEX(AUX!$G$2:$G$361,$K17))</f>
        <v/>
      </c>
      <c r="F17" s="49" t="str">
        <f>IF($K17="","",INDEX(AUX!$H$2:$H$361,$K17))</f>
        <v/>
      </c>
      <c r="G17" s="50" t="str">
        <f>IF($K17="","",INDEX(AUX!$I$2:$I$361,$K17))</f>
        <v/>
      </c>
      <c r="K17" t="str">
        <f>IFERROR(MATCH(10,AUX!$K$2:$K$361,0),"")</f>
        <v/>
      </c>
    </row>
    <row r="18" spans="1:11" x14ac:dyDescent="0.25">
      <c r="A18" s="42" t="str">
        <f>IF($K18="","",11)</f>
        <v/>
      </c>
      <c r="B18" s="43" t="str">
        <f>IF($K18="","",INDEX(AUX!$D$2:$D$361,$K18))</f>
        <v/>
      </c>
      <c r="C18" s="44" t="str">
        <f>IF($K18="","",INDEX(AUX!$E$2:$E$361,$K18))</f>
        <v/>
      </c>
      <c r="D18" s="44" t="str">
        <f>IF($K18="","",INDEX(AUX!$F$2:$F$361,$K18))</f>
        <v/>
      </c>
      <c r="E18" s="42" t="str">
        <f>IF($K18="","",INDEX(AUX!$G$2:$G$361,$K18))</f>
        <v/>
      </c>
      <c r="F18" s="45" t="str">
        <f>IF($K18="","",INDEX(AUX!$H$2:$H$361,$K18))</f>
        <v/>
      </c>
      <c r="G18" s="24" t="str">
        <f>IF($K18="","",INDEX(AUX!$I$2:$I$361,$K18))</f>
        <v/>
      </c>
      <c r="K18" t="str">
        <f>IFERROR(MATCH(11,AUX!$K$2:$K$361,0),"")</f>
        <v/>
      </c>
    </row>
    <row r="19" spans="1:11" x14ac:dyDescent="0.25">
      <c r="A19" s="46" t="str">
        <f>IF($K19="","",12)</f>
        <v/>
      </c>
      <c r="B19" s="47" t="str">
        <f>IF($K19="","",INDEX(AUX!$D$2:$D$361,$K19))</f>
        <v/>
      </c>
      <c r="C19" s="48" t="str">
        <f>IF($K19="","",INDEX(AUX!$E$2:$E$361,$K19))</f>
        <v/>
      </c>
      <c r="D19" s="48" t="str">
        <f>IF($K19="","",INDEX(AUX!$F$2:$F$361,$K19))</f>
        <v/>
      </c>
      <c r="E19" s="46" t="str">
        <f>IF($K19="","",INDEX(AUX!$G$2:$G$361,$K19))</f>
        <v/>
      </c>
      <c r="F19" s="49" t="str">
        <f>IF($K19="","",INDEX(AUX!$H$2:$H$361,$K19))</f>
        <v/>
      </c>
      <c r="G19" s="50" t="str">
        <f>IF($K19="","",INDEX(AUX!$I$2:$I$361,$K19))</f>
        <v/>
      </c>
      <c r="K19" t="str">
        <f>IFERROR(MATCH(12,AUX!$K$2:$K$361,0),"")</f>
        <v/>
      </c>
    </row>
    <row r="20" spans="1:11" x14ac:dyDescent="0.25">
      <c r="A20" s="42" t="str">
        <f>IF($K20="","",13)</f>
        <v/>
      </c>
      <c r="B20" s="43" t="str">
        <f>IF($K20="","",INDEX(AUX!$D$2:$D$361,$K20))</f>
        <v/>
      </c>
      <c r="C20" s="44" t="str">
        <f>IF($K20="","",INDEX(AUX!$E$2:$E$361,$K20))</f>
        <v/>
      </c>
      <c r="D20" s="44" t="str">
        <f>IF($K20="","",INDEX(AUX!$F$2:$F$361,$K20))</f>
        <v/>
      </c>
      <c r="E20" s="42" t="str">
        <f>IF($K20="","",INDEX(AUX!$G$2:$G$361,$K20))</f>
        <v/>
      </c>
      <c r="F20" s="45" t="str">
        <f>IF($K20="","",INDEX(AUX!$H$2:$H$361,$K20))</f>
        <v/>
      </c>
      <c r="G20" s="24" t="str">
        <f>IF($K20="","",INDEX(AUX!$I$2:$I$361,$K20))</f>
        <v/>
      </c>
      <c r="K20" t="str">
        <f>IFERROR(MATCH(13,AUX!$K$2:$K$361,0),"")</f>
        <v/>
      </c>
    </row>
    <row r="21" spans="1:11" x14ac:dyDescent="0.25">
      <c r="A21" s="46" t="str">
        <f>IF($K21="","",14)</f>
        <v/>
      </c>
      <c r="B21" s="47" t="str">
        <f>IF($K21="","",INDEX(AUX!$D$2:$D$361,$K21))</f>
        <v/>
      </c>
      <c r="C21" s="48" t="str">
        <f>IF($K21="","",INDEX(AUX!$E$2:$E$361,$K21))</f>
        <v/>
      </c>
      <c r="D21" s="48" t="str">
        <f>IF($K21="","",INDEX(AUX!$F$2:$F$361,$K21))</f>
        <v/>
      </c>
      <c r="E21" s="46" t="str">
        <f>IF($K21="","",INDEX(AUX!$G$2:$G$361,$K21))</f>
        <v/>
      </c>
      <c r="F21" s="49" t="str">
        <f>IF($K21="","",INDEX(AUX!$H$2:$H$361,$K21))</f>
        <v/>
      </c>
      <c r="G21" s="50" t="str">
        <f>IF($K21="","",INDEX(AUX!$I$2:$I$361,$K21))</f>
        <v/>
      </c>
      <c r="K21" t="str">
        <f>IFERROR(MATCH(14,AUX!$K$2:$K$361,0),"")</f>
        <v/>
      </c>
    </row>
    <row r="22" spans="1:11" x14ac:dyDescent="0.25">
      <c r="A22" s="42" t="str">
        <f>IF($K22="","",15)</f>
        <v/>
      </c>
      <c r="B22" s="43" t="str">
        <f>IF($K22="","",INDEX(AUX!$D$2:$D$361,$K22))</f>
        <v/>
      </c>
      <c r="C22" s="44" t="str">
        <f>IF($K22="","",INDEX(AUX!$E$2:$E$361,$K22))</f>
        <v/>
      </c>
      <c r="D22" s="44" t="str">
        <f>IF($K22="","",INDEX(AUX!$F$2:$F$361,$K22))</f>
        <v/>
      </c>
      <c r="E22" s="42" t="str">
        <f>IF($K22="","",INDEX(AUX!$G$2:$G$361,$K22))</f>
        <v/>
      </c>
      <c r="F22" s="45" t="str">
        <f>IF($K22="","",INDEX(AUX!$H$2:$H$361,$K22))</f>
        <v/>
      </c>
      <c r="G22" s="24" t="str">
        <f>IF($K22="","",INDEX(AUX!$I$2:$I$361,$K22))</f>
        <v/>
      </c>
      <c r="K22" t="str">
        <f>IFERROR(MATCH(15,AUX!$K$2:$K$361,0),"")</f>
        <v/>
      </c>
    </row>
    <row r="23" spans="1:11" x14ac:dyDescent="0.25">
      <c r="A23" s="46" t="str">
        <f>IF($K23="","",16)</f>
        <v/>
      </c>
      <c r="B23" s="47" t="str">
        <f>IF($K23="","",INDEX(AUX!$D$2:$D$361,$K23))</f>
        <v/>
      </c>
      <c r="C23" s="48" t="str">
        <f>IF($K23="","",INDEX(AUX!$E$2:$E$361,$K23))</f>
        <v/>
      </c>
      <c r="D23" s="48" t="str">
        <f>IF($K23="","",INDEX(AUX!$F$2:$F$361,$K23))</f>
        <v/>
      </c>
      <c r="E23" s="46" t="str">
        <f>IF($K23="","",INDEX(AUX!$G$2:$G$361,$K23))</f>
        <v/>
      </c>
      <c r="F23" s="49" t="str">
        <f>IF($K23="","",INDEX(AUX!$H$2:$H$361,$K23))</f>
        <v/>
      </c>
      <c r="G23" s="50" t="str">
        <f>IF($K23="","",INDEX(AUX!$I$2:$I$361,$K23))</f>
        <v/>
      </c>
      <c r="K23" t="str">
        <f>IFERROR(MATCH(16,AUX!$K$2:$K$361,0),"")</f>
        <v/>
      </c>
    </row>
    <row r="24" spans="1:11" x14ac:dyDescent="0.25">
      <c r="A24" s="42" t="str">
        <f>IF($K24="","",17)</f>
        <v/>
      </c>
      <c r="B24" s="43" t="str">
        <f>IF($K24="","",INDEX(AUX!$D$2:$D$361,$K24))</f>
        <v/>
      </c>
      <c r="C24" s="44" t="str">
        <f>IF($K24="","",INDEX(AUX!$E$2:$E$361,$K24))</f>
        <v/>
      </c>
      <c r="D24" s="44" t="str">
        <f>IF($K24="","",INDEX(AUX!$F$2:$F$361,$K24))</f>
        <v/>
      </c>
      <c r="E24" s="42" t="str">
        <f>IF($K24="","",INDEX(AUX!$G$2:$G$361,$K24))</f>
        <v/>
      </c>
      <c r="F24" s="45" t="str">
        <f>IF($K24="","",INDEX(AUX!$H$2:$H$361,$K24))</f>
        <v/>
      </c>
      <c r="G24" s="24" t="str">
        <f>IF($K24="","",INDEX(AUX!$I$2:$I$361,$K24))</f>
        <v/>
      </c>
      <c r="K24" t="str">
        <f>IFERROR(MATCH(17,AUX!$K$2:$K$361,0),"")</f>
        <v/>
      </c>
    </row>
    <row r="25" spans="1:11" x14ac:dyDescent="0.25">
      <c r="A25" s="46" t="str">
        <f>IF($K25="","",18)</f>
        <v/>
      </c>
      <c r="B25" s="47" t="str">
        <f>IF($K25="","",INDEX(AUX!$D$2:$D$361,$K25))</f>
        <v/>
      </c>
      <c r="C25" s="48" t="str">
        <f>IF($K25="","",INDEX(AUX!$E$2:$E$361,$K25))</f>
        <v/>
      </c>
      <c r="D25" s="48" t="str">
        <f>IF($K25="","",INDEX(AUX!$F$2:$F$361,$K25))</f>
        <v/>
      </c>
      <c r="E25" s="46" t="str">
        <f>IF($K25="","",INDEX(AUX!$G$2:$G$361,$K25))</f>
        <v/>
      </c>
      <c r="F25" s="49" t="str">
        <f>IF($K25="","",INDEX(AUX!$H$2:$H$361,$K25))</f>
        <v/>
      </c>
      <c r="G25" s="50" t="str">
        <f>IF($K25="","",INDEX(AUX!$I$2:$I$361,$K25))</f>
        <v/>
      </c>
      <c r="K25" t="str">
        <f>IFERROR(MATCH(18,AUX!$K$2:$K$361,0),"")</f>
        <v/>
      </c>
    </row>
    <row r="26" spans="1:11" x14ac:dyDescent="0.25">
      <c r="A26" s="42" t="str">
        <f>IF($K26="","",19)</f>
        <v/>
      </c>
      <c r="B26" s="43" t="str">
        <f>IF($K26="","",INDEX(AUX!$D$2:$D$361,$K26))</f>
        <v/>
      </c>
      <c r="C26" s="44" t="str">
        <f>IF($K26="","",INDEX(AUX!$E$2:$E$361,$K26))</f>
        <v/>
      </c>
      <c r="D26" s="44" t="str">
        <f>IF($K26="","",INDEX(AUX!$F$2:$F$361,$K26))</f>
        <v/>
      </c>
      <c r="E26" s="42" t="str">
        <f>IF($K26="","",INDEX(AUX!$G$2:$G$361,$K26))</f>
        <v/>
      </c>
      <c r="F26" s="45" t="str">
        <f>IF($K26="","",INDEX(AUX!$H$2:$H$361,$K26))</f>
        <v/>
      </c>
      <c r="G26" s="24" t="str">
        <f>IF($K26="","",INDEX(AUX!$I$2:$I$361,$K26))</f>
        <v/>
      </c>
      <c r="K26" t="str">
        <f>IFERROR(MATCH(19,AUX!$K$2:$K$361,0),"")</f>
        <v/>
      </c>
    </row>
    <row r="27" spans="1:11" x14ac:dyDescent="0.25">
      <c r="A27" s="46" t="str">
        <f>IF($K27="","",20)</f>
        <v/>
      </c>
      <c r="B27" s="47" t="str">
        <f>IF($K27="","",INDEX(AUX!$D$2:$D$361,$K27))</f>
        <v/>
      </c>
      <c r="C27" s="48" t="str">
        <f>IF($K27="","",INDEX(AUX!$E$2:$E$361,$K27))</f>
        <v/>
      </c>
      <c r="D27" s="48" t="str">
        <f>IF($K27="","",INDEX(AUX!$F$2:$F$361,$K27))</f>
        <v/>
      </c>
      <c r="E27" s="46" t="str">
        <f>IF($K27="","",INDEX(AUX!$G$2:$G$361,$K27))</f>
        <v/>
      </c>
      <c r="F27" s="49" t="str">
        <f>IF($K27="","",INDEX(AUX!$H$2:$H$361,$K27))</f>
        <v/>
      </c>
      <c r="G27" s="50" t="str">
        <f>IF($K27="","",INDEX(AUX!$I$2:$I$361,$K27))</f>
        <v/>
      </c>
      <c r="K27" t="str">
        <f>IFERROR(MATCH(20,AUX!$K$2:$K$361,0),"")</f>
        <v/>
      </c>
    </row>
    <row r="28" spans="1:11" x14ac:dyDescent="0.25">
      <c r="A28" s="42" t="str">
        <f>IF($K28="","",21)</f>
        <v/>
      </c>
      <c r="B28" s="43" t="str">
        <f>IF($K28="","",INDEX(AUX!$D$2:$D$361,$K28))</f>
        <v/>
      </c>
      <c r="C28" s="44" t="str">
        <f>IF($K28="","",INDEX(AUX!$E$2:$E$361,$K28))</f>
        <v/>
      </c>
      <c r="D28" s="44" t="str">
        <f>IF($K28="","",INDEX(AUX!$F$2:$F$361,$K28))</f>
        <v/>
      </c>
      <c r="E28" s="42" t="str">
        <f>IF($K28="","",INDEX(AUX!$G$2:$G$361,$K28))</f>
        <v/>
      </c>
      <c r="F28" s="45" t="str">
        <f>IF($K28="","",INDEX(AUX!$H$2:$H$361,$K28))</f>
        <v/>
      </c>
      <c r="G28" s="24" t="str">
        <f>IF($K28="","",INDEX(AUX!$I$2:$I$361,$K28))</f>
        <v/>
      </c>
      <c r="K28" t="str">
        <f>IFERROR(MATCH(21,AUX!$K$2:$K$361,0),"")</f>
        <v/>
      </c>
    </row>
    <row r="29" spans="1:11" x14ac:dyDescent="0.25">
      <c r="A29" s="46" t="str">
        <f>IF($K29="","",22)</f>
        <v/>
      </c>
      <c r="B29" s="47" t="str">
        <f>IF($K29="","",INDEX(AUX!$D$2:$D$361,$K29))</f>
        <v/>
      </c>
      <c r="C29" s="48" t="str">
        <f>IF($K29="","",INDEX(AUX!$E$2:$E$361,$K29))</f>
        <v/>
      </c>
      <c r="D29" s="48" t="str">
        <f>IF($K29="","",INDEX(AUX!$F$2:$F$361,$K29))</f>
        <v/>
      </c>
      <c r="E29" s="46" t="str">
        <f>IF($K29="","",INDEX(AUX!$G$2:$G$361,$K29))</f>
        <v/>
      </c>
      <c r="F29" s="49" t="str">
        <f>IF($K29="","",INDEX(AUX!$H$2:$H$361,$K29))</f>
        <v/>
      </c>
      <c r="G29" s="50" t="str">
        <f>IF($K29="","",INDEX(AUX!$I$2:$I$361,$K29))</f>
        <v/>
      </c>
      <c r="K29" t="str">
        <f>IFERROR(MATCH(22,AUX!$K$2:$K$361,0),"")</f>
        <v/>
      </c>
    </row>
    <row r="30" spans="1:11" x14ac:dyDescent="0.25">
      <c r="A30" s="42" t="str">
        <f>IF($K30="","",23)</f>
        <v/>
      </c>
      <c r="B30" s="43" t="str">
        <f>IF($K30="","",INDEX(AUX!$D$2:$D$361,$K30))</f>
        <v/>
      </c>
      <c r="C30" s="44" t="str">
        <f>IF($K30="","",INDEX(AUX!$E$2:$E$361,$K30))</f>
        <v/>
      </c>
      <c r="D30" s="44" t="str">
        <f>IF($K30="","",INDEX(AUX!$F$2:$F$361,$K30))</f>
        <v/>
      </c>
      <c r="E30" s="42" t="str">
        <f>IF($K30="","",INDEX(AUX!$G$2:$G$361,$K30))</f>
        <v/>
      </c>
      <c r="F30" s="45" t="str">
        <f>IF($K30="","",INDEX(AUX!$H$2:$H$361,$K30))</f>
        <v/>
      </c>
      <c r="G30" s="24" t="str">
        <f>IF($K30="","",INDEX(AUX!$I$2:$I$361,$K30))</f>
        <v/>
      </c>
      <c r="K30" t="str">
        <f>IFERROR(MATCH(23,AUX!$K$2:$K$361,0),"")</f>
        <v/>
      </c>
    </row>
    <row r="31" spans="1:11" x14ac:dyDescent="0.25">
      <c r="A31" s="46" t="str">
        <f>IF($K31="","",24)</f>
        <v/>
      </c>
      <c r="B31" s="47" t="str">
        <f>IF($K31="","",INDEX(AUX!$D$2:$D$361,$K31))</f>
        <v/>
      </c>
      <c r="C31" s="48" t="str">
        <f>IF($K31="","",INDEX(AUX!$E$2:$E$361,$K31))</f>
        <v/>
      </c>
      <c r="D31" s="48" t="str">
        <f>IF($K31="","",INDEX(AUX!$F$2:$F$361,$K31))</f>
        <v/>
      </c>
      <c r="E31" s="46" t="str">
        <f>IF($K31="","",INDEX(AUX!$G$2:$G$361,$K31))</f>
        <v/>
      </c>
      <c r="F31" s="49" t="str">
        <f>IF($K31="","",INDEX(AUX!$H$2:$H$361,$K31))</f>
        <v/>
      </c>
      <c r="G31" s="50" t="str">
        <f>IF($K31="","",INDEX(AUX!$I$2:$I$361,$K31))</f>
        <v/>
      </c>
      <c r="K31" t="str">
        <f>IFERROR(MATCH(24,AUX!$K$2:$K$361,0),"")</f>
        <v/>
      </c>
    </row>
    <row r="32" spans="1:11" x14ac:dyDescent="0.25">
      <c r="A32" s="42" t="str">
        <f>IF($K32="","",25)</f>
        <v/>
      </c>
      <c r="B32" s="43" t="str">
        <f>IF($K32="","",INDEX(AUX!$D$2:$D$361,$K32))</f>
        <v/>
      </c>
      <c r="C32" s="44" t="str">
        <f>IF($K32="","",INDEX(AUX!$E$2:$E$361,$K32))</f>
        <v/>
      </c>
      <c r="D32" s="44" t="str">
        <f>IF($K32="","",INDEX(AUX!$F$2:$F$361,$K32))</f>
        <v/>
      </c>
      <c r="E32" s="42" t="str">
        <f>IF($K32="","",INDEX(AUX!$G$2:$G$361,$K32))</f>
        <v/>
      </c>
      <c r="F32" s="45" t="str">
        <f>IF($K32="","",INDEX(AUX!$H$2:$H$361,$K32))</f>
        <v/>
      </c>
      <c r="G32" s="24" t="str">
        <f>IF($K32="","",INDEX(AUX!$I$2:$I$361,$K32))</f>
        <v/>
      </c>
      <c r="K32" t="str">
        <f>IFERROR(MATCH(25,AUX!$K$2:$K$361,0),"")</f>
        <v/>
      </c>
    </row>
    <row r="33" spans="1:11" x14ac:dyDescent="0.25">
      <c r="A33" s="46" t="str">
        <f>IF($K33="","",26)</f>
        <v/>
      </c>
      <c r="B33" s="47" t="str">
        <f>IF($K33="","",INDEX(AUX!$D$2:$D$361,$K33))</f>
        <v/>
      </c>
      <c r="C33" s="48" t="str">
        <f>IF($K33="","",INDEX(AUX!$E$2:$E$361,$K33))</f>
        <v/>
      </c>
      <c r="D33" s="48" t="str">
        <f>IF($K33="","",INDEX(AUX!$F$2:$F$361,$K33))</f>
        <v/>
      </c>
      <c r="E33" s="46" t="str">
        <f>IF($K33="","",INDEX(AUX!$G$2:$G$361,$K33))</f>
        <v/>
      </c>
      <c r="F33" s="49" t="str">
        <f>IF($K33="","",INDEX(AUX!$H$2:$H$361,$K33))</f>
        <v/>
      </c>
      <c r="G33" s="50" t="str">
        <f>IF($K33="","",INDEX(AUX!$I$2:$I$361,$K33))</f>
        <v/>
      </c>
      <c r="K33" t="str">
        <f>IFERROR(MATCH(26,AUX!$K$2:$K$361,0),"")</f>
        <v/>
      </c>
    </row>
    <row r="34" spans="1:11" x14ac:dyDescent="0.25">
      <c r="A34" s="42" t="str">
        <f>IF($K34="","",27)</f>
        <v/>
      </c>
      <c r="B34" s="43" t="str">
        <f>IF($K34="","",INDEX(AUX!$D$2:$D$361,$K34))</f>
        <v/>
      </c>
      <c r="C34" s="44" t="str">
        <f>IF($K34="","",INDEX(AUX!$E$2:$E$361,$K34))</f>
        <v/>
      </c>
      <c r="D34" s="44" t="str">
        <f>IF($K34="","",INDEX(AUX!$F$2:$F$361,$K34))</f>
        <v/>
      </c>
      <c r="E34" s="42" t="str">
        <f>IF($K34="","",INDEX(AUX!$G$2:$G$361,$K34))</f>
        <v/>
      </c>
      <c r="F34" s="45" t="str">
        <f>IF($K34="","",INDEX(AUX!$H$2:$H$361,$K34))</f>
        <v/>
      </c>
      <c r="G34" s="24" t="str">
        <f>IF($K34="","",INDEX(AUX!$I$2:$I$361,$K34))</f>
        <v/>
      </c>
      <c r="K34" t="str">
        <f>IFERROR(MATCH(27,AUX!$K$2:$K$361,0),"")</f>
        <v/>
      </c>
    </row>
    <row r="35" spans="1:11" x14ac:dyDescent="0.25">
      <c r="A35" s="46" t="str">
        <f>IF($K35="","",28)</f>
        <v/>
      </c>
      <c r="B35" s="47" t="str">
        <f>IF($K35="","",INDEX(AUX!$D$2:$D$361,$K35))</f>
        <v/>
      </c>
      <c r="C35" s="48" t="str">
        <f>IF($K35="","",INDEX(AUX!$E$2:$E$361,$K35))</f>
        <v/>
      </c>
      <c r="D35" s="48" t="str">
        <f>IF($K35="","",INDEX(AUX!$F$2:$F$361,$K35))</f>
        <v/>
      </c>
      <c r="E35" s="46" t="str">
        <f>IF($K35="","",INDEX(AUX!$G$2:$G$361,$K35))</f>
        <v/>
      </c>
      <c r="F35" s="49" t="str">
        <f>IF($K35="","",INDEX(AUX!$H$2:$H$361,$K35))</f>
        <v/>
      </c>
      <c r="G35" s="50" t="str">
        <f>IF($K35="","",INDEX(AUX!$I$2:$I$361,$K35))</f>
        <v/>
      </c>
      <c r="K35" t="str">
        <f>IFERROR(MATCH(28,AUX!$K$2:$K$361,0),"")</f>
        <v/>
      </c>
    </row>
    <row r="36" spans="1:11" x14ac:dyDescent="0.25">
      <c r="A36" s="42" t="str">
        <f>IF($K36="","",29)</f>
        <v/>
      </c>
      <c r="B36" s="43" t="str">
        <f>IF($K36="","",INDEX(AUX!$D$2:$D$361,$K36))</f>
        <v/>
      </c>
      <c r="C36" s="44" t="str">
        <f>IF($K36="","",INDEX(AUX!$E$2:$E$361,$K36))</f>
        <v/>
      </c>
      <c r="D36" s="44" t="str">
        <f>IF($K36="","",INDEX(AUX!$F$2:$F$361,$K36))</f>
        <v/>
      </c>
      <c r="E36" s="42" t="str">
        <f>IF($K36="","",INDEX(AUX!$G$2:$G$361,$K36))</f>
        <v/>
      </c>
      <c r="F36" s="45" t="str">
        <f>IF($K36="","",INDEX(AUX!$H$2:$H$361,$K36))</f>
        <v/>
      </c>
      <c r="G36" s="24" t="str">
        <f>IF($K36="","",INDEX(AUX!$I$2:$I$361,$K36))</f>
        <v/>
      </c>
      <c r="K36" t="str">
        <f>IFERROR(MATCH(29,AUX!$K$2:$K$361,0),"")</f>
        <v/>
      </c>
    </row>
    <row r="37" spans="1:11" x14ac:dyDescent="0.25">
      <c r="A37" s="46" t="str">
        <f>IF($K37="","",30)</f>
        <v/>
      </c>
      <c r="B37" s="47" t="str">
        <f>IF($K37="","",INDEX(AUX!$D$2:$D$361,$K37))</f>
        <v/>
      </c>
      <c r="C37" s="48" t="str">
        <f>IF($K37="","",INDEX(AUX!$E$2:$E$361,$K37))</f>
        <v/>
      </c>
      <c r="D37" s="48" t="str">
        <f>IF($K37="","",INDEX(AUX!$F$2:$F$361,$K37))</f>
        <v/>
      </c>
      <c r="E37" s="46" t="str">
        <f>IF($K37="","",INDEX(AUX!$G$2:$G$361,$K37))</f>
        <v/>
      </c>
      <c r="F37" s="49" t="str">
        <f>IF($K37="","",INDEX(AUX!$H$2:$H$361,$K37))</f>
        <v/>
      </c>
      <c r="G37" s="50" t="str">
        <f>IF($K37="","",INDEX(AUX!$I$2:$I$361,$K37))</f>
        <v/>
      </c>
      <c r="K37" t="str">
        <f>IFERROR(MATCH(30,AUX!$K$2:$K$361,0),"")</f>
        <v/>
      </c>
    </row>
    <row r="38" spans="1:11" x14ac:dyDescent="0.25">
      <c r="A38" s="42" t="str">
        <f>IF($K38="","",31)</f>
        <v/>
      </c>
      <c r="B38" s="43" t="str">
        <f>IF($K38="","",INDEX(AUX!$D$2:$D$361,$K38))</f>
        <v/>
      </c>
      <c r="C38" s="44" t="str">
        <f>IF($K38="","",INDEX(AUX!$E$2:$E$361,$K38))</f>
        <v/>
      </c>
      <c r="D38" s="44" t="str">
        <f>IF($K38="","",INDEX(AUX!$F$2:$F$361,$K38))</f>
        <v/>
      </c>
      <c r="E38" s="42" t="str">
        <f>IF($K38="","",INDEX(AUX!$G$2:$G$361,$K38))</f>
        <v/>
      </c>
      <c r="F38" s="45" t="str">
        <f>IF($K38="","",INDEX(AUX!$H$2:$H$361,$K38))</f>
        <v/>
      </c>
      <c r="G38" s="24" t="str">
        <f>IF($K38="","",INDEX(AUX!$I$2:$I$361,$K38))</f>
        <v/>
      </c>
      <c r="K38" t="str">
        <f>IFERROR(MATCH(31,AUX!$K$2:$K$361,0),"")</f>
        <v/>
      </c>
    </row>
    <row r="39" spans="1:11" x14ac:dyDescent="0.25">
      <c r="A39" s="46" t="str">
        <f>IF($K39="","",32)</f>
        <v/>
      </c>
      <c r="B39" s="47" t="str">
        <f>IF($K39="","",INDEX(AUX!$D$2:$D$361,$K39))</f>
        <v/>
      </c>
      <c r="C39" s="48" t="str">
        <f>IF($K39="","",INDEX(AUX!$E$2:$E$361,$K39))</f>
        <v/>
      </c>
      <c r="D39" s="48" t="str">
        <f>IF($K39="","",INDEX(AUX!$F$2:$F$361,$K39))</f>
        <v/>
      </c>
      <c r="E39" s="46" t="str">
        <f>IF($K39="","",INDEX(AUX!$G$2:$G$361,$K39))</f>
        <v/>
      </c>
      <c r="F39" s="49" t="str">
        <f>IF($K39="","",INDEX(AUX!$H$2:$H$361,$K39))</f>
        <v/>
      </c>
      <c r="G39" s="50" t="str">
        <f>IF($K39="","",INDEX(AUX!$I$2:$I$361,$K39))</f>
        <v/>
      </c>
      <c r="K39" t="str">
        <f>IFERROR(MATCH(32,AUX!$K$2:$K$361,0),"")</f>
        <v/>
      </c>
    </row>
    <row r="40" spans="1:11" x14ac:dyDescent="0.25">
      <c r="A40" s="42" t="str">
        <f>IF($K40="","",33)</f>
        <v/>
      </c>
      <c r="B40" s="43" t="str">
        <f>IF($K40="","",INDEX(AUX!$D$2:$D$361,$K40))</f>
        <v/>
      </c>
      <c r="C40" s="44" t="str">
        <f>IF($K40="","",INDEX(AUX!$E$2:$E$361,$K40))</f>
        <v/>
      </c>
      <c r="D40" s="44" t="str">
        <f>IF($K40="","",INDEX(AUX!$F$2:$F$361,$K40))</f>
        <v/>
      </c>
      <c r="E40" s="42" t="str">
        <f>IF($K40="","",INDEX(AUX!$G$2:$G$361,$K40))</f>
        <v/>
      </c>
      <c r="F40" s="45" t="str">
        <f>IF($K40="","",INDEX(AUX!$H$2:$H$361,$K40))</f>
        <v/>
      </c>
      <c r="G40" s="24" t="str">
        <f>IF($K40="","",INDEX(AUX!$I$2:$I$361,$K40))</f>
        <v/>
      </c>
      <c r="K40" t="str">
        <f>IFERROR(MATCH(33,AUX!$K$2:$K$361,0),"")</f>
        <v/>
      </c>
    </row>
    <row r="41" spans="1:11" x14ac:dyDescent="0.25">
      <c r="A41" s="46" t="str">
        <f>IF($K41="","",34)</f>
        <v/>
      </c>
      <c r="B41" s="47" t="str">
        <f>IF($K41="","",INDEX(AUX!$D$2:$D$361,$K41))</f>
        <v/>
      </c>
      <c r="C41" s="48" t="str">
        <f>IF($K41="","",INDEX(AUX!$E$2:$E$361,$K41))</f>
        <v/>
      </c>
      <c r="D41" s="48" t="str">
        <f>IF($K41="","",INDEX(AUX!$F$2:$F$361,$K41))</f>
        <v/>
      </c>
      <c r="E41" s="46" t="str">
        <f>IF($K41="","",INDEX(AUX!$G$2:$G$361,$K41))</f>
        <v/>
      </c>
      <c r="F41" s="49" t="str">
        <f>IF($K41="","",INDEX(AUX!$H$2:$H$361,$K41))</f>
        <v/>
      </c>
      <c r="G41" s="50" t="str">
        <f>IF($K41="","",INDEX(AUX!$I$2:$I$361,$K41))</f>
        <v/>
      </c>
      <c r="K41" t="str">
        <f>IFERROR(MATCH(34,AUX!$K$2:$K$361,0),"")</f>
        <v/>
      </c>
    </row>
    <row r="42" spans="1:11" x14ac:dyDescent="0.25">
      <c r="A42" s="42" t="str">
        <f>IF($K42="","",35)</f>
        <v/>
      </c>
      <c r="B42" s="43" t="str">
        <f>IF($K42="","",INDEX(AUX!$D$2:$D$361,$K42))</f>
        <v/>
      </c>
      <c r="C42" s="44" t="str">
        <f>IF($K42="","",INDEX(AUX!$E$2:$E$361,$K42))</f>
        <v/>
      </c>
      <c r="D42" s="44" t="str">
        <f>IF($K42="","",INDEX(AUX!$F$2:$F$361,$K42))</f>
        <v/>
      </c>
      <c r="E42" s="42" t="str">
        <f>IF($K42="","",INDEX(AUX!$G$2:$G$361,$K42))</f>
        <v/>
      </c>
      <c r="F42" s="45" t="str">
        <f>IF($K42="","",INDEX(AUX!$H$2:$H$361,$K42))</f>
        <v/>
      </c>
      <c r="G42" s="24" t="str">
        <f>IF($K42="","",INDEX(AUX!$I$2:$I$361,$K42))</f>
        <v/>
      </c>
      <c r="K42" t="str">
        <f>IFERROR(MATCH(35,AUX!$K$2:$K$361,0),"")</f>
        <v/>
      </c>
    </row>
    <row r="43" spans="1:11" x14ac:dyDescent="0.25">
      <c r="A43" s="46" t="str">
        <f>IF($K43="","",36)</f>
        <v/>
      </c>
      <c r="B43" s="47" t="str">
        <f>IF($K43="","",INDEX(AUX!$D$2:$D$361,$K43))</f>
        <v/>
      </c>
      <c r="C43" s="48" t="str">
        <f>IF($K43="","",INDEX(AUX!$E$2:$E$361,$K43))</f>
        <v/>
      </c>
      <c r="D43" s="48" t="str">
        <f>IF($K43="","",INDEX(AUX!$F$2:$F$361,$K43))</f>
        <v/>
      </c>
      <c r="E43" s="46" t="str">
        <f>IF($K43="","",INDEX(AUX!$G$2:$G$361,$K43))</f>
        <v/>
      </c>
      <c r="F43" s="49" t="str">
        <f>IF($K43="","",INDEX(AUX!$H$2:$H$361,$K43))</f>
        <v/>
      </c>
      <c r="G43" s="50" t="str">
        <f>IF($K43="","",INDEX(AUX!$I$2:$I$361,$K43))</f>
        <v/>
      </c>
      <c r="K43" t="str">
        <f>IFERROR(MATCH(36,AUX!$K$2:$K$361,0),"")</f>
        <v/>
      </c>
    </row>
    <row r="44" spans="1:11" x14ac:dyDescent="0.25">
      <c r="A44" s="42" t="str">
        <f>IF($K44="","",37)</f>
        <v/>
      </c>
      <c r="B44" s="43" t="str">
        <f>IF($K44="","",INDEX(AUX!$D$2:$D$361,$K44))</f>
        <v/>
      </c>
      <c r="C44" s="44" t="str">
        <f>IF($K44="","",INDEX(AUX!$E$2:$E$361,$K44))</f>
        <v/>
      </c>
      <c r="D44" s="44" t="str">
        <f>IF($K44="","",INDEX(AUX!$F$2:$F$361,$K44))</f>
        <v/>
      </c>
      <c r="E44" s="42" t="str">
        <f>IF($K44="","",INDEX(AUX!$G$2:$G$361,$K44))</f>
        <v/>
      </c>
      <c r="F44" s="45" t="str">
        <f>IF($K44="","",INDEX(AUX!$H$2:$H$361,$K44))</f>
        <v/>
      </c>
      <c r="G44" s="24" t="str">
        <f>IF($K44="","",INDEX(AUX!$I$2:$I$361,$K44))</f>
        <v/>
      </c>
      <c r="K44" t="str">
        <f>IFERROR(MATCH(37,AUX!$K$2:$K$361,0),"")</f>
        <v/>
      </c>
    </row>
    <row r="45" spans="1:11" x14ac:dyDescent="0.25">
      <c r="A45" s="46" t="str">
        <f>IF($K45="","",38)</f>
        <v/>
      </c>
      <c r="B45" s="47" t="str">
        <f>IF($K45="","",INDEX(AUX!$D$2:$D$361,$K45))</f>
        <v/>
      </c>
      <c r="C45" s="48" t="str">
        <f>IF($K45="","",INDEX(AUX!$E$2:$E$361,$K45))</f>
        <v/>
      </c>
      <c r="D45" s="48" t="str">
        <f>IF($K45="","",INDEX(AUX!$F$2:$F$361,$K45))</f>
        <v/>
      </c>
      <c r="E45" s="46" t="str">
        <f>IF($K45="","",INDEX(AUX!$G$2:$G$361,$K45))</f>
        <v/>
      </c>
      <c r="F45" s="49" t="str">
        <f>IF($K45="","",INDEX(AUX!$H$2:$H$361,$K45))</f>
        <v/>
      </c>
      <c r="G45" s="50" t="str">
        <f>IF($K45="","",INDEX(AUX!$I$2:$I$361,$K45))</f>
        <v/>
      </c>
      <c r="K45" t="str">
        <f>IFERROR(MATCH(38,AUX!$K$2:$K$361,0),"")</f>
        <v/>
      </c>
    </row>
    <row r="46" spans="1:11" x14ac:dyDescent="0.25">
      <c r="A46" s="42" t="str">
        <f>IF($K46="","",39)</f>
        <v/>
      </c>
      <c r="B46" s="43" t="str">
        <f>IF($K46="","",INDEX(AUX!$D$2:$D$361,$K46))</f>
        <v/>
      </c>
      <c r="C46" s="44" t="str">
        <f>IF($K46="","",INDEX(AUX!$E$2:$E$361,$K46))</f>
        <v/>
      </c>
      <c r="D46" s="44" t="str">
        <f>IF($K46="","",INDEX(AUX!$F$2:$F$361,$K46))</f>
        <v/>
      </c>
      <c r="E46" s="42" t="str">
        <f>IF($K46="","",INDEX(AUX!$G$2:$G$361,$K46))</f>
        <v/>
      </c>
      <c r="F46" s="45" t="str">
        <f>IF($K46="","",INDEX(AUX!$H$2:$H$361,$K46))</f>
        <v/>
      </c>
      <c r="G46" s="24" t="str">
        <f>IF($K46="","",INDEX(AUX!$I$2:$I$361,$K46))</f>
        <v/>
      </c>
      <c r="K46" t="str">
        <f>IFERROR(MATCH(39,AUX!$K$2:$K$361,0),"")</f>
        <v/>
      </c>
    </row>
    <row r="47" spans="1:11" x14ac:dyDescent="0.25">
      <c r="A47" s="46" t="str">
        <f>IF($K47="","",40)</f>
        <v/>
      </c>
      <c r="B47" s="47" t="str">
        <f>IF($K47="","",INDEX(AUX!$D$2:$D$361,$K47))</f>
        <v/>
      </c>
      <c r="C47" s="48" t="str">
        <f>IF($K47="","",INDEX(AUX!$E$2:$E$361,$K47))</f>
        <v/>
      </c>
      <c r="D47" s="48" t="str">
        <f>IF($K47="","",INDEX(AUX!$F$2:$F$361,$K47))</f>
        <v/>
      </c>
      <c r="E47" s="46" t="str">
        <f>IF($K47="","",INDEX(AUX!$G$2:$G$361,$K47))</f>
        <v/>
      </c>
      <c r="F47" s="49" t="str">
        <f>IF($K47="","",INDEX(AUX!$H$2:$H$361,$K47))</f>
        <v/>
      </c>
      <c r="G47" s="50" t="str">
        <f>IF($K47="","",INDEX(AUX!$I$2:$I$361,$K47))</f>
        <v/>
      </c>
      <c r="K47" t="str">
        <f>IFERROR(MATCH(40,AUX!$K$2:$K$361,0),"")</f>
        <v/>
      </c>
    </row>
    <row r="48" spans="1:11" x14ac:dyDescent="0.25">
      <c r="A48" s="42" t="str">
        <f>IF($K48="","",41)</f>
        <v/>
      </c>
      <c r="B48" s="43" t="str">
        <f>IF($K48="","",INDEX(AUX!$D$2:$D$361,$K48))</f>
        <v/>
      </c>
      <c r="C48" s="44" t="str">
        <f>IF($K48="","",INDEX(AUX!$E$2:$E$361,$K48))</f>
        <v/>
      </c>
      <c r="D48" s="44" t="str">
        <f>IF($K48="","",INDEX(AUX!$F$2:$F$361,$K48))</f>
        <v/>
      </c>
      <c r="E48" s="42" t="str">
        <f>IF($K48="","",INDEX(AUX!$G$2:$G$361,$K48))</f>
        <v/>
      </c>
      <c r="F48" s="45" t="str">
        <f>IF($K48="","",INDEX(AUX!$H$2:$H$361,$K48))</f>
        <v/>
      </c>
      <c r="G48" s="24" t="str">
        <f>IF($K48="","",INDEX(AUX!$I$2:$I$361,$K48))</f>
        <v/>
      </c>
      <c r="K48" t="str">
        <f>IFERROR(MATCH(41,AUX!$K$2:$K$361,0),"")</f>
        <v/>
      </c>
    </row>
    <row r="49" spans="1:11" x14ac:dyDescent="0.25">
      <c r="A49" s="46" t="str">
        <f>IF($K49="","",42)</f>
        <v/>
      </c>
      <c r="B49" s="47" t="str">
        <f>IF($K49="","",INDEX(AUX!$D$2:$D$361,$K49))</f>
        <v/>
      </c>
      <c r="C49" s="48" t="str">
        <f>IF($K49="","",INDEX(AUX!$E$2:$E$361,$K49))</f>
        <v/>
      </c>
      <c r="D49" s="48" t="str">
        <f>IF($K49="","",INDEX(AUX!$F$2:$F$361,$K49))</f>
        <v/>
      </c>
      <c r="E49" s="46" t="str">
        <f>IF($K49="","",INDEX(AUX!$G$2:$G$361,$K49))</f>
        <v/>
      </c>
      <c r="F49" s="49" t="str">
        <f>IF($K49="","",INDEX(AUX!$H$2:$H$361,$K49))</f>
        <v/>
      </c>
      <c r="G49" s="50" t="str">
        <f>IF($K49="","",INDEX(AUX!$I$2:$I$361,$K49))</f>
        <v/>
      </c>
      <c r="K49" t="str">
        <f>IFERROR(MATCH(42,AUX!$K$2:$K$361,0),"")</f>
        <v/>
      </c>
    </row>
    <row r="50" spans="1:11" x14ac:dyDescent="0.25">
      <c r="A50" s="42" t="str">
        <f>IF($K50="","",43)</f>
        <v/>
      </c>
      <c r="B50" s="43" t="str">
        <f>IF($K50="","",INDEX(AUX!$D$2:$D$361,$K50))</f>
        <v/>
      </c>
      <c r="C50" s="44" t="str">
        <f>IF($K50="","",INDEX(AUX!$E$2:$E$361,$K50))</f>
        <v/>
      </c>
      <c r="D50" s="44" t="str">
        <f>IF($K50="","",INDEX(AUX!$F$2:$F$361,$K50))</f>
        <v/>
      </c>
      <c r="E50" s="42" t="str">
        <f>IF($K50="","",INDEX(AUX!$G$2:$G$361,$K50))</f>
        <v/>
      </c>
      <c r="F50" s="45" t="str">
        <f>IF($K50="","",INDEX(AUX!$H$2:$H$361,$K50))</f>
        <v/>
      </c>
      <c r="G50" s="24" t="str">
        <f>IF($K50="","",INDEX(AUX!$I$2:$I$361,$K50))</f>
        <v/>
      </c>
      <c r="K50" t="str">
        <f>IFERROR(MATCH(43,AUX!$K$2:$K$361,0),"")</f>
        <v/>
      </c>
    </row>
    <row r="51" spans="1:11" x14ac:dyDescent="0.25">
      <c r="A51" s="46" t="str">
        <f>IF($K51="","",44)</f>
        <v/>
      </c>
      <c r="B51" s="47" t="str">
        <f>IF($K51="","",INDEX(AUX!$D$2:$D$361,$K51))</f>
        <v/>
      </c>
      <c r="C51" s="48" t="str">
        <f>IF($K51="","",INDEX(AUX!$E$2:$E$361,$K51))</f>
        <v/>
      </c>
      <c r="D51" s="48" t="str">
        <f>IF($K51="","",INDEX(AUX!$F$2:$F$361,$K51))</f>
        <v/>
      </c>
      <c r="E51" s="46" t="str">
        <f>IF($K51="","",INDEX(AUX!$G$2:$G$361,$K51))</f>
        <v/>
      </c>
      <c r="F51" s="49" t="str">
        <f>IF($K51="","",INDEX(AUX!$H$2:$H$361,$K51))</f>
        <v/>
      </c>
      <c r="G51" s="50" t="str">
        <f>IF($K51="","",INDEX(AUX!$I$2:$I$361,$K51))</f>
        <v/>
      </c>
      <c r="K51" t="str">
        <f>IFERROR(MATCH(44,AUX!$K$2:$K$361,0),"")</f>
        <v/>
      </c>
    </row>
    <row r="52" spans="1:11" x14ac:dyDescent="0.25">
      <c r="A52" s="42" t="str">
        <f>IF($K52="","",45)</f>
        <v/>
      </c>
      <c r="B52" s="43" t="str">
        <f>IF($K52="","",INDEX(AUX!$D$2:$D$361,$K52))</f>
        <v/>
      </c>
      <c r="C52" s="44" t="str">
        <f>IF($K52="","",INDEX(AUX!$E$2:$E$361,$K52))</f>
        <v/>
      </c>
      <c r="D52" s="44" t="str">
        <f>IF($K52="","",INDEX(AUX!$F$2:$F$361,$K52))</f>
        <v/>
      </c>
      <c r="E52" s="42" t="str">
        <f>IF($K52="","",INDEX(AUX!$G$2:$G$361,$K52))</f>
        <v/>
      </c>
      <c r="F52" s="45" t="str">
        <f>IF($K52="","",INDEX(AUX!$H$2:$H$361,$K52))</f>
        <v/>
      </c>
      <c r="G52" s="24" t="str">
        <f>IF($K52="","",INDEX(AUX!$I$2:$I$361,$K52))</f>
        <v/>
      </c>
      <c r="K52" t="str">
        <f>IFERROR(MATCH(45,AUX!$K$2:$K$361,0),"")</f>
        <v/>
      </c>
    </row>
    <row r="53" spans="1:11" x14ac:dyDescent="0.25">
      <c r="A53" s="46" t="str">
        <f>IF($K53="","",46)</f>
        <v/>
      </c>
      <c r="B53" s="47" t="str">
        <f>IF($K53="","",INDEX(AUX!$D$2:$D$361,$K53))</f>
        <v/>
      </c>
      <c r="C53" s="48" t="str">
        <f>IF($K53="","",INDEX(AUX!$E$2:$E$361,$K53))</f>
        <v/>
      </c>
      <c r="D53" s="48" t="str">
        <f>IF($K53="","",INDEX(AUX!$F$2:$F$361,$K53))</f>
        <v/>
      </c>
      <c r="E53" s="46" t="str">
        <f>IF($K53="","",INDEX(AUX!$G$2:$G$361,$K53))</f>
        <v/>
      </c>
      <c r="F53" s="49" t="str">
        <f>IF($K53="","",INDEX(AUX!$H$2:$H$361,$K53))</f>
        <v/>
      </c>
      <c r="G53" s="50" t="str">
        <f>IF($K53="","",INDEX(AUX!$I$2:$I$361,$K53))</f>
        <v/>
      </c>
      <c r="K53" t="str">
        <f>IFERROR(MATCH(46,AUX!$K$2:$K$361,0),"")</f>
        <v/>
      </c>
    </row>
    <row r="54" spans="1:11" x14ac:dyDescent="0.25">
      <c r="A54" s="42" t="str">
        <f>IF($K54="","",47)</f>
        <v/>
      </c>
      <c r="B54" s="43" t="str">
        <f>IF($K54="","",INDEX(AUX!$D$2:$D$361,$K54))</f>
        <v/>
      </c>
      <c r="C54" s="44" t="str">
        <f>IF($K54="","",INDEX(AUX!$E$2:$E$361,$K54))</f>
        <v/>
      </c>
      <c r="D54" s="44" t="str">
        <f>IF($K54="","",INDEX(AUX!$F$2:$F$361,$K54))</f>
        <v/>
      </c>
      <c r="E54" s="42" t="str">
        <f>IF($K54="","",INDEX(AUX!$G$2:$G$361,$K54))</f>
        <v/>
      </c>
      <c r="F54" s="45" t="str">
        <f>IF($K54="","",INDEX(AUX!$H$2:$H$361,$K54))</f>
        <v/>
      </c>
      <c r="G54" s="24" t="str">
        <f>IF($K54="","",INDEX(AUX!$I$2:$I$361,$K54))</f>
        <v/>
      </c>
      <c r="K54" t="str">
        <f>IFERROR(MATCH(47,AUX!$K$2:$K$361,0),"")</f>
        <v/>
      </c>
    </row>
    <row r="55" spans="1:11" x14ac:dyDescent="0.25">
      <c r="A55" s="46" t="str">
        <f>IF($K55="","",48)</f>
        <v/>
      </c>
      <c r="B55" s="47" t="str">
        <f>IF($K55="","",INDEX(AUX!$D$2:$D$361,$K55))</f>
        <v/>
      </c>
      <c r="C55" s="48" t="str">
        <f>IF($K55="","",INDEX(AUX!$E$2:$E$361,$K55))</f>
        <v/>
      </c>
      <c r="D55" s="48" t="str">
        <f>IF($K55="","",INDEX(AUX!$F$2:$F$361,$K55))</f>
        <v/>
      </c>
      <c r="E55" s="46" t="str">
        <f>IF($K55="","",INDEX(AUX!$G$2:$G$361,$K55))</f>
        <v/>
      </c>
      <c r="F55" s="49" t="str">
        <f>IF($K55="","",INDEX(AUX!$H$2:$H$361,$K55))</f>
        <v/>
      </c>
      <c r="G55" s="50" t="str">
        <f>IF($K55="","",INDEX(AUX!$I$2:$I$361,$K55))</f>
        <v/>
      </c>
      <c r="K55" t="str">
        <f>IFERROR(MATCH(48,AUX!$K$2:$K$361,0),"")</f>
        <v/>
      </c>
    </row>
    <row r="56" spans="1:11" x14ac:dyDescent="0.25">
      <c r="A56" s="42" t="str">
        <f>IF($K56="","",49)</f>
        <v/>
      </c>
      <c r="B56" s="43" t="str">
        <f>IF($K56="","",INDEX(AUX!$D$2:$D$361,$K56))</f>
        <v/>
      </c>
      <c r="C56" s="44" t="str">
        <f>IF($K56="","",INDEX(AUX!$E$2:$E$361,$K56))</f>
        <v/>
      </c>
      <c r="D56" s="44" t="str">
        <f>IF($K56="","",INDEX(AUX!$F$2:$F$361,$K56))</f>
        <v/>
      </c>
      <c r="E56" s="42" t="str">
        <f>IF($K56="","",INDEX(AUX!$G$2:$G$361,$K56))</f>
        <v/>
      </c>
      <c r="F56" s="45" t="str">
        <f>IF($K56="","",INDEX(AUX!$H$2:$H$361,$K56))</f>
        <v/>
      </c>
      <c r="G56" s="24" t="str">
        <f>IF($K56="","",INDEX(AUX!$I$2:$I$361,$K56))</f>
        <v/>
      </c>
      <c r="K56" t="str">
        <f>IFERROR(MATCH(49,AUX!$K$2:$K$361,0),"")</f>
        <v/>
      </c>
    </row>
    <row r="57" spans="1:11" x14ac:dyDescent="0.25">
      <c r="A57" s="46" t="str">
        <f>IF($K57="","",50)</f>
        <v/>
      </c>
      <c r="B57" s="47" t="str">
        <f>IF($K57="","",INDEX(AUX!$D$2:$D$361,$K57))</f>
        <v/>
      </c>
      <c r="C57" s="48" t="str">
        <f>IF($K57="","",INDEX(AUX!$E$2:$E$361,$K57))</f>
        <v/>
      </c>
      <c r="D57" s="48" t="str">
        <f>IF($K57="","",INDEX(AUX!$F$2:$F$361,$K57))</f>
        <v/>
      </c>
      <c r="E57" s="46" t="str">
        <f>IF($K57="","",INDEX(AUX!$G$2:$G$361,$K57))</f>
        <v/>
      </c>
      <c r="F57" s="49" t="str">
        <f>IF($K57="","",INDEX(AUX!$H$2:$H$361,$K57))</f>
        <v/>
      </c>
      <c r="G57" s="50" t="str">
        <f>IF($K57="","",INDEX(AUX!$I$2:$I$361,$K57))</f>
        <v/>
      </c>
      <c r="K57" t="str">
        <f>IFERROR(MATCH(50,AUX!$K$2:$K$361,0),"")</f>
        <v/>
      </c>
    </row>
    <row r="58" spans="1:11" x14ac:dyDescent="0.25">
      <c r="A58" s="42" t="str">
        <f>IF($K58="","",51)</f>
        <v/>
      </c>
      <c r="B58" s="43" t="str">
        <f>IF($K58="","",INDEX(AUX!$D$2:$D$361,$K58))</f>
        <v/>
      </c>
      <c r="C58" s="44" t="str">
        <f>IF($K58="","",INDEX(AUX!$E$2:$E$361,$K58))</f>
        <v/>
      </c>
      <c r="D58" s="44" t="str">
        <f>IF($K58="","",INDEX(AUX!$F$2:$F$361,$K58))</f>
        <v/>
      </c>
      <c r="E58" s="42" t="str">
        <f>IF($K58="","",INDEX(AUX!$G$2:$G$361,$K58))</f>
        <v/>
      </c>
      <c r="F58" s="45" t="str">
        <f>IF($K58="","",INDEX(AUX!$H$2:$H$361,$K58))</f>
        <v/>
      </c>
      <c r="G58" s="24" t="str">
        <f>IF($K58="","",INDEX(AUX!$I$2:$I$361,$K58))</f>
        <v/>
      </c>
      <c r="K58" t="str">
        <f>IFERROR(MATCH(51,AUX!$K$2:$K$361,0),"")</f>
        <v/>
      </c>
    </row>
    <row r="59" spans="1:11" x14ac:dyDescent="0.25">
      <c r="A59" s="46" t="str">
        <f>IF($K59="","",52)</f>
        <v/>
      </c>
      <c r="B59" s="47" t="str">
        <f>IF($K59="","",INDEX(AUX!$D$2:$D$361,$K59))</f>
        <v/>
      </c>
      <c r="C59" s="48" t="str">
        <f>IF($K59="","",INDEX(AUX!$E$2:$E$361,$K59))</f>
        <v/>
      </c>
      <c r="D59" s="48" t="str">
        <f>IF($K59="","",INDEX(AUX!$F$2:$F$361,$K59))</f>
        <v/>
      </c>
      <c r="E59" s="46" t="str">
        <f>IF($K59="","",INDEX(AUX!$G$2:$G$361,$K59))</f>
        <v/>
      </c>
      <c r="F59" s="49" t="str">
        <f>IF($K59="","",INDEX(AUX!$H$2:$H$361,$K59))</f>
        <v/>
      </c>
      <c r="G59" s="50" t="str">
        <f>IF($K59="","",INDEX(AUX!$I$2:$I$361,$K59))</f>
        <v/>
      </c>
      <c r="K59" t="str">
        <f>IFERROR(MATCH(52,AUX!$K$2:$K$361,0),"")</f>
        <v/>
      </c>
    </row>
    <row r="60" spans="1:11" x14ac:dyDescent="0.25">
      <c r="A60" s="42" t="str">
        <f>IF($K60="","",53)</f>
        <v/>
      </c>
      <c r="B60" s="43" t="str">
        <f>IF($K60="","",INDEX(AUX!$D$2:$D$361,$K60))</f>
        <v/>
      </c>
      <c r="C60" s="44" t="str">
        <f>IF($K60="","",INDEX(AUX!$E$2:$E$361,$K60))</f>
        <v/>
      </c>
      <c r="D60" s="44" t="str">
        <f>IF($K60="","",INDEX(AUX!$F$2:$F$361,$K60))</f>
        <v/>
      </c>
      <c r="E60" s="42" t="str">
        <f>IF($K60="","",INDEX(AUX!$G$2:$G$361,$K60))</f>
        <v/>
      </c>
      <c r="F60" s="45" t="str">
        <f>IF($K60="","",INDEX(AUX!$H$2:$H$361,$K60))</f>
        <v/>
      </c>
      <c r="G60" s="24" t="str">
        <f>IF($K60="","",INDEX(AUX!$I$2:$I$361,$K60))</f>
        <v/>
      </c>
      <c r="K60" t="str">
        <f>IFERROR(MATCH(53,AUX!$K$2:$K$361,0),"")</f>
        <v/>
      </c>
    </row>
    <row r="61" spans="1:11" x14ac:dyDescent="0.25">
      <c r="A61" s="46" t="str">
        <f>IF($K61="","",54)</f>
        <v/>
      </c>
      <c r="B61" s="47" t="str">
        <f>IF($K61="","",INDEX(AUX!$D$2:$D$361,$K61))</f>
        <v/>
      </c>
      <c r="C61" s="48" t="str">
        <f>IF($K61="","",INDEX(AUX!$E$2:$E$361,$K61))</f>
        <v/>
      </c>
      <c r="D61" s="48" t="str">
        <f>IF($K61="","",INDEX(AUX!$F$2:$F$361,$K61))</f>
        <v/>
      </c>
      <c r="E61" s="46" t="str">
        <f>IF($K61="","",INDEX(AUX!$G$2:$G$361,$K61))</f>
        <v/>
      </c>
      <c r="F61" s="49" t="str">
        <f>IF($K61="","",INDEX(AUX!$H$2:$H$361,$K61))</f>
        <v/>
      </c>
      <c r="G61" s="50" t="str">
        <f>IF($K61="","",INDEX(AUX!$I$2:$I$361,$K61))</f>
        <v/>
      </c>
      <c r="K61" t="str">
        <f>IFERROR(MATCH(54,AUX!$K$2:$K$361,0),"")</f>
        <v/>
      </c>
    </row>
    <row r="62" spans="1:11" x14ac:dyDescent="0.25">
      <c r="A62" s="42" t="str">
        <f>IF($K62="","",55)</f>
        <v/>
      </c>
      <c r="B62" s="43" t="str">
        <f>IF($K62="","",INDEX(AUX!$D$2:$D$361,$K62))</f>
        <v/>
      </c>
      <c r="C62" s="44" t="str">
        <f>IF($K62="","",INDEX(AUX!$E$2:$E$361,$K62))</f>
        <v/>
      </c>
      <c r="D62" s="44" t="str">
        <f>IF($K62="","",INDEX(AUX!$F$2:$F$361,$K62))</f>
        <v/>
      </c>
      <c r="E62" s="42" t="str">
        <f>IF($K62="","",INDEX(AUX!$G$2:$G$361,$K62))</f>
        <v/>
      </c>
      <c r="F62" s="45" t="str">
        <f>IF($K62="","",INDEX(AUX!$H$2:$H$361,$K62))</f>
        <v/>
      </c>
      <c r="G62" s="24" t="str">
        <f>IF($K62="","",INDEX(AUX!$I$2:$I$361,$K62))</f>
        <v/>
      </c>
      <c r="K62" t="str">
        <f>IFERROR(MATCH(55,AUX!$K$2:$K$361,0),"")</f>
        <v/>
      </c>
    </row>
    <row r="63" spans="1:11" x14ac:dyDescent="0.25">
      <c r="A63" s="46" t="str">
        <f>IF($K63="","",56)</f>
        <v/>
      </c>
      <c r="B63" s="47" t="str">
        <f>IF($K63="","",INDEX(AUX!$D$2:$D$361,$K63))</f>
        <v/>
      </c>
      <c r="C63" s="48" t="str">
        <f>IF($K63="","",INDEX(AUX!$E$2:$E$361,$K63))</f>
        <v/>
      </c>
      <c r="D63" s="48" t="str">
        <f>IF($K63="","",INDEX(AUX!$F$2:$F$361,$K63))</f>
        <v/>
      </c>
      <c r="E63" s="46" t="str">
        <f>IF($K63="","",INDEX(AUX!$G$2:$G$361,$K63))</f>
        <v/>
      </c>
      <c r="F63" s="49" t="str">
        <f>IF($K63="","",INDEX(AUX!$H$2:$H$361,$K63))</f>
        <v/>
      </c>
      <c r="G63" s="50" t="str">
        <f>IF($K63="","",INDEX(AUX!$I$2:$I$361,$K63))</f>
        <v/>
      </c>
      <c r="K63" t="str">
        <f>IFERROR(MATCH(56,AUX!$K$2:$K$361,0),"")</f>
        <v/>
      </c>
    </row>
    <row r="64" spans="1:11" x14ac:dyDescent="0.25">
      <c r="A64" s="42" t="str">
        <f>IF($K64="","",57)</f>
        <v/>
      </c>
      <c r="B64" s="43" t="str">
        <f>IF($K64="","",INDEX(AUX!$D$2:$D$361,$K64))</f>
        <v/>
      </c>
      <c r="C64" s="44" t="str">
        <f>IF($K64="","",INDEX(AUX!$E$2:$E$361,$K64))</f>
        <v/>
      </c>
      <c r="D64" s="44" t="str">
        <f>IF($K64="","",INDEX(AUX!$F$2:$F$361,$K64))</f>
        <v/>
      </c>
      <c r="E64" s="42" t="str">
        <f>IF($K64="","",INDEX(AUX!$G$2:$G$361,$K64))</f>
        <v/>
      </c>
      <c r="F64" s="45" t="str">
        <f>IF($K64="","",INDEX(AUX!$H$2:$H$361,$K64))</f>
        <v/>
      </c>
      <c r="G64" s="24" t="str">
        <f>IF($K64="","",INDEX(AUX!$I$2:$I$361,$K64))</f>
        <v/>
      </c>
      <c r="K64" t="str">
        <f>IFERROR(MATCH(57,AUX!$K$2:$K$361,0),"")</f>
        <v/>
      </c>
    </row>
    <row r="65" spans="1:11" x14ac:dyDescent="0.25">
      <c r="A65" s="46" t="str">
        <f>IF($K65="","",58)</f>
        <v/>
      </c>
      <c r="B65" s="47" t="str">
        <f>IF($K65="","",INDEX(AUX!$D$2:$D$361,$K65))</f>
        <v/>
      </c>
      <c r="C65" s="48" t="str">
        <f>IF($K65="","",INDEX(AUX!$E$2:$E$361,$K65))</f>
        <v/>
      </c>
      <c r="D65" s="48" t="str">
        <f>IF($K65="","",INDEX(AUX!$F$2:$F$361,$K65))</f>
        <v/>
      </c>
      <c r="E65" s="46" t="str">
        <f>IF($K65="","",INDEX(AUX!$G$2:$G$361,$K65))</f>
        <v/>
      </c>
      <c r="F65" s="49" t="str">
        <f>IF($K65="","",INDEX(AUX!$H$2:$H$361,$K65))</f>
        <v/>
      </c>
      <c r="G65" s="50" t="str">
        <f>IF($K65="","",INDEX(AUX!$I$2:$I$361,$K65))</f>
        <v/>
      </c>
      <c r="K65" t="str">
        <f>IFERROR(MATCH(58,AUX!$K$2:$K$361,0),"")</f>
        <v/>
      </c>
    </row>
    <row r="66" spans="1:11" x14ac:dyDescent="0.25">
      <c r="A66" s="42" t="str">
        <f>IF($K66="","",59)</f>
        <v/>
      </c>
      <c r="B66" s="43" t="str">
        <f>IF($K66="","",INDEX(AUX!$D$2:$D$361,$K66))</f>
        <v/>
      </c>
      <c r="C66" s="44" t="str">
        <f>IF($K66="","",INDEX(AUX!$E$2:$E$361,$K66))</f>
        <v/>
      </c>
      <c r="D66" s="44" t="str">
        <f>IF($K66="","",INDEX(AUX!$F$2:$F$361,$K66))</f>
        <v/>
      </c>
      <c r="E66" s="42" t="str">
        <f>IF($K66="","",INDEX(AUX!$G$2:$G$361,$K66))</f>
        <v/>
      </c>
      <c r="F66" s="45" t="str">
        <f>IF($K66="","",INDEX(AUX!$H$2:$H$361,$K66))</f>
        <v/>
      </c>
      <c r="G66" s="24" t="str">
        <f>IF($K66="","",INDEX(AUX!$I$2:$I$361,$K66))</f>
        <v/>
      </c>
      <c r="K66" t="str">
        <f>IFERROR(MATCH(59,AUX!$K$2:$K$361,0),"")</f>
        <v/>
      </c>
    </row>
    <row r="67" spans="1:11" x14ac:dyDescent="0.25">
      <c r="A67" s="46" t="str">
        <f>IF($K67="","",60)</f>
        <v/>
      </c>
      <c r="B67" s="47" t="str">
        <f>IF($K67="","",INDEX(AUX!$D$2:$D$361,$K67))</f>
        <v/>
      </c>
      <c r="C67" s="48" t="str">
        <f>IF($K67="","",INDEX(AUX!$E$2:$E$361,$K67))</f>
        <v/>
      </c>
      <c r="D67" s="48" t="str">
        <f>IF($K67="","",INDEX(AUX!$F$2:$F$361,$K67))</f>
        <v/>
      </c>
      <c r="E67" s="46" t="str">
        <f>IF($K67="","",INDEX(AUX!$G$2:$G$361,$K67))</f>
        <v/>
      </c>
      <c r="F67" s="49" t="str">
        <f>IF($K67="","",INDEX(AUX!$H$2:$H$361,$K67))</f>
        <v/>
      </c>
      <c r="G67" s="50" t="str">
        <f>IF($K67="","",INDEX(AUX!$I$2:$I$361,$K67))</f>
        <v/>
      </c>
      <c r="K67" t="str">
        <f>IFERROR(MATCH(60,AUX!$K$2:$K$361,0),"")</f>
        <v/>
      </c>
    </row>
    <row r="68" spans="1:11" x14ac:dyDescent="0.25">
      <c r="A68" s="42" t="str">
        <f>IF($K68="","",61)</f>
        <v/>
      </c>
      <c r="B68" s="43" t="str">
        <f>IF($K68="","",INDEX(AUX!$D$2:$D$361,$K68))</f>
        <v/>
      </c>
      <c r="C68" s="44" t="str">
        <f>IF($K68="","",INDEX(AUX!$E$2:$E$361,$K68))</f>
        <v/>
      </c>
      <c r="D68" s="44" t="str">
        <f>IF($K68="","",INDEX(AUX!$F$2:$F$361,$K68))</f>
        <v/>
      </c>
      <c r="E68" s="42" t="str">
        <f>IF($K68="","",INDEX(AUX!$G$2:$G$361,$K68))</f>
        <v/>
      </c>
      <c r="F68" s="45" t="str">
        <f>IF($K68="","",INDEX(AUX!$H$2:$H$361,$K68))</f>
        <v/>
      </c>
      <c r="G68" s="24" t="str">
        <f>IF($K68="","",INDEX(AUX!$I$2:$I$361,$K68))</f>
        <v/>
      </c>
      <c r="K68" t="str">
        <f>IFERROR(MATCH(61,AUX!$K$2:$K$361,0),"")</f>
        <v/>
      </c>
    </row>
    <row r="69" spans="1:11" x14ac:dyDescent="0.25">
      <c r="A69" s="46" t="str">
        <f>IF($K69="","",62)</f>
        <v/>
      </c>
      <c r="B69" s="47" t="str">
        <f>IF($K69="","",INDEX(AUX!$D$2:$D$361,$K69))</f>
        <v/>
      </c>
      <c r="C69" s="48" t="str">
        <f>IF($K69="","",INDEX(AUX!$E$2:$E$361,$K69))</f>
        <v/>
      </c>
      <c r="D69" s="48" t="str">
        <f>IF($K69="","",INDEX(AUX!$F$2:$F$361,$K69))</f>
        <v/>
      </c>
      <c r="E69" s="46" t="str">
        <f>IF($K69="","",INDEX(AUX!$G$2:$G$361,$K69))</f>
        <v/>
      </c>
      <c r="F69" s="49" t="str">
        <f>IF($K69="","",INDEX(AUX!$H$2:$H$361,$K69))</f>
        <v/>
      </c>
      <c r="G69" s="50" t="str">
        <f>IF($K69="","",INDEX(AUX!$I$2:$I$361,$K69))</f>
        <v/>
      </c>
      <c r="K69" t="str">
        <f>IFERROR(MATCH(62,AUX!$K$2:$K$361,0),"")</f>
        <v/>
      </c>
    </row>
    <row r="70" spans="1:11" x14ac:dyDescent="0.25">
      <c r="A70" s="42" t="str">
        <f>IF($K70="","",63)</f>
        <v/>
      </c>
      <c r="B70" s="43" t="str">
        <f>IF($K70="","",INDEX(AUX!$D$2:$D$361,$K70))</f>
        <v/>
      </c>
      <c r="C70" s="44" t="str">
        <f>IF($K70="","",INDEX(AUX!$E$2:$E$361,$K70))</f>
        <v/>
      </c>
      <c r="D70" s="44" t="str">
        <f>IF($K70="","",INDEX(AUX!$F$2:$F$361,$K70))</f>
        <v/>
      </c>
      <c r="E70" s="42" t="str">
        <f>IF($K70="","",INDEX(AUX!$G$2:$G$361,$K70))</f>
        <v/>
      </c>
      <c r="F70" s="45" t="str">
        <f>IF($K70="","",INDEX(AUX!$H$2:$H$361,$K70))</f>
        <v/>
      </c>
      <c r="G70" s="24" t="str">
        <f>IF($K70="","",INDEX(AUX!$I$2:$I$361,$K70))</f>
        <v/>
      </c>
      <c r="K70" t="str">
        <f>IFERROR(MATCH(63,AUX!$K$2:$K$361,0),"")</f>
        <v/>
      </c>
    </row>
    <row r="71" spans="1:11" x14ac:dyDescent="0.25">
      <c r="A71" s="46" t="str">
        <f>IF($K71="","",64)</f>
        <v/>
      </c>
      <c r="B71" s="47" t="str">
        <f>IF($K71="","",INDEX(AUX!$D$2:$D$361,$K71))</f>
        <v/>
      </c>
      <c r="C71" s="48" t="str">
        <f>IF($K71="","",INDEX(AUX!$E$2:$E$361,$K71))</f>
        <v/>
      </c>
      <c r="D71" s="48" t="str">
        <f>IF($K71="","",INDEX(AUX!$F$2:$F$361,$K71))</f>
        <v/>
      </c>
      <c r="E71" s="46" t="str">
        <f>IF($K71="","",INDEX(AUX!$G$2:$G$361,$K71))</f>
        <v/>
      </c>
      <c r="F71" s="49" t="str">
        <f>IF($K71="","",INDEX(AUX!$H$2:$H$361,$K71))</f>
        <v/>
      </c>
      <c r="G71" s="50" t="str">
        <f>IF($K71="","",INDEX(AUX!$I$2:$I$361,$K71))</f>
        <v/>
      </c>
      <c r="K71" t="str">
        <f>IFERROR(MATCH(64,AUX!$K$2:$K$361,0),"")</f>
        <v/>
      </c>
    </row>
    <row r="72" spans="1:11" x14ac:dyDescent="0.25">
      <c r="A72" s="42" t="str">
        <f>IF($K72="","",65)</f>
        <v/>
      </c>
      <c r="B72" s="43" t="str">
        <f>IF($K72="","",INDEX(AUX!$D$2:$D$361,$K72))</f>
        <v/>
      </c>
      <c r="C72" s="44" t="str">
        <f>IF($K72="","",INDEX(AUX!$E$2:$E$361,$K72))</f>
        <v/>
      </c>
      <c r="D72" s="44" t="str">
        <f>IF($K72="","",INDEX(AUX!$F$2:$F$361,$K72))</f>
        <v/>
      </c>
      <c r="E72" s="42" t="str">
        <f>IF($K72="","",INDEX(AUX!$G$2:$G$361,$K72))</f>
        <v/>
      </c>
      <c r="F72" s="45" t="str">
        <f>IF($K72="","",INDEX(AUX!$H$2:$H$361,$K72))</f>
        <v/>
      </c>
      <c r="G72" s="24" t="str">
        <f>IF($K72="","",INDEX(AUX!$I$2:$I$361,$K72))</f>
        <v/>
      </c>
      <c r="K72" t="str">
        <f>IFERROR(MATCH(65,AUX!$K$2:$K$361,0),"")</f>
        <v/>
      </c>
    </row>
    <row r="73" spans="1:11" x14ac:dyDescent="0.25">
      <c r="A73" s="46" t="str">
        <f>IF($K73="","",66)</f>
        <v/>
      </c>
      <c r="B73" s="47" t="str">
        <f>IF($K73="","",INDEX(AUX!$D$2:$D$361,$K73))</f>
        <v/>
      </c>
      <c r="C73" s="48" t="str">
        <f>IF($K73="","",INDEX(AUX!$E$2:$E$361,$K73))</f>
        <v/>
      </c>
      <c r="D73" s="48" t="str">
        <f>IF($K73="","",INDEX(AUX!$F$2:$F$361,$K73))</f>
        <v/>
      </c>
      <c r="E73" s="46" t="str">
        <f>IF($K73="","",INDEX(AUX!$G$2:$G$361,$K73))</f>
        <v/>
      </c>
      <c r="F73" s="49" t="str">
        <f>IF($K73="","",INDEX(AUX!$H$2:$H$361,$K73))</f>
        <v/>
      </c>
      <c r="G73" s="50" t="str">
        <f>IF($K73="","",INDEX(AUX!$I$2:$I$361,$K73))</f>
        <v/>
      </c>
      <c r="K73" t="str">
        <f>IFERROR(MATCH(66,AUX!$K$2:$K$361,0),"")</f>
        <v/>
      </c>
    </row>
    <row r="74" spans="1:11" x14ac:dyDescent="0.25">
      <c r="A74" s="42" t="str">
        <f>IF($K74="","",67)</f>
        <v/>
      </c>
      <c r="B74" s="43" t="str">
        <f>IF($K74="","",INDEX(AUX!$D$2:$D$361,$K74))</f>
        <v/>
      </c>
      <c r="C74" s="44" t="str">
        <f>IF($K74="","",INDEX(AUX!$E$2:$E$361,$K74))</f>
        <v/>
      </c>
      <c r="D74" s="44" t="str">
        <f>IF($K74="","",INDEX(AUX!$F$2:$F$361,$K74))</f>
        <v/>
      </c>
      <c r="E74" s="42" t="str">
        <f>IF($K74="","",INDEX(AUX!$G$2:$G$361,$K74))</f>
        <v/>
      </c>
      <c r="F74" s="45" t="str">
        <f>IF($K74="","",INDEX(AUX!$H$2:$H$361,$K74))</f>
        <v/>
      </c>
      <c r="G74" s="24" t="str">
        <f>IF($K74="","",INDEX(AUX!$I$2:$I$361,$K74))</f>
        <v/>
      </c>
      <c r="K74" t="str">
        <f>IFERROR(MATCH(67,AUX!$K$2:$K$361,0),"")</f>
        <v/>
      </c>
    </row>
    <row r="75" spans="1:11" x14ac:dyDescent="0.25">
      <c r="A75" s="46" t="str">
        <f>IF($K75="","",68)</f>
        <v/>
      </c>
      <c r="B75" s="47" t="str">
        <f>IF($K75="","",INDEX(AUX!$D$2:$D$361,$K75))</f>
        <v/>
      </c>
      <c r="C75" s="48" t="str">
        <f>IF($K75="","",INDEX(AUX!$E$2:$E$361,$K75))</f>
        <v/>
      </c>
      <c r="D75" s="48" t="str">
        <f>IF($K75="","",INDEX(AUX!$F$2:$F$361,$K75))</f>
        <v/>
      </c>
      <c r="E75" s="46" t="str">
        <f>IF($K75="","",INDEX(AUX!$G$2:$G$361,$K75))</f>
        <v/>
      </c>
      <c r="F75" s="49" t="str">
        <f>IF($K75="","",INDEX(AUX!$H$2:$H$361,$K75))</f>
        <v/>
      </c>
      <c r="G75" s="50" t="str">
        <f>IF($K75="","",INDEX(AUX!$I$2:$I$361,$K75))</f>
        <v/>
      </c>
      <c r="K75" t="str">
        <f>IFERROR(MATCH(68,AUX!$K$2:$K$361,0),"")</f>
        <v/>
      </c>
    </row>
    <row r="76" spans="1:11" x14ac:dyDescent="0.25">
      <c r="A76" s="42" t="str">
        <f>IF($K76="","",69)</f>
        <v/>
      </c>
      <c r="B76" s="43" t="str">
        <f>IF($K76="","",INDEX(AUX!$D$2:$D$361,$K76))</f>
        <v/>
      </c>
      <c r="C76" s="44" t="str">
        <f>IF($K76="","",INDEX(AUX!$E$2:$E$361,$K76))</f>
        <v/>
      </c>
      <c r="D76" s="44" t="str">
        <f>IF($K76="","",INDEX(AUX!$F$2:$F$361,$K76))</f>
        <v/>
      </c>
      <c r="E76" s="42" t="str">
        <f>IF($K76="","",INDEX(AUX!$G$2:$G$361,$K76))</f>
        <v/>
      </c>
      <c r="F76" s="45" t="str">
        <f>IF($K76="","",INDEX(AUX!$H$2:$H$361,$K76))</f>
        <v/>
      </c>
      <c r="G76" s="24" t="str">
        <f>IF($K76="","",INDEX(AUX!$I$2:$I$361,$K76))</f>
        <v/>
      </c>
      <c r="K76" t="str">
        <f>IFERROR(MATCH(69,AUX!$K$2:$K$361,0),"")</f>
        <v/>
      </c>
    </row>
    <row r="77" spans="1:11" x14ac:dyDescent="0.25">
      <c r="A77" s="46" t="str">
        <f>IF($K77="","",70)</f>
        <v/>
      </c>
      <c r="B77" s="47" t="str">
        <f>IF($K77="","",INDEX(AUX!$D$2:$D$361,$K77))</f>
        <v/>
      </c>
      <c r="C77" s="48" t="str">
        <f>IF($K77="","",INDEX(AUX!$E$2:$E$361,$K77))</f>
        <v/>
      </c>
      <c r="D77" s="48" t="str">
        <f>IF($K77="","",INDEX(AUX!$F$2:$F$361,$K77))</f>
        <v/>
      </c>
      <c r="E77" s="46" t="str">
        <f>IF($K77="","",INDEX(AUX!$G$2:$G$361,$K77))</f>
        <v/>
      </c>
      <c r="F77" s="49" t="str">
        <f>IF($K77="","",INDEX(AUX!$H$2:$H$361,$K77))</f>
        <v/>
      </c>
      <c r="G77" s="50" t="str">
        <f>IF($K77="","",INDEX(AUX!$I$2:$I$361,$K77))</f>
        <v/>
      </c>
      <c r="K77" t="str">
        <f>IFERROR(MATCH(70,AUX!$K$2:$K$361,0),"")</f>
        <v/>
      </c>
    </row>
    <row r="78" spans="1:11" x14ac:dyDescent="0.25">
      <c r="A78" s="42" t="str">
        <f>IF($K78="","",71)</f>
        <v/>
      </c>
      <c r="B78" s="43" t="str">
        <f>IF($K78="","",INDEX(AUX!$D$2:$D$361,$K78))</f>
        <v/>
      </c>
      <c r="C78" s="44" t="str">
        <f>IF($K78="","",INDEX(AUX!$E$2:$E$361,$K78))</f>
        <v/>
      </c>
      <c r="D78" s="44" t="str">
        <f>IF($K78="","",INDEX(AUX!$F$2:$F$361,$K78))</f>
        <v/>
      </c>
      <c r="E78" s="42" t="str">
        <f>IF($K78="","",INDEX(AUX!$G$2:$G$361,$K78))</f>
        <v/>
      </c>
      <c r="F78" s="45" t="str">
        <f>IF($K78="","",INDEX(AUX!$H$2:$H$361,$K78))</f>
        <v/>
      </c>
      <c r="G78" s="24" t="str">
        <f>IF($K78="","",INDEX(AUX!$I$2:$I$361,$K78))</f>
        <v/>
      </c>
      <c r="K78" t="str">
        <f>IFERROR(MATCH(71,AUX!$K$2:$K$361,0),"")</f>
        <v/>
      </c>
    </row>
    <row r="79" spans="1:11" x14ac:dyDescent="0.25">
      <c r="A79" s="46" t="str">
        <f>IF($K79="","",72)</f>
        <v/>
      </c>
      <c r="B79" s="47" t="str">
        <f>IF($K79="","",INDEX(AUX!$D$2:$D$361,$K79))</f>
        <v/>
      </c>
      <c r="C79" s="48" t="str">
        <f>IF($K79="","",INDEX(AUX!$E$2:$E$361,$K79))</f>
        <v/>
      </c>
      <c r="D79" s="48" t="str">
        <f>IF($K79="","",INDEX(AUX!$F$2:$F$361,$K79))</f>
        <v/>
      </c>
      <c r="E79" s="46" t="str">
        <f>IF($K79="","",INDEX(AUX!$G$2:$G$361,$K79))</f>
        <v/>
      </c>
      <c r="F79" s="49" t="str">
        <f>IF($K79="","",INDEX(AUX!$H$2:$H$361,$K79))</f>
        <v/>
      </c>
      <c r="G79" s="50" t="str">
        <f>IF($K79="","",INDEX(AUX!$I$2:$I$361,$K79))</f>
        <v/>
      </c>
      <c r="K79" t="str">
        <f>IFERROR(MATCH(72,AUX!$K$2:$K$361,0),"")</f>
        <v/>
      </c>
    </row>
    <row r="80" spans="1:11" x14ac:dyDescent="0.25">
      <c r="A80" s="42" t="str">
        <f>IF($K80="","",73)</f>
        <v/>
      </c>
      <c r="B80" s="43" t="str">
        <f>IF($K80="","",INDEX(AUX!$D$2:$D$361,$K80))</f>
        <v/>
      </c>
      <c r="C80" s="44" t="str">
        <f>IF($K80="","",INDEX(AUX!$E$2:$E$361,$K80))</f>
        <v/>
      </c>
      <c r="D80" s="44" t="str">
        <f>IF($K80="","",INDEX(AUX!$F$2:$F$361,$K80))</f>
        <v/>
      </c>
      <c r="E80" s="42" t="str">
        <f>IF($K80="","",INDEX(AUX!$G$2:$G$361,$K80))</f>
        <v/>
      </c>
      <c r="F80" s="45" t="str">
        <f>IF($K80="","",INDEX(AUX!$H$2:$H$361,$K80))</f>
        <v/>
      </c>
      <c r="G80" s="24" t="str">
        <f>IF($K80="","",INDEX(AUX!$I$2:$I$361,$K80))</f>
        <v/>
      </c>
      <c r="K80" t="str">
        <f>IFERROR(MATCH(73,AUX!$K$2:$K$361,0),"")</f>
        <v/>
      </c>
    </row>
    <row r="81" spans="1:11" x14ac:dyDescent="0.25">
      <c r="A81" s="46" t="str">
        <f>IF($K81="","",74)</f>
        <v/>
      </c>
      <c r="B81" s="47" t="str">
        <f>IF($K81="","",INDEX(AUX!$D$2:$D$361,$K81))</f>
        <v/>
      </c>
      <c r="C81" s="48" t="str">
        <f>IF($K81="","",INDEX(AUX!$E$2:$E$361,$K81))</f>
        <v/>
      </c>
      <c r="D81" s="48" t="str">
        <f>IF($K81="","",INDEX(AUX!$F$2:$F$361,$K81))</f>
        <v/>
      </c>
      <c r="E81" s="46" t="str">
        <f>IF($K81="","",INDEX(AUX!$G$2:$G$361,$K81))</f>
        <v/>
      </c>
      <c r="F81" s="49" t="str">
        <f>IF($K81="","",INDEX(AUX!$H$2:$H$361,$K81))</f>
        <v/>
      </c>
      <c r="G81" s="50" t="str">
        <f>IF($K81="","",INDEX(AUX!$I$2:$I$361,$K81))</f>
        <v/>
      </c>
      <c r="K81" t="str">
        <f>IFERROR(MATCH(74,AUX!$K$2:$K$361,0),"")</f>
        <v/>
      </c>
    </row>
    <row r="82" spans="1:11" x14ac:dyDescent="0.25">
      <c r="A82" s="42" t="str">
        <f>IF($K82="","",75)</f>
        <v/>
      </c>
      <c r="B82" s="43" t="str">
        <f>IF($K82="","",INDEX(AUX!$D$2:$D$361,$K82))</f>
        <v/>
      </c>
      <c r="C82" s="44" t="str">
        <f>IF($K82="","",INDEX(AUX!$E$2:$E$361,$K82))</f>
        <v/>
      </c>
      <c r="D82" s="44" t="str">
        <f>IF($K82="","",INDEX(AUX!$F$2:$F$361,$K82))</f>
        <v/>
      </c>
      <c r="E82" s="42" t="str">
        <f>IF($K82="","",INDEX(AUX!$G$2:$G$361,$K82))</f>
        <v/>
      </c>
      <c r="F82" s="45" t="str">
        <f>IF($K82="","",INDEX(AUX!$H$2:$H$361,$K82))</f>
        <v/>
      </c>
      <c r="G82" s="24" t="str">
        <f>IF($K82="","",INDEX(AUX!$I$2:$I$361,$K82))</f>
        <v/>
      </c>
      <c r="K82" t="str">
        <f>IFERROR(MATCH(75,AUX!$K$2:$K$361,0),"")</f>
        <v/>
      </c>
    </row>
    <row r="83" spans="1:11" x14ac:dyDescent="0.25">
      <c r="A83" s="46" t="str">
        <f>IF($K83="","",76)</f>
        <v/>
      </c>
      <c r="B83" s="47" t="str">
        <f>IF($K83="","",INDEX(AUX!$D$2:$D$361,$K83))</f>
        <v/>
      </c>
      <c r="C83" s="48" t="str">
        <f>IF($K83="","",INDEX(AUX!$E$2:$E$361,$K83))</f>
        <v/>
      </c>
      <c r="D83" s="48" t="str">
        <f>IF($K83="","",INDEX(AUX!$F$2:$F$361,$K83))</f>
        <v/>
      </c>
      <c r="E83" s="46" t="str">
        <f>IF($K83="","",INDEX(AUX!$G$2:$G$361,$K83))</f>
        <v/>
      </c>
      <c r="F83" s="49" t="str">
        <f>IF($K83="","",INDEX(AUX!$H$2:$H$361,$K83))</f>
        <v/>
      </c>
      <c r="G83" s="50" t="str">
        <f>IF($K83="","",INDEX(AUX!$I$2:$I$361,$K83))</f>
        <v/>
      </c>
      <c r="K83" t="str">
        <f>IFERROR(MATCH(76,AUX!$K$2:$K$361,0),"")</f>
        <v/>
      </c>
    </row>
    <row r="84" spans="1:11" x14ac:dyDescent="0.25">
      <c r="A84" s="42" t="str">
        <f>IF($K84="","",77)</f>
        <v/>
      </c>
      <c r="B84" s="43" t="str">
        <f>IF($K84="","",INDEX(AUX!$D$2:$D$361,$K84))</f>
        <v/>
      </c>
      <c r="C84" s="44" t="str">
        <f>IF($K84="","",INDEX(AUX!$E$2:$E$361,$K84))</f>
        <v/>
      </c>
      <c r="D84" s="44" t="str">
        <f>IF($K84="","",INDEX(AUX!$F$2:$F$361,$K84))</f>
        <v/>
      </c>
      <c r="E84" s="42" t="str">
        <f>IF($K84="","",INDEX(AUX!$G$2:$G$361,$K84))</f>
        <v/>
      </c>
      <c r="F84" s="45" t="str">
        <f>IF($K84="","",INDEX(AUX!$H$2:$H$361,$K84))</f>
        <v/>
      </c>
      <c r="G84" s="24" t="str">
        <f>IF($K84="","",INDEX(AUX!$I$2:$I$361,$K84))</f>
        <v/>
      </c>
      <c r="K84" t="str">
        <f>IFERROR(MATCH(77,AUX!$K$2:$K$361,0),"")</f>
        <v/>
      </c>
    </row>
    <row r="85" spans="1:11" x14ac:dyDescent="0.25">
      <c r="A85" s="46" t="str">
        <f>IF($K85="","",78)</f>
        <v/>
      </c>
      <c r="B85" s="47" t="str">
        <f>IF($K85="","",INDEX(AUX!$D$2:$D$361,$K85))</f>
        <v/>
      </c>
      <c r="C85" s="48" t="str">
        <f>IF($K85="","",INDEX(AUX!$E$2:$E$361,$K85))</f>
        <v/>
      </c>
      <c r="D85" s="48" t="str">
        <f>IF($K85="","",INDEX(AUX!$F$2:$F$361,$K85))</f>
        <v/>
      </c>
      <c r="E85" s="46" t="str">
        <f>IF($K85="","",INDEX(AUX!$G$2:$G$361,$K85))</f>
        <v/>
      </c>
      <c r="F85" s="49" t="str">
        <f>IF($K85="","",INDEX(AUX!$H$2:$H$361,$K85))</f>
        <v/>
      </c>
      <c r="G85" s="50" t="str">
        <f>IF($K85="","",INDEX(AUX!$I$2:$I$361,$K85))</f>
        <v/>
      </c>
      <c r="K85" t="str">
        <f>IFERROR(MATCH(78,AUX!$K$2:$K$361,0),"")</f>
        <v/>
      </c>
    </row>
    <row r="86" spans="1:11" x14ac:dyDescent="0.25">
      <c r="A86" s="42" t="str">
        <f>IF($K86="","",79)</f>
        <v/>
      </c>
      <c r="B86" s="43" t="str">
        <f>IF($K86="","",INDEX(AUX!$D$2:$D$361,$K86))</f>
        <v/>
      </c>
      <c r="C86" s="44" t="str">
        <f>IF($K86="","",INDEX(AUX!$E$2:$E$361,$K86))</f>
        <v/>
      </c>
      <c r="D86" s="44" t="str">
        <f>IF($K86="","",INDEX(AUX!$F$2:$F$361,$K86))</f>
        <v/>
      </c>
      <c r="E86" s="42" t="str">
        <f>IF($K86="","",INDEX(AUX!$G$2:$G$361,$K86))</f>
        <v/>
      </c>
      <c r="F86" s="45" t="str">
        <f>IF($K86="","",INDEX(AUX!$H$2:$H$361,$K86))</f>
        <v/>
      </c>
      <c r="G86" s="24" t="str">
        <f>IF($K86="","",INDEX(AUX!$I$2:$I$361,$K86))</f>
        <v/>
      </c>
      <c r="K86" t="str">
        <f>IFERROR(MATCH(79,AUX!$K$2:$K$361,0),"")</f>
        <v/>
      </c>
    </row>
    <row r="87" spans="1:11" x14ac:dyDescent="0.25">
      <c r="A87" s="46" t="str">
        <f>IF($K87="","",80)</f>
        <v/>
      </c>
      <c r="B87" s="47" t="str">
        <f>IF($K87="","",INDEX(AUX!$D$2:$D$361,$K87))</f>
        <v/>
      </c>
      <c r="C87" s="48" t="str">
        <f>IF($K87="","",INDEX(AUX!$E$2:$E$361,$K87))</f>
        <v/>
      </c>
      <c r="D87" s="48" t="str">
        <f>IF($K87="","",INDEX(AUX!$F$2:$F$361,$K87))</f>
        <v/>
      </c>
      <c r="E87" s="46" t="str">
        <f>IF($K87="","",INDEX(AUX!$G$2:$G$361,$K87))</f>
        <v/>
      </c>
      <c r="F87" s="49" t="str">
        <f>IF($K87="","",INDEX(AUX!$H$2:$H$361,$K87))</f>
        <v/>
      </c>
      <c r="G87" s="50" t="str">
        <f>IF($K87="","",INDEX(AUX!$I$2:$I$361,$K87))</f>
        <v/>
      </c>
      <c r="K87" t="str">
        <f>IFERROR(MATCH(80,AUX!$K$2:$K$361,0),"")</f>
        <v/>
      </c>
    </row>
    <row r="88" spans="1:11" x14ac:dyDescent="0.25">
      <c r="A88" s="42" t="str">
        <f>IF($K88="","",81)</f>
        <v/>
      </c>
      <c r="B88" s="43" t="str">
        <f>IF($K88="","",INDEX(AUX!$D$2:$D$361,$K88))</f>
        <v/>
      </c>
      <c r="C88" s="44" t="str">
        <f>IF($K88="","",INDEX(AUX!$E$2:$E$361,$K88))</f>
        <v/>
      </c>
      <c r="D88" s="44" t="str">
        <f>IF($K88="","",INDEX(AUX!$F$2:$F$361,$K88))</f>
        <v/>
      </c>
      <c r="E88" s="42" t="str">
        <f>IF($K88="","",INDEX(AUX!$G$2:$G$361,$K88))</f>
        <v/>
      </c>
      <c r="F88" s="45" t="str">
        <f>IF($K88="","",INDEX(AUX!$H$2:$H$361,$K88))</f>
        <v/>
      </c>
      <c r="G88" s="24" t="str">
        <f>IF($K88="","",INDEX(AUX!$I$2:$I$361,$K88))</f>
        <v/>
      </c>
      <c r="K88" t="str">
        <f>IFERROR(MATCH(81,AUX!$K$2:$K$361,0),"")</f>
        <v/>
      </c>
    </row>
    <row r="89" spans="1:11" x14ac:dyDescent="0.25">
      <c r="A89" s="46" t="str">
        <f>IF($K89="","",82)</f>
        <v/>
      </c>
      <c r="B89" s="47" t="str">
        <f>IF($K89="","",INDEX(AUX!$D$2:$D$361,$K89))</f>
        <v/>
      </c>
      <c r="C89" s="48" t="str">
        <f>IF($K89="","",INDEX(AUX!$E$2:$E$361,$K89))</f>
        <v/>
      </c>
      <c r="D89" s="48" t="str">
        <f>IF($K89="","",INDEX(AUX!$F$2:$F$361,$K89))</f>
        <v/>
      </c>
      <c r="E89" s="46" t="str">
        <f>IF($K89="","",INDEX(AUX!$G$2:$G$361,$K89))</f>
        <v/>
      </c>
      <c r="F89" s="49" t="str">
        <f>IF($K89="","",INDEX(AUX!$H$2:$H$361,$K89))</f>
        <v/>
      </c>
      <c r="G89" s="50" t="str">
        <f>IF($K89="","",INDEX(AUX!$I$2:$I$361,$K89))</f>
        <v/>
      </c>
      <c r="K89" t="str">
        <f>IFERROR(MATCH(82,AUX!$K$2:$K$361,0),"")</f>
        <v/>
      </c>
    </row>
    <row r="90" spans="1:11" x14ac:dyDescent="0.25">
      <c r="A90" s="42" t="str">
        <f>IF($K90="","",83)</f>
        <v/>
      </c>
      <c r="B90" s="43" t="str">
        <f>IF($K90="","",INDEX(AUX!$D$2:$D$361,$K90))</f>
        <v/>
      </c>
      <c r="C90" s="44" t="str">
        <f>IF($K90="","",INDEX(AUX!$E$2:$E$361,$K90))</f>
        <v/>
      </c>
      <c r="D90" s="44" t="str">
        <f>IF($K90="","",INDEX(AUX!$F$2:$F$361,$K90))</f>
        <v/>
      </c>
      <c r="E90" s="42" t="str">
        <f>IF($K90="","",INDEX(AUX!$G$2:$G$361,$K90))</f>
        <v/>
      </c>
      <c r="F90" s="45" t="str">
        <f>IF($K90="","",INDEX(AUX!$H$2:$H$361,$K90))</f>
        <v/>
      </c>
      <c r="G90" s="24" t="str">
        <f>IF($K90="","",INDEX(AUX!$I$2:$I$361,$K90))</f>
        <v/>
      </c>
      <c r="K90" t="str">
        <f>IFERROR(MATCH(83,AUX!$K$2:$K$361,0),"")</f>
        <v/>
      </c>
    </row>
    <row r="91" spans="1:11" x14ac:dyDescent="0.25">
      <c r="A91" s="46" t="str">
        <f>IF($K91="","",84)</f>
        <v/>
      </c>
      <c r="B91" s="47" t="str">
        <f>IF($K91="","",INDEX(AUX!$D$2:$D$361,$K91))</f>
        <v/>
      </c>
      <c r="C91" s="48" t="str">
        <f>IF($K91="","",INDEX(AUX!$E$2:$E$361,$K91))</f>
        <v/>
      </c>
      <c r="D91" s="48" t="str">
        <f>IF($K91="","",INDEX(AUX!$F$2:$F$361,$K91))</f>
        <v/>
      </c>
      <c r="E91" s="46" t="str">
        <f>IF($K91="","",INDEX(AUX!$G$2:$G$361,$K91))</f>
        <v/>
      </c>
      <c r="F91" s="49" t="str">
        <f>IF($K91="","",INDEX(AUX!$H$2:$H$361,$K91))</f>
        <v/>
      </c>
      <c r="G91" s="50" t="str">
        <f>IF($K91="","",INDEX(AUX!$I$2:$I$361,$K91))</f>
        <v/>
      </c>
      <c r="K91" t="str">
        <f>IFERROR(MATCH(84,AUX!$K$2:$K$361,0),"")</f>
        <v/>
      </c>
    </row>
    <row r="92" spans="1:11" x14ac:dyDescent="0.25">
      <c r="A92" s="42" t="str">
        <f>IF($K92="","",85)</f>
        <v/>
      </c>
      <c r="B92" s="43" t="str">
        <f>IF($K92="","",INDEX(AUX!$D$2:$D$361,$K92))</f>
        <v/>
      </c>
      <c r="C92" s="44" t="str">
        <f>IF($K92="","",INDEX(AUX!$E$2:$E$361,$K92))</f>
        <v/>
      </c>
      <c r="D92" s="44" t="str">
        <f>IF($K92="","",INDEX(AUX!$F$2:$F$361,$K92))</f>
        <v/>
      </c>
      <c r="E92" s="42" t="str">
        <f>IF($K92="","",INDEX(AUX!$G$2:$G$361,$K92))</f>
        <v/>
      </c>
      <c r="F92" s="45" t="str">
        <f>IF($K92="","",INDEX(AUX!$H$2:$H$361,$K92))</f>
        <v/>
      </c>
      <c r="G92" s="24" t="str">
        <f>IF($K92="","",INDEX(AUX!$I$2:$I$361,$K92))</f>
        <v/>
      </c>
      <c r="K92" t="str">
        <f>IFERROR(MATCH(85,AUX!$K$2:$K$361,0),"")</f>
        <v/>
      </c>
    </row>
    <row r="93" spans="1:11" x14ac:dyDescent="0.25">
      <c r="A93" s="46" t="str">
        <f>IF($K93="","",86)</f>
        <v/>
      </c>
      <c r="B93" s="47" t="str">
        <f>IF($K93="","",INDEX(AUX!$D$2:$D$361,$K93))</f>
        <v/>
      </c>
      <c r="C93" s="48" t="str">
        <f>IF($K93="","",INDEX(AUX!$E$2:$E$361,$K93))</f>
        <v/>
      </c>
      <c r="D93" s="48" t="str">
        <f>IF($K93="","",INDEX(AUX!$F$2:$F$361,$K93))</f>
        <v/>
      </c>
      <c r="E93" s="46" t="str">
        <f>IF($K93="","",INDEX(AUX!$G$2:$G$361,$K93))</f>
        <v/>
      </c>
      <c r="F93" s="49" t="str">
        <f>IF($K93="","",INDEX(AUX!$H$2:$H$361,$K93))</f>
        <v/>
      </c>
      <c r="G93" s="50" t="str">
        <f>IF($K93="","",INDEX(AUX!$I$2:$I$361,$K93))</f>
        <v/>
      </c>
      <c r="K93" t="str">
        <f>IFERROR(MATCH(86,AUX!$K$2:$K$361,0),"")</f>
        <v/>
      </c>
    </row>
    <row r="94" spans="1:11" x14ac:dyDescent="0.25">
      <c r="A94" s="42" t="str">
        <f>IF($K94="","",87)</f>
        <v/>
      </c>
      <c r="B94" s="43" t="str">
        <f>IF($K94="","",INDEX(AUX!$D$2:$D$361,$K94))</f>
        <v/>
      </c>
      <c r="C94" s="44" t="str">
        <f>IF($K94="","",INDEX(AUX!$E$2:$E$361,$K94))</f>
        <v/>
      </c>
      <c r="D94" s="44" t="str">
        <f>IF($K94="","",INDEX(AUX!$F$2:$F$361,$K94))</f>
        <v/>
      </c>
      <c r="E94" s="42" t="str">
        <f>IF($K94="","",INDEX(AUX!$G$2:$G$361,$K94))</f>
        <v/>
      </c>
      <c r="F94" s="45" t="str">
        <f>IF($K94="","",INDEX(AUX!$H$2:$H$361,$K94))</f>
        <v/>
      </c>
      <c r="G94" s="24" t="str">
        <f>IF($K94="","",INDEX(AUX!$I$2:$I$361,$K94))</f>
        <v/>
      </c>
      <c r="K94" t="str">
        <f>IFERROR(MATCH(87,AUX!$K$2:$K$361,0),"")</f>
        <v/>
      </c>
    </row>
    <row r="95" spans="1:11" x14ac:dyDescent="0.25">
      <c r="A95" s="46" t="str">
        <f>IF($K95="","",88)</f>
        <v/>
      </c>
      <c r="B95" s="47" t="str">
        <f>IF($K95="","",INDEX(AUX!$D$2:$D$361,$K95))</f>
        <v/>
      </c>
      <c r="C95" s="48" t="str">
        <f>IF($K95="","",INDEX(AUX!$E$2:$E$361,$K95))</f>
        <v/>
      </c>
      <c r="D95" s="48" t="str">
        <f>IF($K95="","",INDEX(AUX!$F$2:$F$361,$K95))</f>
        <v/>
      </c>
      <c r="E95" s="46" t="str">
        <f>IF($K95="","",INDEX(AUX!$G$2:$G$361,$K95))</f>
        <v/>
      </c>
      <c r="F95" s="49" t="str">
        <f>IF($K95="","",INDEX(AUX!$H$2:$H$361,$K95))</f>
        <v/>
      </c>
      <c r="G95" s="50" t="str">
        <f>IF($K95="","",INDEX(AUX!$I$2:$I$361,$K95))</f>
        <v/>
      </c>
      <c r="K95" t="str">
        <f>IFERROR(MATCH(88,AUX!$K$2:$K$361,0),"")</f>
        <v/>
      </c>
    </row>
    <row r="96" spans="1:11" x14ac:dyDescent="0.25">
      <c r="A96" s="42" t="str">
        <f>IF($K96="","",89)</f>
        <v/>
      </c>
      <c r="B96" s="43" t="str">
        <f>IF($K96="","",INDEX(AUX!$D$2:$D$361,$K96))</f>
        <v/>
      </c>
      <c r="C96" s="44" t="str">
        <f>IF($K96="","",INDEX(AUX!$E$2:$E$361,$K96))</f>
        <v/>
      </c>
      <c r="D96" s="44" t="str">
        <f>IF($K96="","",INDEX(AUX!$F$2:$F$361,$K96))</f>
        <v/>
      </c>
      <c r="E96" s="42" t="str">
        <f>IF($K96="","",INDEX(AUX!$G$2:$G$361,$K96))</f>
        <v/>
      </c>
      <c r="F96" s="45" t="str">
        <f>IF($K96="","",INDEX(AUX!$H$2:$H$361,$K96))</f>
        <v/>
      </c>
      <c r="G96" s="24" t="str">
        <f>IF($K96="","",INDEX(AUX!$I$2:$I$361,$K96))</f>
        <v/>
      </c>
      <c r="K96" t="str">
        <f>IFERROR(MATCH(89,AUX!$K$2:$K$361,0),"")</f>
        <v/>
      </c>
    </row>
    <row r="97" spans="1:11" x14ac:dyDescent="0.25">
      <c r="A97" s="46" t="str">
        <f>IF($K97="","",90)</f>
        <v/>
      </c>
      <c r="B97" s="47" t="str">
        <f>IF($K97="","",INDEX(AUX!$D$2:$D$361,$K97))</f>
        <v/>
      </c>
      <c r="C97" s="48" t="str">
        <f>IF($K97="","",INDEX(AUX!$E$2:$E$361,$K97))</f>
        <v/>
      </c>
      <c r="D97" s="48" t="str">
        <f>IF($K97="","",INDEX(AUX!$F$2:$F$361,$K97))</f>
        <v/>
      </c>
      <c r="E97" s="46" t="str">
        <f>IF($K97="","",INDEX(AUX!$G$2:$G$361,$K97))</f>
        <v/>
      </c>
      <c r="F97" s="49" t="str">
        <f>IF($K97="","",INDEX(AUX!$H$2:$H$361,$K97))</f>
        <v/>
      </c>
      <c r="G97" s="50" t="str">
        <f>IF($K97="","",INDEX(AUX!$I$2:$I$361,$K97))</f>
        <v/>
      </c>
      <c r="K97" t="str">
        <f>IFERROR(MATCH(90,AUX!$K$2:$K$361,0),"")</f>
        <v/>
      </c>
    </row>
    <row r="98" spans="1:11" x14ac:dyDescent="0.25">
      <c r="A98" s="42" t="str">
        <f>IF($K98="","",91)</f>
        <v/>
      </c>
      <c r="B98" s="43" t="str">
        <f>IF($K98="","",INDEX(AUX!$D$2:$D$361,$K98))</f>
        <v/>
      </c>
      <c r="C98" s="44" t="str">
        <f>IF($K98="","",INDEX(AUX!$E$2:$E$361,$K98))</f>
        <v/>
      </c>
      <c r="D98" s="44" t="str">
        <f>IF($K98="","",INDEX(AUX!$F$2:$F$361,$K98))</f>
        <v/>
      </c>
      <c r="E98" s="42" t="str">
        <f>IF($K98="","",INDEX(AUX!$G$2:$G$361,$K98))</f>
        <v/>
      </c>
      <c r="F98" s="45" t="str">
        <f>IF($K98="","",INDEX(AUX!$H$2:$H$361,$K98))</f>
        <v/>
      </c>
      <c r="G98" s="24" t="str">
        <f>IF($K98="","",INDEX(AUX!$I$2:$I$361,$K98))</f>
        <v/>
      </c>
      <c r="K98" t="str">
        <f>IFERROR(MATCH(91,AUX!$K$2:$K$361,0),"")</f>
        <v/>
      </c>
    </row>
    <row r="99" spans="1:11" x14ac:dyDescent="0.25">
      <c r="A99" s="46" t="str">
        <f>IF($K99="","",92)</f>
        <v/>
      </c>
      <c r="B99" s="47" t="str">
        <f>IF($K99="","",INDEX(AUX!$D$2:$D$361,$K99))</f>
        <v/>
      </c>
      <c r="C99" s="48" t="str">
        <f>IF($K99="","",INDEX(AUX!$E$2:$E$361,$K99))</f>
        <v/>
      </c>
      <c r="D99" s="48" t="str">
        <f>IF($K99="","",INDEX(AUX!$F$2:$F$361,$K99))</f>
        <v/>
      </c>
      <c r="E99" s="46" t="str">
        <f>IF($K99="","",INDEX(AUX!$G$2:$G$361,$K99))</f>
        <v/>
      </c>
      <c r="F99" s="49" t="str">
        <f>IF($K99="","",INDEX(AUX!$H$2:$H$361,$K99))</f>
        <v/>
      </c>
      <c r="G99" s="50" t="str">
        <f>IF($K99="","",INDEX(AUX!$I$2:$I$361,$K99))</f>
        <v/>
      </c>
      <c r="K99" t="str">
        <f>IFERROR(MATCH(92,AUX!$K$2:$K$361,0),"")</f>
        <v/>
      </c>
    </row>
    <row r="100" spans="1:11" x14ac:dyDescent="0.25">
      <c r="A100" s="42" t="str">
        <f>IF($K100="","",93)</f>
        <v/>
      </c>
      <c r="B100" s="43" t="str">
        <f>IF($K100="","",INDEX(AUX!$D$2:$D$361,$K100))</f>
        <v/>
      </c>
      <c r="C100" s="44" t="str">
        <f>IF($K100="","",INDEX(AUX!$E$2:$E$361,$K100))</f>
        <v/>
      </c>
      <c r="D100" s="44" t="str">
        <f>IF($K100="","",INDEX(AUX!$F$2:$F$361,$K100))</f>
        <v/>
      </c>
      <c r="E100" s="42" t="str">
        <f>IF($K100="","",INDEX(AUX!$G$2:$G$361,$K100))</f>
        <v/>
      </c>
      <c r="F100" s="45" t="str">
        <f>IF($K100="","",INDEX(AUX!$H$2:$H$361,$K100))</f>
        <v/>
      </c>
      <c r="G100" s="24" t="str">
        <f>IF($K100="","",INDEX(AUX!$I$2:$I$361,$K100))</f>
        <v/>
      </c>
      <c r="K100" t="str">
        <f>IFERROR(MATCH(93,AUX!$K$2:$K$361,0),"")</f>
        <v/>
      </c>
    </row>
    <row r="101" spans="1:11" x14ac:dyDescent="0.25">
      <c r="A101" s="46" t="str">
        <f>IF($K101="","",94)</f>
        <v/>
      </c>
      <c r="B101" s="47" t="str">
        <f>IF($K101="","",INDEX(AUX!$D$2:$D$361,$K101))</f>
        <v/>
      </c>
      <c r="C101" s="48" t="str">
        <f>IF($K101="","",INDEX(AUX!$E$2:$E$361,$K101))</f>
        <v/>
      </c>
      <c r="D101" s="48" t="str">
        <f>IF($K101="","",INDEX(AUX!$F$2:$F$361,$K101))</f>
        <v/>
      </c>
      <c r="E101" s="46" t="str">
        <f>IF($K101="","",INDEX(AUX!$G$2:$G$361,$K101))</f>
        <v/>
      </c>
      <c r="F101" s="49" t="str">
        <f>IF($K101="","",INDEX(AUX!$H$2:$H$361,$K101))</f>
        <v/>
      </c>
      <c r="G101" s="50" t="str">
        <f>IF($K101="","",INDEX(AUX!$I$2:$I$361,$K101))</f>
        <v/>
      </c>
      <c r="K101" t="str">
        <f>IFERROR(MATCH(94,AUX!$K$2:$K$361,0),"")</f>
        <v/>
      </c>
    </row>
    <row r="102" spans="1:11" x14ac:dyDescent="0.25">
      <c r="A102" s="42" t="str">
        <f>IF($K102="","",95)</f>
        <v/>
      </c>
      <c r="B102" s="43" t="str">
        <f>IF($K102="","",INDEX(AUX!$D$2:$D$361,$K102))</f>
        <v/>
      </c>
      <c r="C102" s="44" t="str">
        <f>IF($K102="","",INDEX(AUX!$E$2:$E$361,$K102))</f>
        <v/>
      </c>
      <c r="D102" s="44" t="str">
        <f>IF($K102="","",INDEX(AUX!$F$2:$F$361,$K102))</f>
        <v/>
      </c>
      <c r="E102" s="42" t="str">
        <f>IF($K102="","",INDEX(AUX!$G$2:$G$361,$K102))</f>
        <v/>
      </c>
      <c r="F102" s="45" t="str">
        <f>IF($K102="","",INDEX(AUX!$H$2:$H$361,$K102))</f>
        <v/>
      </c>
      <c r="G102" s="24" t="str">
        <f>IF($K102="","",INDEX(AUX!$I$2:$I$361,$K102))</f>
        <v/>
      </c>
      <c r="K102" t="str">
        <f>IFERROR(MATCH(95,AUX!$K$2:$K$361,0),"")</f>
        <v/>
      </c>
    </row>
    <row r="103" spans="1:11" x14ac:dyDescent="0.25">
      <c r="A103" s="46" t="str">
        <f>IF($K103="","",96)</f>
        <v/>
      </c>
      <c r="B103" s="47" t="str">
        <f>IF($K103="","",INDEX(AUX!$D$2:$D$361,$K103))</f>
        <v/>
      </c>
      <c r="C103" s="48" t="str">
        <f>IF($K103="","",INDEX(AUX!$E$2:$E$361,$K103))</f>
        <v/>
      </c>
      <c r="D103" s="48" t="str">
        <f>IF($K103="","",INDEX(AUX!$F$2:$F$361,$K103))</f>
        <v/>
      </c>
      <c r="E103" s="46" t="str">
        <f>IF($K103="","",INDEX(AUX!$G$2:$G$361,$K103))</f>
        <v/>
      </c>
      <c r="F103" s="49" t="str">
        <f>IF($K103="","",INDEX(AUX!$H$2:$H$361,$K103))</f>
        <v/>
      </c>
      <c r="G103" s="50" t="str">
        <f>IF($K103="","",INDEX(AUX!$I$2:$I$361,$K103))</f>
        <v/>
      </c>
      <c r="K103" t="str">
        <f>IFERROR(MATCH(96,AUX!$K$2:$K$361,0),"")</f>
        <v/>
      </c>
    </row>
    <row r="104" spans="1:11" x14ac:dyDescent="0.25">
      <c r="A104" s="42" t="str">
        <f>IF($K104="","",97)</f>
        <v/>
      </c>
      <c r="B104" s="43" t="str">
        <f>IF($K104="","",INDEX(AUX!$D$2:$D$361,$K104))</f>
        <v/>
      </c>
      <c r="C104" s="44" t="str">
        <f>IF($K104="","",INDEX(AUX!$E$2:$E$361,$K104))</f>
        <v/>
      </c>
      <c r="D104" s="44" t="str">
        <f>IF($K104="","",INDEX(AUX!$F$2:$F$361,$K104))</f>
        <v/>
      </c>
      <c r="E104" s="42" t="str">
        <f>IF($K104="","",INDEX(AUX!$G$2:$G$361,$K104))</f>
        <v/>
      </c>
      <c r="F104" s="45" t="str">
        <f>IF($K104="","",INDEX(AUX!$H$2:$H$361,$K104))</f>
        <v/>
      </c>
      <c r="G104" s="24" t="str">
        <f>IF($K104="","",INDEX(AUX!$I$2:$I$361,$K104))</f>
        <v/>
      </c>
      <c r="K104" t="str">
        <f>IFERROR(MATCH(97,AUX!$K$2:$K$361,0),"")</f>
        <v/>
      </c>
    </row>
    <row r="105" spans="1:11" x14ac:dyDescent="0.25">
      <c r="A105" s="46" t="str">
        <f>IF($K105="","",98)</f>
        <v/>
      </c>
      <c r="B105" s="47" t="str">
        <f>IF($K105="","",INDEX(AUX!$D$2:$D$361,$K105))</f>
        <v/>
      </c>
      <c r="C105" s="48" t="str">
        <f>IF($K105="","",INDEX(AUX!$E$2:$E$361,$K105))</f>
        <v/>
      </c>
      <c r="D105" s="48" t="str">
        <f>IF($K105="","",INDEX(AUX!$F$2:$F$361,$K105))</f>
        <v/>
      </c>
      <c r="E105" s="46" t="str">
        <f>IF($K105="","",INDEX(AUX!$G$2:$G$361,$K105))</f>
        <v/>
      </c>
      <c r="F105" s="49" t="str">
        <f>IF($K105="","",INDEX(AUX!$H$2:$H$361,$K105))</f>
        <v/>
      </c>
      <c r="G105" s="50" t="str">
        <f>IF($K105="","",INDEX(AUX!$I$2:$I$361,$K105))</f>
        <v/>
      </c>
      <c r="K105" t="str">
        <f>IFERROR(MATCH(98,AUX!$K$2:$K$361,0),"")</f>
        <v/>
      </c>
    </row>
    <row r="106" spans="1:11" x14ac:dyDescent="0.25">
      <c r="A106" s="42" t="str">
        <f>IF($K106="","",99)</f>
        <v/>
      </c>
      <c r="B106" s="43" t="str">
        <f>IF($K106="","",INDEX(AUX!$D$2:$D$361,$K106))</f>
        <v/>
      </c>
      <c r="C106" s="44" t="str">
        <f>IF($K106="","",INDEX(AUX!$E$2:$E$361,$K106))</f>
        <v/>
      </c>
      <c r="D106" s="44" t="str">
        <f>IF($K106="","",INDEX(AUX!$F$2:$F$361,$K106))</f>
        <v/>
      </c>
      <c r="E106" s="42" t="str">
        <f>IF($K106="","",INDEX(AUX!$G$2:$G$361,$K106))</f>
        <v/>
      </c>
      <c r="F106" s="45" t="str">
        <f>IF($K106="","",INDEX(AUX!$H$2:$H$361,$K106))</f>
        <v/>
      </c>
      <c r="G106" s="24" t="str">
        <f>IF($K106="","",INDEX(AUX!$I$2:$I$361,$K106))</f>
        <v/>
      </c>
      <c r="K106" t="str">
        <f>IFERROR(MATCH(99,AUX!$K$2:$K$361,0),"")</f>
        <v/>
      </c>
    </row>
    <row r="107" spans="1:11" x14ac:dyDescent="0.25">
      <c r="A107" s="46" t="str">
        <f>IF($K107="","",100)</f>
        <v/>
      </c>
      <c r="B107" s="47" t="str">
        <f>IF($K107="","",INDEX(AUX!$D$2:$D$361,$K107))</f>
        <v/>
      </c>
      <c r="C107" s="48" t="str">
        <f>IF($K107="","",INDEX(AUX!$E$2:$E$361,$K107))</f>
        <v/>
      </c>
      <c r="D107" s="48" t="str">
        <f>IF($K107="","",INDEX(AUX!$F$2:$F$361,$K107))</f>
        <v/>
      </c>
      <c r="E107" s="46" t="str">
        <f>IF($K107="","",INDEX(AUX!$G$2:$G$361,$K107))</f>
        <v/>
      </c>
      <c r="F107" s="49" t="str">
        <f>IF($K107="","",INDEX(AUX!$H$2:$H$361,$K107))</f>
        <v/>
      </c>
      <c r="G107" s="50" t="str">
        <f>IF($K107="","",INDEX(AUX!$I$2:$I$361,$K107))</f>
        <v/>
      </c>
      <c r="K107" t="str">
        <f>IFERROR(MATCH(100,AUX!$K$2:$K$361,0),"")</f>
        <v/>
      </c>
    </row>
    <row r="108" spans="1:11" x14ac:dyDescent="0.25">
      <c r="A108" s="42" t="str">
        <f>IF($K108="","",101)</f>
        <v/>
      </c>
      <c r="B108" s="43" t="str">
        <f>IF($K108="","",INDEX(AUX!$D$2:$D$361,$K108))</f>
        <v/>
      </c>
      <c r="C108" s="44" t="str">
        <f>IF($K108="","",INDEX(AUX!$E$2:$E$361,$K108))</f>
        <v/>
      </c>
      <c r="D108" s="44" t="str">
        <f>IF($K108="","",INDEX(AUX!$F$2:$F$361,$K108))</f>
        <v/>
      </c>
      <c r="E108" s="42" t="str">
        <f>IF($K108="","",INDEX(AUX!$G$2:$G$361,$K108))</f>
        <v/>
      </c>
      <c r="F108" s="45" t="str">
        <f>IF($K108="","",INDEX(AUX!$H$2:$H$361,$K108))</f>
        <v/>
      </c>
      <c r="G108" s="24" t="str">
        <f>IF($K108="","",INDEX(AUX!$I$2:$I$361,$K108))</f>
        <v/>
      </c>
      <c r="K108" t="str">
        <f>IFERROR(MATCH(101,AUX!$K$2:$K$361,0),"")</f>
        <v/>
      </c>
    </row>
    <row r="109" spans="1:11" x14ac:dyDescent="0.25">
      <c r="A109" s="46" t="str">
        <f>IF($K109="","",102)</f>
        <v/>
      </c>
      <c r="B109" s="47" t="str">
        <f>IF($K109="","",INDEX(AUX!$D$2:$D$361,$K109))</f>
        <v/>
      </c>
      <c r="C109" s="48" t="str">
        <f>IF($K109="","",INDEX(AUX!$E$2:$E$361,$K109))</f>
        <v/>
      </c>
      <c r="D109" s="48" t="str">
        <f>IF($K109="","",INDEX(AUX!$F$2:$F$361,$K109))</f>
        <v/>
      </c>
      <c r="E109" s="46" t="str">
        <f>IF($K109="","",INDEX(AUX!$G$2:$G$361,$K109))</f>
        <v/>
      </c>
      <c r="F109" s="49" t="str">
        <f>IF($K109="","",INDEX(AUX!$H$2:$H$361,$K109))</f>
        <v/>
      </c>
      <c r="G109" s="50" t="str">
        <f>IF($K109="","",INDEX(AUX!$I$2:$I$361,$K109))</f>
        <v/>
      </c>
      <c r="K109" t="str">
        <f>IFERROR(MATCH(102,AUX!$K$2:$K$361,0),"")</f>
        <v/>
      </c>
    </row>
    <row r="110" spans="1:11" x14ac:dyDescent="0.25">
      <c r="A110" s="42" t="str">
        <f>IF($K110="","",103)</f>
        <v/>
      </c>
      <c r="B110" s="43" t="str">
        <f>IF($K110="","",INDEX(AUX!$D$2:$D$361,$K110))</f>
        <v/>
      </c>
      <c r="C110" s="44" t="str">
        <f>IF($K110="","",INDEX(AUX!$E$2:$E$361,$K110))</f>
        <v/>
      </c>
      <c r="D110" s="44" t="str">
        <f>IF($K110="","",INDEX(AUX!$F$2:$F$361,$K110))</f>
        <v/>
      </c>
      <c r="E110" s="42" t="str">
        <f>IF($K110="","",INDEX(AUX!$G$2:$G$361,$K110))</f>
        <v/>
      </c>
      <c r="F110" s="45" t="str">
        <f>IF($K110="","",INDEX(AUX!$H$2:$H$361,$K110))</f>
        <v/>
      </c>
      <c r="G110" s="24" t="str">
        <f>IF($K110="","",INDEX(AUX!$I$2:$I$361,$K110))</f>
        <v/>
      </c>
      <c r="K110" t="str">
        <f>IFERROR(MATCH(103,AUX!$K$2:$K$361,0),"")</f>
        <v/>
      </c>
    </row>
    <row r="111" spans="1:11" x14ac:dyDescent="0.25">
      <c r="A111" s="46" t="str">
        <f>IF($K111="","",104)</f>
        <v/>
      </c>
      <c r="B111" s="47" t="str">
        <f>IF($K111="","",INDEX(AUX!$D$2:$D$361,$K111))</f>
        <v/>
      </c>
      <c r="C111" s="48" t="str">
        <f>IF($K111="","",INDEX(AUX!$E$2:$E$361,$K111))</f>
        <v/>
      </c>
      <c r="D111" s="48" t="str">
        <f>IF($K111="","",INDEX(AUX!$F$2:$F$361,$K111))</f>
        <v/>
      </c>
      <c r="E111" s="46" t="str">
        <f>IF($K111="","",INDEX(AUX!$G$2:$G$361,$K111))</f>
        <v/>
      </c>
      <c r="F111" s="49" t="str">
        <f>IF($K111="","",INDEX(AUX!$H$2:$H$361,$K111))</f>
        <v/>
      </c>
      <c r="G111" s="50" t="str">
        <f>IF($K111="","",INDEX(AUX!$I$2:$I$361,$K111))</f>
        <v/>
      </c>
      <c r="K111" t="str">
        <f>IFERROR(MATCH(104,AUX!$K$2:$K$361,0),"")</f>
        <v/>
      </c>
    </row>
    <row r="112" spans="1:11" x14ac:dyDescent="0.25">
      <c r="A112" s="42" t="str">
        <f>IF($K112="","",105)</f>
        <v/>
      </c>
      <c r="B112" s="43" t="str">
        <f>IF($K112="","",INDEX(AUX!$D$2:$D$361,$K112))</f>
        <v/>
      </c>
      <c r="C112" s="44" t="str">
        <f>IF($K112="","",INDEX(AUX!$E$2:$E$361,$K112))</f>
        <v/>
      </c>
      <c r="D112" s="44" t="str">
        <f>IF($K112="","",INDEX(AUX!$F$2:$F$361,$K112))</f>
        <v/>
      </c>
      <c r="E112" s="42" t="str">
        <f>IF($K112="","",INDEX(AUX!$G$2:$G$361,$K112))</f>
        <v/>
      </c>
      <c r="F112" s="45" t="str">
        <f>IF($K112="","",INDEX(AUX!$H$2:$H$361,$K112))</f>
        <v/>
      </c>
      <c r="G112" s="24" t="str">
        <f>IF($K112="","",INDEX(AUX!$I$2:$I$361,$K112))</f>
        <v/>
      </c>
      <c r="K112" t="str">
        <f>IFERROR(MATCH(105,AUX!$K$2:$K$361,0),"")</f>
        <v/>
      </c>
    </row>
    <row r="113" spans="1:11" x14ac:dyDescent="0.25">
      <c r="A113" s="46" t="str">
        <f>IF($K113="","",106)</f>
        <v/>
      </c>
      <c r="B113" s="47" t="str">
        <f>IF($K113="","",INDEX(AUX!$D$2:$D$361,$K113))</f>
        <v/>
      </c>
      <c r="C113" s="48" t="str">
        <f>IF($K113="","",INDEX(AUX!$E$2:$E$361,$K113))</f>
        <v/>
      </c>
      <c r="D113" s="48" t="str">
        <f>IF($K113="","",INDEX(AUX!$F$2:$F$361,$K113))</f>
        <v/>
      </c>
      <c r="E113" s="46" t="str">
        <f>IF($K113="","",INDEX(AUX!$G$2:$G$361,$K113))</f>
        <v/>
      </c>
      <c r="F113" s="49" t="str">
        <f>IF($K113="","",INDEX(AUX!$H$2:$H$361,$K113))</f>
        <v/>
      </c>
      <c r="G113" s="50" t="str">
        <f>IF($K113="","",INDEX(AUX!$I$2:$I$361,$K113))</f>
        <v/>
      </c>
      <c r="K113" t="str">
        <f>IFERROR(MATCH(106,AUX!$K$2:$K$361,0),"")</f>
        <v/>
      </c>
    </row>
    <row r="114" spans="1:11" x14ac:dyDescent="0.25">
      <c r="A114" s="42" t="str">
        <f>IF($K114="","",107)</f>
        <v/>
      </c>
      <c r="B114" s="43" t="str">
        <f>IF($K114="","",INDEX(AUX!$D$2:$D$361,$K114))</f>
        <v/>
      </c>
      <c r="C114" s="44" t="str">
        <f>IF($K114="","",INDEX(AUX!$E$2:$E$361,$K114))</f>
        <v/>
      </c>
      <c r="D114" s="44" t="str">
        <f>IF($K114="","",INDEX(AUX!$F$2:$F$361,$K114))</f>
        <v/>
      </c>
      <c r="E114" s="42" t="str">
        <f>IF($K114="","",INDEX(AUX!$G$2:$G$361,$K114))</f>
        <v/>
      </c>
      <c r="F114" s="45" t="str">
        <f>IF($K114="","",INDEX(AUX!$H$2:$H$361,$K114))</f>
        <v/>
      </c>
      <c r="G114" s="24" t="str">
        <f>IF($K114="","",INDEX(AUX!$I$2:$I$361,$K114))</f>
        <v/>
      </c>
      <c r="K114" t="str">
        <f>IFERROR(MATCH(107,AUX!$K$2:$K$361,0),"")</f>
        <v/>
      </c>
    </row>
    <row r="115" spans="1:11" x14ac:dyDescent="0.25">
      <c r="A115" s="46" t="str">
        <f>IF($K115="","",108)</f>
        <v/>
      </c>
      <c r="B115" s="47" t="str">
        <f>IF($K115="","",INDEX(AUX!$D$2:$D$361,$K115))</f>
        <v/>
      </c>
      <c r="C115" s="48" t="str">
        <f>IF($K115="","",INDEX(AUX!$E$2:$E$361,$K115))</f>
        <v/>
      </c>
      <c r="D115" s="48" t="str">
        <f>IF($K115="","",INDEX(AUX!$F$2:$F$361,$K115))</f>
        <v/>
      </c>
      <c r="E115" s="46" t="str">
        <f>IF($K115="","",INDEX(AUX!$G$2:$G$361,$K115))</f>
        <v/>
      </c>
      <c r="F115" s="49" t="str">
        <f>IF($K115="","",INDEX(AUX!$H$2:$H$361,$K115))</f>
        <v/>
      </c>
      <c r="G115" s="50" t="str">
        <f>IF($K115="","",INDEX(AUX!$I$2:$I$361,$K115))</f>
        <v/>
      </c>
      <c r="K115" t="str">
        <f>IFERROR(MATCH(108,AUX!$K$2:$K$361,0),"")</f>
        <v/>
      </c>
    </row>
    <row r="116" spans="1:11" x14ac:dyDescent="0.25">
      <c r="A116" s="42" t="str">
        <f>IF($K116="","",109)</f>
        <v/>
      </c>
      <c r="B116" s="43" t="str">
        <f>IF($K116="","",INDEX(AUX!$D$2:$D$361,$K116))</f>
        <v/>
      </c>
      <c r="C116" s="44" t="str">
        <f>IF($K116="","",INDEX(AUX!$E$2:$E$361,$K116))</f>
        <v/>
      </c>
      <c r="D116" s="44" t="str">
        <f>IF($K116="","",INDEX(AUX!$F$2:$F$361,$K116))</f>
        <v/>
      </c>
      <c r="E116" s="42" t="str">
        <f>IF($K116="","",INDEX(AUX!$G$2:$G$361,$K116))</f>
        <v/>
      </c>
      <c r="F116" s="45" t="str">
        <f>IF($K116="","",INDEX(AUX!$H$2:$H$361,$K116))</f>
        <v/>
      </c>
      <c r="G116" s="24" t="str">
        <f>IF($K116="","",INDEX(AUX!$I$2:$I$361,$K116))</f>
        <v/>
      </c>
      <c r="K116" t="str">
        <f>IFERROR(MATCH(109,AUX!$K$2:$K$361,0),"")</f>
        <v/>
      </c>
    </row>
    <row r="117" spans="1:11" x14ac:dyDescent="0.25">
      <c r="A117" s="46" t="str">
        <f>IF($K117="","",110)</f>
        <v/>
      </c>
      <c r="B117" s="47" t="str">
        <f>IF($K117="","",INDEX(AUX!$D$2:$D$361,$K117))</f>
        <v/>
      </c>
      <c r="C117" s="48" t="str">
        <f>IF($K117="","",INDEX(AUX!$E$2:$E$361,$K117))</f>
        <v/>
      </c>
      <c r="D117" s="48" t="str">
        <f>IF($K117="","",INDEX(AUX!$F$2:$F$361,$K117))</f>
        <v/>
      </c>
      <c r="E117" s="46" t="str">
        <f>IF($K117="","",INDEX(AUX!$G$2:$G$361,$K117))</f>
        <v/>
      </c>
      <c r="F117" s="49" t="str">
        <f>IF($K117="","",INDEX(AUX!$H$2:$H$361,$K117))</f>
        <v/>
      </c>
      <c r="G117" s="50" t="str">
        <f>IF($K117="","",INDEX(AUX!$I$2:$I$361,$K117))</f>
        <v/>
      </c>
      <c r="K117" t="str">
        <f>IFERROR(MATCH(110,AUX!$K$2:$K$361,0),"")</f>
        <v/>
      </c>
    </row>
    <row r="118" spans="1:11" x14ac:dyDescent="0.25">
      <c r="A118" s="42" t="str">
        <f>IF($K118="","",111)</f>
        <v/>
      </c>
      <c r="B118" s="43" t="str">
        <f>IF($K118="","",INDEX(AUX!$D$2:$D$361,$K118))</f>
        <v/>
      </c>
      <c r="C118" s="44" t="str">
        <f>IF($K118="","",INDEX(AUX!$E$2:$E$361,$K118))</f>
        <v/>
      </c>
      <c r="D118" s="44" t="str">
        <f>IF($K118="","",INDEX(AUX!$F$2:$F$361,$K118))</f>
        <v/>
      </c>
      <c r="E118" s="42" t="str">
        <f>IF($K118="","",INDEX(AUX!$G$2:$G$361,$K118))</f>
        <v/>
      </c>
      <c r="F118" s="45" t="str">
        <f>IF($K118="","",INDEX(AUX!$H$2:$H$361,$K118))</f>
        <v/>
      </c>
      <c r="G118" s="24" t="str">
        <f>IF($K118="","",INDEX(AUX!$I$2:$I$361,$K118))</f>
        <v/>
      </c>
      <c r="K118" t="str">
        <f>IFERROR(MATCH(111,AUX!$K$2:$K$361,0),"")</f>
        <v/>
      </c>
    </row>
    <row r="119" spans="1:11" x14ac:dyDescent="0.25">
      <c r="A119" s="46" t="str">
        <f>IF($K119="","",112)</f>
        <v/>
      </c>
      <c r="B119" s="47" t="str">
        <f>IF($K119="","",INDEX(AUX!$D$2:$D$361,$K119))</f>
        <v/>
      </c>
      <c r="C119" s="48" t="str">
        <f>IF($K119="","",INDEX(AUX!$E$2:$E$361,$K119))</f>
        <v/>
      </c>
      <c r="D119" s="48" t="str">
        <f>IF($K119="","",INDEX(AUX!$F$2:$F$361,$K119))</f>
        <v/>
      </c>
      <c r="E119" s="46" t="str">
        <f>IF($K119="","",INDEX(AUX!$G$2:$G$361,$K119))</f>
        <v/>
      </c>
      <c r="F119" s="49" t="str">
        <f>IF($K119="","",INDEX(AUX!$H$2:$H$361,$K119))</f>
        <v/>
      </c>
      <c r="G119" s="50" t="str">
        <f>IF($K119="","",INDEX(AUX!$I$2:$I$361,$K119))</f>
        <v/>
      </c>
      <c r="K119" t="str">
        <f>IFERROR(MATCH(112,AUX!$K$2:$K$361,0),"")</f>
        <v/>
      </c>
    </row>
    <row r="120" spans="1:11" x14ac:dyDescent="0.25">
      <c r="A120" s="42" t="str">
        <f>IF($K120="","",113)</f>
        <v/>
      </c>
      <c r="B120" s="43" t="str">
        <f>IF($K120="","",INDEX(AUX!$D$2:$D$361,$K120))</f>
        <v/>
      </c>
      <c r="C120" s="44" t="str">
        <f>IF($K120="","",INDEX(AUX!$E$2:$E$361,$K120))</f>
        <v/>
      </c>
      <c r="D120" s="44" t="str">
        <f>IF($K120="","",INDEX(AUX!$F$2:$F$361,$K120))</f>
        <v/>
      </c>
      <c r="E120" s="42" t="str">
        <f>IF($K120="","",INDEX(AUX!$G$2:$G$361,$K120))</f>
        <v/>
      </c>
      <c r="F120" s="45" t="str">
        <f>IF($K120="","",INDEX(AUX!$H$2:$H$361,$K120))</f>
        <v/>
      </c>
      <c r="G120" s="24" t="str">
        <f>IF($K120="","",INDEX(AUX!$I$2:$I$361,$K120))</f>
        <v/>
      </c>
      <c r="K120" t="str">
        <f>IFERROR(MATCH(113,AUX!$K$2:$K$361,0),"")</f>
        <v/>
      </c>
    </row>
    <row r="121" spans="1:11" x14ac:dyDescent="0.25">
      <c r="A121" s="46" t="str">
        <f>IF($K121="","",114)</f>
        <v/>
      </c>
      <c r="B121" s="47" t="str">
        <f>IF($K121="","",INDEX(AUX!$D$2:$D$361,$K121))</f>
        <v/>
      </c>
      <c r="C121" s="48" t="str">
        <f>IF($K121="","",INDEX(AUX!$E$2:$E$361,$K121))</f>
        <v/>
      </c>
      <c r="D121" s="48" t="str">
        <f>IF($K121="","",INDEX(AUX!$F$2:$F$361,$K121))</f>
        <v/>
      </c>
      <c r="E121" s="46" t="str">
        <f>IF($K121="","",INDEX(AUX!$G$2:$G$361,$K121))</f>
        <v/>
      </c>
      <c r="F121" s="49" t="str">
        <f>IF($K121="","",INDEX(AUX!$H$2:$H$361,$K121))</f>
        <v/>
      </c>
      <c r="G121" s="50" t="str">
        <f>IF($K121="","",INDEX(AUX!$I$2:$I$361,$K121))</f>
        <v/>
      </c>
      <c r="K121" t="str">
        <f>IFERROR(MATCH(114,AUX!$K$2:$K$361,0),"")</f>
        <v/>
      </c>
    </row>
    <row r="122" spans="1:11" x14ac:dyDescent="0.25">
      <c r="A122" s="42" t="str">
        <f>IF($K122="","",115)</f>
        <v/>
      </c>
      <c r="B122" s="43" t="str">
        <f>IF($K122="","",INDEX(AUX!$D$2:$D$361,$K122))</f>
        <v/>
      </c>
      <c r="C122" s="44" t="str">
        <f>IF($K122="","",INDEX(AUX!$E$2:$E$361,$K122))</f>
        <v/>
      </c>
      <c r="D122" s="44" t="str">
        <f>IF($K122="","",INDEX(AUX!$F$2:$F$361,$K122))</f>
        <v/>
      </c>
      <c r="E122" s="42" t="str">
        <f>IF($K122="","",INDEX(AUX!$G$2:$G$361,$K122))</f>
        <v/>
      </c>
      <c r="F122" s="45" t="str">
        <f>IF($K122="","",INDEX(AUX!$H$2:$H$361,$K122))</f>
        <v/>
      </c>
      <c r="G122" s="24" t="str">
        <f>IF($K122="","",INDEX(AUX!$I$2:$I$361,$K122))</f>
        <v/>
      </c>
      <c r="K122" t="str">
        <f>IFERROR(MATCH(115,AUX!$K$2:$K$361,0),"")</f>
        <v/>
      </c>
    </row>
    <row r="123" spans="1:11" x14ac:dyDescent="0.25">
      <c r="A123" s="46" t="str">
        <f>IF($K123="","",116)</f>
        <v/>
      </c>
      <c r="B123" s="47" t="str">
        <f>IF($K123="","",INDEX(AUX!$D$2:$D$361,$K123))</f>
        <v/>
      </c>
      <c r="C123" s="48" t="str">
        <f>IF($K123="","",INDEX(AUX!$E$2:$E$361,$K123))</f>
        <v/>
      </c>
      <c r="D123" s="48" t="str">
        <f>IF($K123="","",INDEX(AUX!$F$2:$F$361,$K123))</f>
        <v/>
      </c>
      <c r="E123" s="46" t="str">
        <f>IF($K123="","",INDEX(AUX!$G$2:$G$361,$K123))</f>
        <v/>
      </c>
      <c r="F123" s="49" t="str">
        <f>IF($K123="","",INDEX(AUX!$H$2:$H$361,$K123))</f>
        <v/>
      </c>
      <c r="G123" s="50" t="str">
        <f>IF($K123="","",INDEX(AUX!$I$2:$I$361,$K123))</f>
        <v/>
      </c>
      <c r="K123" t="str">
        <f>IFERROR(MATCH(116,AUX!$K$2:$K$361,0),"")</f>
        <v/>
      </c>
    </row>
    <row r="124" spans="1:11" x14ac:dyDescent="0.25">
      <c r="A124" s="42" t="str">
        <f>IF($K124="","",117)</f>
        <v/>
      </c>
      <c r="B124" s="43" t="str">
        <f>IF($K124="","",INDEX(AUX!$D$2:$D$361,$K124))</f>
        <v/>
      </c>
      <c r="C124" s="44" t="str">
        <f>IF($K124="","",INDEX(AUX!$E$2:$E$361,$K124))</f>
        <v/>
      </c>
      <c r="D124" s="44" t="str">
        <f>IF($K124="","",INDEX(AUX!$F$2:$F$361,$K124))</f>
        <v/>
      </c>
      <c r="E124" s="42" t="str">
        <f>IF($K124="","",INDEX(AUX!$G$2:$G$361,$K124))</f>
        <v/>
      </c>
      <c r="F124" s="45" t="str">
        <f>IF($K124="","",INDEX(AUX!$H$2:$H$361,$K124))</f>
        <v/>
      </c>
      <c r="G124" s="24" t="str">
        <f>IF($K124="","",INDEX(AUX!$I$2:$I$361,$K124))</f>
        <v/>
      </c>
      <c r="K124" t="str">
        <f>IFERROR(MATCH(117,AUX!$K$2:$K$361,0),"")</f>
        <v/>
      </c>
    </row>
    <row r="125" spans="1:11" x14ac:dyDescent="0.25">
      <c r="A125" s="46" t="str">
        <f>IF($K125="","",118)</f>
        <v/>
      </c>
      <c r="B125" s="47" t="str">
        <f>IF($K125="","",INDEX(AUX!$D$2:$D$361,$K125))</f>
        <v/>
      </c>
      <c r="C125" s="48" t="str">
        <f>IF($K125="","",INDEX(AUX!$E$2:$E$361,$K125))</f>
        <v/>
      </c>
      <c r="D125" s="48" t="str">
        <f>IF($K125="","",INDEX(AUX!$F$2:$F$361,$K125))</f>
        <v/>
      </c>
      <c r="E125" s="46" t="str">
        <f>IF($K125="","",INDEX(AUX!$G$2:$G$361,$K125))</f>
        <v/>
      </c>
      <c r="F125" s="49" t="str">
        <f>IF($K125="","",INDEX(AUX!$H$2:$H$361,$K125))</f>
        <v/>
      </c>
      <c r="G125" s="50" t="str">
        <f>IF($K125="","",INDEX(AUX!$I$2:$I$361,$K125))</f>
        <v/>
      </c>
      <c r="K125" t="str">
        <f>IFERROR(MATCH(118,AUX!$K$2:$K$361,0),"")</f>
        <v/>
      </c>
    </row>
    <row r="126" spans="1:11" x14ac:dyDescent="0.25">
      <c r="A126" s="42" t="str">
        <f>IF($K126="","",119)</f>
        <v/>
      </c>
      <c r="B126" s="43" t="str">
        <f>IF($K126="","",INDEX(AUX!$D$2:$D$361,$K126))</f>
        <v/>
      </c>
      <c r="C126" s="44" t="str">
        <f>IF($K126="","",INDEX(AUX!$E$2:$E$361,$K126))</f>
        <v/>
      </c>
      <c r="D126" s="44" t="str">
        <f>IF($K126="","",INDEX(AUX!$F$2:$F$361,$K126))</f>
        <v/>
      </c>
      <c r="E126" s="42" t="str">
        <f>IF($K126="","",INDEX(AUX!$G$2:$G$361,$K126))</f>
        <v/>
      </c>
      <c r="F126" s="45" t="str">
        <f>IF($K126="","",INDEX(AUX!$H$2:$H$361,$K126))</f>
        <v/>
      </c>
      <c r="G126" s="24" t="str">
        <f>IF($K126="","",INDEX(AUX!$I$2:$I$361,$K126))</f>
        <v/>
      </c>
      <c r="K126" t="str">
        <f>IFERROR(MATCH(119,AUX!$K$2:$K$361,0),"")</f>
        <v/>
      </c>
    </row>
    <row r="127" spans="1:11" x14ac:dyDescent="0.25">
      <c r="A127" s="46" t="str">
        <f>IF($K127="","",120)</f>
        <v/>
      </c>
      <c r="B127" s="47" t="str">
        <f>IF($K127="","",INDEX(AUX!$D$2:$D$361,$K127))</f>
        <v/>
      </c>
      <c r="C127" s="48" t="str">
        <f>IF($K127="","",INDEX(AUX!$E$2:$E$361,$K127))</f>
        <v/>
      </c>
      <c r="D127" s="48" t="str">
        <f>IF($K127="","",INDEX(AUX!$F$2:$F$361,$K127))</f>
        <v/>
      </c>
      <c r="E127" s="46" t="str">
        <f>IF($K127="","",INDEX(AUX!$G$2:$G$361,$K127))</f>
        <v/>
      </c>
      <c r="F127" s="49" t="str">
        <f>IF($K127="","",INDEX(AUX!$H$2:$H$361,$K127))</f>
        <v/>
      </c>
      <c r="G127" s="50" t="str">
        <f>IF($K127="","",INDEX(AUX!$I$2:$I$361,$K127))</f>
        <v/>
      </c>
      <c r="K127" t="str">
        <f>IFERROR(MATCH(120,AUX!$K$2:$K$361,0),"")</f>
        <v/>
      </c>
    </row>
    <row r="128" spans="1:11" x14ac:dyDescent="0.25">
      <c r="A128" s="42" t="str">
        <f>IF($K128="","",121)</f>
        <v/>
      </c>
      <c r="B128" s="43" t="str">
        <f>IF($K128="","",INDEX(AUX!$D$2:$D$361,$K128))</f>
        <v/>
      </c>
      <c r="C128" s="44" t="str">
        <f>IF($K128="","",INDEX(AUX!$E$2:$E$361,$K128))</f>
        <v/>
      </c>
      <c r="D128" s="44" t="str">
        <f>IF($K128="","",INDEX(AUX!$F$2:$F$361,$K128))</f>
        <v/>
      </c>
      <c r="E128" s="42" t="str">
        <f>IF($K128="","",INDEX(AUX!$G$2:$G$361,$K128))</f>
        <v/>
      </c>
      <c r="F128" s="45" t="str">
        <f>IF($K128="","",INDEX(AUX!$H$2:$H$361,$K128))</f>
        <v/>
      </c>
      <c r="G128" s="24" t="str">
        <f>IF($K128="","",INDEX(AUX!$I$2:$I$361,$K128))</f>
        <v/>
      </c>
      <c r="K128" t="str">
        <f>IFERROR(MATCH(121,AUX!$K$2:$K$361,0),"")</f>
        <v/>
      </c>
    </row>
    <row r="129" spans="1:11" x14ac:dyDescent="0.25">
      <c r="A129" s="46" t="str">
        <f>IF($K129="","",122)</f>
        <v/>
      </c>
      <c r="B129" s="47" t="str">
        <f>IF($K129="","",INDEX(AUX!$D$2:$D$361,$K129))</f>
        <v/>
      </c>
      <c r="C129" s="48" t="str">
        <f>IF($K129="","",INDEX(AUX!$E$2:$E$361,$K129))</f>
        <v/>
      </c>
      <c r="D129" s="48" t="str">
        <f>IF($K129="","",INDEX(AUX!$F$2:$F$361,$K129))</f>
        <v/>
      </c>
      <c r="E129" s="46" t="str">
        <f>IF($K129="","",INDEX(AUX!$G$2:$G$361,$K129))</f>
        <v/>
      </c>
      <c r="F129" s="49" t="str">
        <f>IF($K129="","",INDEX(AUX!$H$2:$H$361,$K129))</f>
        <v/>
      </c>
      <c r="G129" s="50" t="str">
        <f>IF($K129="","",INDEX(AUX!$I$2:$I$361,$K129))</f>
        <v/>
      </c>
      <c r="K129" t="str">
        <f>IFERROR(MATCH(122,AUX!$K$2:$K$361,0),"")</f>
        <v/>
      </c>
    </row>
    <row r="130" spans="1:11" x14ac:dyDescent="0.25">
      <c r="A130" s="42" t="str">
        <f>IF($K130="","",123)</f>
        <v/>
      </c>
      <c r="B130" s="43" t="str">
        <f>IF($K130="","",INDEX(AUX!$D$2:$D$361,$K130))</f>
        <v/>
      </c>
      <c r="C130" s="44" t="str">
        <f>IF($K130="","",INDEX(AUX!$E$2:$E$361,$K130))</f>
        <v/>
      </c>
      <c r="D130" s="44" t="str">
        <f>IF($K130="","",INDEX(AUX!$F$2:$F$361,$K130))</f>
        <v/>
      </c>
      <c r="E130" s="42" t="str">
        <f>IF($K130="","",INDEX(AUX!$G$2:$G$361,$K130))</f>
        <v/>
      </c>
      <c r="F130" s="45" t="str">
        <f>IF($K130="","",INDEX(AUX!$H$2:$H$361,$K130))</f>
        <v/>
      </c>
      <c r="G130" s="24" t="str">
        <f>IF($K130="","",INDEX(AUX!$I$2:$I$361,$K130))</f>
        <v/>
      </c>
      <c r="K130" t="str">
        <f>IFERROR(MATCH(123,AUX!$K$2:$K$361,0),"")</f>
        <v/>
      </c>
    </row>
    <row r="131" spans="1:11" x14ac:dyDescent="0.25">
      <c r="A131" s="46" t="str">
        <f>IF($K131="","",124)</f>
        <v/>
      </c>
      <c r="B131" s="47" t="str">
        <f>IF($K131="","",INDEX(AUX!$D$2:$D$361,$K131))</f>
        <v/>
      </c>
      <c r="C131" s="48" t="str">
        <f>IF($K131="","",INDEX(AUX!$E$2:$E$361,$K131))</f>
        <v/>
      </c>
      <c r="D131" s="48" t="str">
        <f>IF($K131="","",INDEX(AUX!$F$2:$F$361,$K131))</f>
        <v/>
      </c>
      <c r="E131" s="46" t="str">
        <f>IF($K131="","",INDEX(AUX!$G$2:$G$361,$K131))</f>
        <v/>
      </c>
      <c r="F131" s="49" t="str">
        <f>IF($K131="","",INDEX(AUX!$H$2:$H$361,$K131))</f>
        <v/>
      </c>
      <c r="G131" s="50" t="str">
        <f>IF($K131="","",INDEX(AUX!$I$2:$I$361,$K131))</f>
        <v/>
      </c>
      <c r="K131" t="str">
        <f>IFERROR(MATCH(124,AUX!$K$2:$K$361,0),"")</f>
        <v/>
      </c>
    </row>
    <row r="132" spans="1:11" x14ac:dyDescent="0.25">
      <c r="A132" s="42" t="str">
        <f>IF($K132="","",125)</f>
        <v/>
      </c>
      <c r="B132" s="43" t="str">
        <f>IF($K132="","",INDEX(AUX!$D$2:$D$361,$K132))</f>
        <v/>
      </c>
      <c r="C132" s="44" t="str">
        <f>IF($K132="","",INDEX(AUX!$E$2:$E$361,$K132))</f>
        <v/>
      </c>
      <c r="D132" s="44" t="str">
        <f>IF($K132="","",INDEX(AUX!$F$2:$F$361,$K132))</f>
        <v/>
      </c>
      <c r="E132" s="42" t="str">
        <f>IF($K132="","",INDEX(AUX!$G$2:$G$361,$K132))</f>
        <v/>
      </c>
      <c r="F132" s="45" t="str">
        <f>IF($K132="","",INDEX(AUX!$H$2:$H$361,$K132))</f>
        <v/>
      </c>
      <c r="G132" s="24" t="str">
        <f>IF($K132="","",INDEX(AUX!$I$2:$I$361,$K132))</f>
        <v/>
      </c>
      <c r="K132" t="str">
        <f>IFERROR(MATCH(125,AUX!$K$2:$K$361,0),"")</f>
        <v/>
      </c>
    </row>
    <row r="133" spans="1:11" x14ac:dyDescent="0.25">
      <c r="A133" s="46" t="str">
        <f>IF($K133="","",126)</f>
        <v/>
      </c>
      <c r="B133" s="47" t="str">
        <f>IF($K133="","",INDEX(AUX!$D$2:$D$361,$K133))</f>
        <v/>
      </c>
      <c r="C133" s="48" t="str">
        <f>IF($K133="","",INDEX(AUX!$E$2:$E$361,$K133))</f>
        <v/>
      </c>
      <c r="D133" s="48" t="str">
        <f>IF($K133="","",INDEX(AUX!$F$2:$F$361,$K133))</f>
        <v/>
      </c>
      <c r="E133" s="46" t="str">
        <f>IF($K133="","",INDEX(AUX!$G$2:$G$361,$K133))</f>
        <v/>
      </c>
      <c r="F133" s="49" t="str">
        <f>IF($K133="","",INDEX(AUX!$H$2:$H$361,$K133))</f>
        <v/>
      </c>
      <c r="G133" s="50" t="str">
        <f>IF($K133="","",INDEX(AUX!$I$2:$I$361,$K133))</f>
        <v/>
      </c>
      <c r="K133" t="str">
        <f>IFERROR(MATCH(126,AUX!$K$2:$K$361,0),"")</f>
        <v/>
      </c>
    </row>
    <row r="134" spans="1:11" x14ac:dyDescent="0.25">
      <c r="A134" s="42" t="str">
        <f>IF($K134="","",127)</f>
        <v/>
      </c>
      <c r="B134" s="43" t="str">
        <f>IF($K134="","",INDEX(AUX!$D$2:$D$361,$K134))</f>
        <v/>
      </c>
      <c r="C134" s="44" t="str">
        <f>IF($K134="","",INDEX(AUX!$E$2:$E$361,$K134))</f>
        <v/>
      </c>
      <c r="D134" s="44" t="str">
        <f>IF($K134="","",INDEX(AUX!$F$2:$F$361,$K134))</f>
        <v/>
      </c>
      <c r="E134" s="42" t="str">
        <f>IF($K134="","",INDEX(AUX!$G$2:$G$361,$K134))</f>
        <v/>
      </c>
      <c r="F134" s="45" t="str">
        <f>IF($K134="","",INDEX(AUX!$H$2:$H$361,$K134))</f>
        <v/>
      </c>
      <c r="G134" s="24" t="str">
        <f>IF($K134="","",INDEX(AUX!$I$2:$I$361,$K134))</f>
        <v/>
      </c>
      <c r="K134" t="str">
        <f>IFERROR(MATCH(127,AUX!$K$2:$K$361,0),"")</f>
        <v/>
      </c>
    </row>
    <row r="135" spans="1:11" x14ac:dyDescent="0.25">
      <c r="A135" s="46" t="str">
        <f>IF($K135="","",128)</f>
        <v/>
      </c>
      <c r="B135" s="47" t="str">
        <f>IF($K135="","",INDEX(AUX!$D$2:$D$361,$K135))</f>
        <v/>
      </c>
      <c r="C135" s="48" t="str">
        <f>IF($K135="","",INDEX(AUX!$E$2:$E$361,$K135))</f>
        <v/>
      </c>
      <c r="D135" s="48" t="str">
        <f>IF($K135="","",INDEX(AUX!$F$2:$F$361,$K135))</f>
        <v/>
      </c>
      <c r="E135" s="46" t="str">
        <f>IF($K135="","",INDEX(AUX!$G$2:$G$361,$K135))</f>
        <v/>
      </c>
      <c r="F135" s="49" t="str">
        <f>IF($K135="","",INDEX(AUX!$H$2:$H$361,$K135))</f>
        <v/>
      </c>
      <c r="G135" s="50" t="str">
        <f>IF($K135="","",INDEX(AUX!$I$2:$I$361,$K135))</f>
        <v/>
      </c>
      <c r="K135" t="str">
        <f>IFERROR(MATCH(128,AUX!$K$2:$K$361,0),"")</f>
        <v/>
      </c>
    </row>
    <row r="136" spans="1:11" x14ac:dyDescent="0.25">
      <c r="A136" s="42" t="str">
        <f>IF($K136="","",129)</f>
        <v/>
      </c>
      <c r="B136" s="43" t="str">
        <f>IF($K136="","",INDEX(AUX!$D$2:$D$361,$K136))</f>
        <v/>
      </c>
      <c r="C136" s="44" t="str">
        <f>IF($K136="","",INDEX(AUX!$E$2:$E$361,$K136))</f>
        <v/>
      </c>
      <c r="D136" s="44" t="str">
        <f>IF($K136="","",INDEX(AUX!$F$2:$F$361,$K136))</f>
        <v/>
      </c>
      <c r="E136" s="42" t="str">
        <f>IF($K136="","",INDEX(AUX!$G$2:$G$361,$K136))</f>
        <v/>
      </c>
      <c r="F136" s="45" t="str">
        <f>IF($K136="","",INDEX(AUX!$H$2:$H$361,$K136))</f>
        <v/>
      </c>
      <c r="G136" s="24" t="str">
        <f>IF($K136="","",INDEX(AUX!$I$2:$I$361,$K136))</f>
        <v/>
      </c>
      <c r="K136" t="str">
        <f>IFERROR(MATCH(129,AUX!$K$2:$K$361,0),"")</f>
        <v/>
      </c>
    </row>
    <row r="137" spans="1:11" x14ac:dyDescent="0.25">
      <c r="A137" s="46" t="str">
        <f>IF($K137="","",130)</f>
        <v/>
      </c>
      <c r="B137" s="47" t="str">
        <f>IF($K137="","",INDEX(AUX!$D$2:$D$361,$K137))</f>
        <v/>
      </c>
      <c r="C137" s="48" t="str">
        <f>IF($K137="","",INDEX(AUX!$E$2:$E$361,$K137))</f>
        <v/>
      </c>
      <c r="D137" s="48" t="str">
        <f>IF($K137="","",INDEX(AUX!$F$2:$F$361,$K137))</f>
        <v/>
      </c>
      <c r="E137" s="46" t="str">
        <f>IF($K137="","",INDEX(AUX!$G$2:$G$361,$K137))</f>
        <v/>
      </c>
      <c r="F137" s="49" t="str">
        <f>IF($K137="","",INDEX(AUX!$H$2:$H$361,$K137))</f>
        <v/>
      </c>
      <c r="G137" s="50" t="str">
        <f>IF($K137="","",INDEX(AUX!$I$2:$I$361,$K137))</f>
        <v/>
      </c>
      <c r="K137" t="str">
        <f>IFERROR(MATCH(130,AUX!$K$2:$K$361,0),"")</f>
        <v/>
      </c>
    </row>
    <row r="138" spans="1:11" x14ac:dyDescent="0.25">
      <c r="A138" s="42" t="str">
        <f>IF($K138="","",131)</f>
        <v/>
      </c>
      <c r="B138" s="43" t="str">
        <f>IF($K138="","",INDEX(AUX!$D$2:$D$361,$K138))</f>
        <v/>
      </c>
      <c r="C138" s="44" t="str">
        <f>IF($K138="","",INDEX(AUX!$E$2:$E$361,$K138))</f>
        <v/>
      </c>
      <c r="D138" s="44" t="str">
        <f>IF($K138="","",INDEX(AUX!$F$2:$F$361,$K138))</f>
        <v/>
      </c>
      <c r="E138" s="42" t="str">
        <f>IF($K138="","",INDEX(AUX!$G$2:$G$361,$K138))</f>
        <v/>
      </c>
      <c r="F138" s="45" t="str">
        <f>IF($K138="","",INDEX(AUX!$H$2:$H$361,$K138))</f>
        <v/>
      </c>
      <c r="G138" s="24" t="str">
        <f>IF($K138="","",INDEX(AUX!$I$2:$I$361,$K138))</f>
        <v/>
      </c>
      <c r="K138" t="str">
        <f>IFERROR(MATCH(131,AUX!$K$2:$K$361,0),"")</f>
        <v/>
      </c>
    </row>
    <row r="139" spans="1:11" x14ac:dyDescent="0.25">
      <c r="A139" s="46" t="str">
        <f>IF($K139="","",132)</f>
        <v/>
      </c>
      <c r="B139" s="47" t="str">
        <f>IF($K139="","",INDEX(AUX!$D$2:$D$361,$K139))</f>
        <v/>
      </c>
      <c r="C139" s="48" t="str">
        <f>IF($K139="","",INDEX(AUX!$E$2:$E$361,$K139))</f>
        <v/>
      </c>
      <c r="D139" s="48" t="str">
        <f>IF($K139="","",INDEX(AUX!$F$2:$F$361,$K139))</f>
        <v/>
      </c>
      <c r="E139" s="46" t="str">
        <f>IF($K139="","",INDEX(AUX!$G$2:$G$361,$K139))</f>
        <v/>
      </c>
      <c r="F139" s="49" t="str">
        <f>IF($K139="","",INDEX(AUX!$H$2:$H$361,$K139))</f>
        <v/>
      </c>
      <c r="G139" s="50" t="str">
        <f>IF($K139="","",INDEX(AUX!$I$2:$I$361,$K139))</f>
        <v/>
      </c>
      <c r="K139" t="str">
        <f>IFERROR(MATCH(132,AUX!$K$2:$K$361,0),"")</f>
        <v/>
      </c>
    </row>
    <row r="140" spans="1:11" x14ac:dyDescent="0.25">
      <c r="A140" s="42" t="str">
        <f>IF($K140="","",133)</f>
        <v/>
      </c>
      <c r="B140" s="43" t="str">
        <f>IF($K140="","",INDEX(AUX!$D$2:$D$361,$K140))</f>
        <v/>
      </c>
      <c r="C140" s="44" t="str">
        <f>IF($K140="","",INDEX(AUX!$E$2:$E$361,$K140))</f>
        <v/>
      </c>
      <c r="D140" s="44" t="str">
        <f>IF($K140="","",INDEX(AUX!$F$2:$F$361,$K140))</f>
        <v/>
      </c>
      <c r="E140" s="42" t="str">
        <f>IF($K140="","",INDEX(AUX!$G$2:$G$361,$K140))</f>
        <v/>
      </c>
      <c r="F140" s="45" t="str">
        <f>IF($K140="","",INDEX(AUX!$H$2:$H$361,$K140))</f>
        <v/>
      </c>
      <c r="G140" s="24" t="str">
        <f>IF($K140="","",INDEX(AUX!$I$2:$I$361,$K140))</f>
        <v/>
      </c>
      <c r="K140" t="str">
        <f>IFERROR(MATCH(133,AUX!$K$2:$K$361,0),"")</f>
        <v/>
      </c>
    </row>
    <row r="141" spans="1:11" x14ac:dyDescent="0.25">
      <c r="A141" s="46" t="str">
        <f>IF($K141="","",134)</f>
        <v/>
      </c>
      <c r="B141" s="47" t="str">
        <f>IF($K141="","",INDEX(AUX!$D$2:$D$361,$K141))</f>
        <v/>
      </c>
      <c r="C141" s="48" t="str">
        <f>IF($K141="","",INDEX(AUX!$E$2:$E$361,$K141))</f>
        <v/>
      </c>
      <c r="D141" s="48" t="str">
        <f>IF($K141="","",INDEX(AUX!$F$2:$F$361,$K141))</f>
        <v/>
      </c>
      <c r="E141" s="46" t="str">
        <f>IF($K141="","",INDEX(AUX!$G$2:$G$361,$K141))</f>
        <v/>
      </c>
      <c r="F141" s="49" t="str">
        <f>IF($K141="","",INDEX(AUX!$H$2:$H$361,$K141))</f>
        <v/>
      </c>
      <c r="G141" s="50" t="str">
        <f>IF($K141="","",INDEX(AUX!$I$2:$I$361,$K141))</f>
        <v/>
      </c>
      <c r="K141" t="str">
        <f>IFERROR(MATCH(134,AUX!$K$2:$K$361,0),"")</f>
        <v/>
      </c>
    </row>
    <row r="142" spans="1:11" x14ac:dyDescent="0.25">
      <c r="A142" s="42" t="str">
        <f>IF($K142="","",135)</f>
        <v/>
      </c>
      <c r="B142" s="43" t="str">
        <f>IF($K142="","",INDEX(AUX!$D$2:$D$361,$K142))</f>
        <v/>
      </c>
      <c r="C142" s="44" t="str">
        <f>IF($K142="","",INDEX(AUX!$E$2:$E$361,$K142))</f>
        <v/>
      </c>
      <c r="D142" s="44" t="str">
        <f>IF($K142="","",INDEX(AUX!$F$2:$F$361,$K142))</f>
        <v/>
      </c>
      <c r="E142" s="42" t="str">
        <f>IF($K142="","",INDEX(AUX!$G$2:$G$361,$K142))</f>
        <v/>
      </c>
      <c r="F142" s="45" t="str">
        <f>IF($K142="","",INDEX(AUX!$H$2:$H$361,$K142))</f>
        <v/>
      </c>
      <c r="G142" s="24" t="str">
        <f>IF($K142="","",INDEX(AUX!$I$2:$I$361,$K142))</f>
        <v/>
      </c>
      <c r="K142" t="str">
        <f>IFERROR(MATCH(135,AUX!$K$2:$K$361,0),"")</f>
        <v/>
      </c>
    </row>
    <row r="143" spans="1:11" x14ac:dyDescent="0.25">
      <c r="A143" s="46" t="str">
        <f>IF($K143="","",136)</f>
        <v/>
      </c>
      <c r="B143" s="47" t="str">
        <f>IF($K143="","",INDEX(AUX!$D$2:$D$361,$K143))</f>
        <v/>
      </c>
      <c r="C143" s="48" t="str">
        <f>IF($K143="","",INDEX(AUX!$E$2:$E$361,$K143))</f>
        <v/>
      </c>
      <c r="D143" s="48" t="str">
        <f>IF($K143="","",INDEX(AUX!$F$2:$F$361,$K143))</f>
        <v/>
      </c>
      <c r="E143" s="46" t="str">
        <f>IF($K143="","",INDEX(AUX!$G$2:$G$361,$K143))</f>
        <v/>
      </c>
      <c r="F143" s="49" t="str">
        <f>IF($K143="","",INDEX(AUX!$H$2:$H$361,$K143))</f>
        <v/>
      </c>
      <c r="G143" s="50" t="str">
        <f>IF($K143="","",INDEX(AUX!$I$2:$I$361,$K143))</f>
        <v/>
      </c>
      <c r="K143" t="str">
        <f>IFERROR(MATCH(136,AUX!$K$2:$K$361,0),"")</f>
        <v/>
      </c>
    </row>
    <row r="144" spans="1:11" x14ac:dyDescent="0.25">
      <c r="A144" s="42" t="str">
        <f>IF($K144="","",137)</f>
        <v/>
      </c>
      <c r="B144" s="43" t="str">
        <f>IF($K144="","",INDEX(AUX!$D$2:$D$361,$K144))</f>
        <v/>
      </c>
      <c r="C144" s="44" t="str">
        <f>IF($K144="","",INDEX(AUX!$E$2:$E$361,$K144))</f>
        <v/>
      </c>
      <c r="D144" s="44" t="str">
        <f>IF($K144="","",INDEX(AUX!$F$2:$F$361,$K144))</f>
        <v/>
      </c>
      <c r="E144" s="42" t="str">
        <f>IF($K144="","",INDEX(AUX!$G$2:$G$361,$K144))</f>
        <v/>
      </c>
      <c r="F144" s="45" t="str">
        <f>IF($K144="","",INDEX(AUX!$H$2:$H$361,$K144))</f>
        <v/>
      </c>
      <c r="G144" s="24" t="str">
        <f>IF($K144="","",INDEX(AUX!$I$2:$I$361,$K144))</f>
        <v/>
      </c>
      <c r="K144" t="str">
        <f>IFERROR(MATCH(137,AUX!$K$2:$K$361,0),"")</f>
        <v/>
      </c>
    </row>
    <row r="145" spans="1:11" x14ac:dyDescent="0.25">
      <c r="A145" s="46" t="str">
        <f>IF($K145="","",138)</f>
        <v/>
      </c>
      <c r="B145" s="47" t="str">
        <f>IF($K145="","",INDEX(AUX!$D$2:$D$361,$K145))</f>
        <v/>
      </c>
      <c r="C145" s="48" t="str">
        <f>IF($K145="","",INDEX(AUX!$E$2:$E$361,$K145))</f>
        <v/>
      </c>
      <c r="D145" s="48" t="str">
        <f>IF($K145="","",INDEX(AUX!$F$2:$F$361,$K145))</f>
        <v/>
      </c>
      <c r="E145" s="46" t="str">
        <f>IF($K145="","",INDEX(AUX!$G$2:$G$361,$K145))</f>
        <v/>
      </c>
      <c r="F145" s="49" t="str">
        <f>IF($K145="","",INDEX(AUX!$H$2:$H$361,$K145))</f>
        <v/>
      </c>
      <c r="G145" s="50" t="str">
        <f>IF($K145="","",INDEX(AUX!$I$2:$I$361,$K145))</f>
        <v/>
      </c>
      <c r="K145" t="str">
        <f>IFERROR(MATCH(138,AUX!$K$2:$K$361,0),"")</f>
        <v/>
      </c>
    </row>
    <row r="146" spans="1:11" x14ac:dyDescent="0.25">
      <c r="A146" s="42" t="str">
        <f>IF($K146="","",139)</f>
        <v/>
      </c>
      <c r="B146" s="43" t="str">
        <f>IF($K146="","",INDEX(AUX!$D$2:$D$361,$K146))</f>
        <v/>
      </c>
      <c r="C146" s="44" t="str">
        <f>IF($K146="","",INDEX(AUX!$E$2:$E$361,$K146))</f>
        <v/>
      </c>
      <c r="D146" s="44" t="str">
        <f>IF($K146="","",INDEX(AUX!$F$2:$F$361,$K146))</f>
        <v/>
      </c>
      <c r="E146" s="42" t="str">
        <f>IF($K146="","",INDEX(AUX!$G$2:$G$361,$K146))</f>
        <v/>
      </c>
      <c r="F146" s="45" t="str">
        <f>IF($K146="","",INDEX(AUX!$H$2:$H$361,$K146))</f>
        <v/>
      </c>
      <c r="G146" s="24" t="str">
        <f>IF($K146="","",INDEX(AUX!$I$2:$I$361,$K146))</f>
        <v/>
      </c>
      <c r="K146" t="str">
        <f>IFERROR(MATCH(139,AUX!$K$2:$K$361,0),"")</f>
        <v/>
      </c>
    </row>
    <row r="147" spans="1:11" x14ac:dyDescent="0.25">
      <c r="A147" s="46" t="str">
        <f>IF($K147="","",140)</f>
        <v/>
      </c>
      <c r="B147" s="47" t="str">
        <f>IF($K147="","",INDEX(AUX!$D$2:$D$361,$K147))</f>
        <v/>
      </c>
      <c r="C147" s="48" t="str">
        <f>IF($K147="","",INDEX(AUX!$E$2:$E$361,$K147))</f>
        <v/>
      </c>
      <c r="D147" s="48" t="str">
        <f>IF($K147="","",INDEX(AUX!$F$2:$F$361,$K147))</f>
        <v/>
      </c>
      <c r="E147" s="46" t="str">
        <f>IF($K147="","",INDEX(AUX!$G$2:$G$361,$K147))</f>
        <v/>
      </c>
      <c r="F147" s="49" t="str">
        <f>IF($K147="","",INDEX(AUX!$H$2:$H$361,$K147))</f>
        <v/>
      </c>
      <c r="G147" s="50" t="str">
        <f>IF($K147="","",INDEX(AUX!$I$2:$I$361,$K147))</f>
        <v/>
      </c>
      <c r="K147" t="str">
        <f>IFERROR(MATCH(140,AUX!$K$2:$K$361,0),"")</f>
        <v/>
      </c>
    </row>
    <row r="148" spans="1:11" x14ac:dyDescent="0.25">
      <c r="A148" s="42" t="str">
        <f>IF($K148="","",141)</f>
        <v/>
      </c>
      <c r="B148" s="43" t="str">
        <f>IF($K148="","",INDEX(AUX!$D$2:$D$361,$K148))</f>
        <v/>
      </c>
      <c r="C148" s="44" t="str">
        <f>IF($K148="","",INDEX(AUX!$E$2:$E$361,$K148))</f>
        <v/>
      </c>
      <c r="D148" s="44" t="str">
        <f>IF($K148="","",INDEX(AUX!$F$2:$F$361,$K148))</f>
        <v/>
      </c>
      <c r="E148" s="42" t="str">
        <f>IF($K148="","",INDEX(AUX!$G$2:$G$361,$K148))</f>
        <v/>
      </c>
      <c r="F148" s="45" t="str">
        <f>IF($K148="","",INDEX(AUX!$H$2:$H$361,$K148))</f>
        <v/>
      </c>
      <c r="G148" s="24" t="str">
        <f>IF($K148="","",INDEX(AUX!$I$2:$I$361,$K148))</f>
        <v/>
      </c>
      <c r="K148" t="str">
        <f>IFERROR(MATCH(141,AUX!$K$2:$K$361,0),"")</f>
        <v/>
      </c>
    </row>
    <row r="149" spans="1:11" x14ac:dyDescent="0.25">
      <c r="A149" s="46" t="str">
        <f>IF($K149="","",142)</f>
        <v/>
      </c>
      <c r="B149" s="47" t="str">
        <f>IF($K149="","",INDEX(AUX!$D$2:$D$361,$K149))</f>
        <v/>
      </c>
      <c r="C149" s="48" t="str">
        <f>IF($K149="","",INDEX(AUX!$E$2:$E$361,$K149))</f>
        <v/>
      </c>
      <c r="D149" s="48" t="str">
        <f>IF($K149="","",INDEX(AUX!$F$2:$F$361,$K149))</f>
        <v/>
      </c>
      <c r="E149" s="46" t="str">
        <f>IF($K149="","",INDEX(AUX!$G$2:$G$361,$K149))</f>
        <v/>
      </c>
      <c r="F149" s="49" t="str">
        <f>IF($K149="","",INDEX(AUX!$H$2:$H$361,$K149))</f>
        <v/>
      </c>
      <c r="G149" s="50" t="str">
        <f>IF($K149="","",INDEX(AUX!$I$2:$I$361,$K149))</f>
        <v/>
      </c>
      <c r="K149" t="str">
        <f>IFERROR(MATCH(142,AUX!$K$2:$K$361,0),"")</f>
        <v/>
      </c>
    </row>
    <row r="150" spans="1:11" x14ac:dyDescent="0.25">
      <c r="A150" s="42" t="str">
        <f>IF($K150="","",143)</f>
        <v/>
      </c>
      <c r="B150" s="43" t="str">
        <f>IF($K150="","",INDEX(AUX!$D$2:$D$361,$K150))</f>
        <v/>
      </c>
      <c r="C150" s="44" t="str">
        <f>IF($K150="","",INDEX(AUX!$E$2:$E$361,$K150))</f>
        <v/>
      </c>
      <c r="D150" s="44" t="str">
        <f>IF($K150="","",INDEX(AUX!$F$2:$F$361,$K150))</f>
        <v/>
      </c>
      <c r="E150" s="42" t="str">
        <f>IF($K150="","",INDEX(AUX!$G$2:$G$361,$K150))</f>
        <v/>
      </c>
      <c r="F150" s="45" t="str">
        <f>IF($K150="","",INDEX(AUX!$H$2:$H$361,$K150))</f>
        <v/>
      </c>
      <c r="G150" s="24" t="str">
        <f>IF($K150="","",INDEX(AUX!$I$2:$I$361,$K150))</f>
        <v/>
      </c>
      <c r="K150" t="str">
        <f>IFERROR(MATCH(143,AUX!$K$2:$K$361,0),"")</f>
        <v/>
      </c>
    </row>
    <row r="151" spans="1:11" x14ac:dyDescent="0.25">
      <c r="A151" s="46" t="str">
        <f>IF($K151="","",144)</f>
        <v/>
      </c>
      <c r="B151" s="47" t="str">
        <f>IF($K151="","",INDEX(AUX!$D$2:$D$361,$K151))</f>
        <v/>
      </c>
      <c r="C151" s="48" t="str">
        <f>IF($K151="","",INDEX(AUX!$E$2:$E$361,$K151))</f>
        <v/>
      </c>
      <c r="D151" s="48" t="str">
        <f>IF($K151="","",INDEX(AUX!$F$2:$F$361,$K151))</f>
        <v/>
      </c>
      <c r="E151" s="46" t="str">
        <f>IF($K151="","",INDEX(AUX!$G$2:$G$361,$K151))</f>
        <v/>
      </c>
      <c r="F151" s="49" t="str">
        <f>IF($K151="","",INDEX(AUX!$H$2:$H$361,$K151))</f>
        <v/>
      </c>
      <c r="G151" s="50" t="str">
        <f>IF($K151="","",INDEX(AUX!$I$2:$I$361,$K151))</f>
        <v/>
      </c>
      <c r="K151" t="str">
        <f>IFERROR(MATCH(144,AUX!$K$2:$K$361,0),"")</f>
        <v/>
      </c>
    </row>
    <row r="152" spans="1:11" x14ac:dyDescent="0.25">
      <c r="A152" s="42" t="str">
        <f>IF($K152="","",145)</f>
        <v/>
      </c>
      <c r="B152" s="43" t="str">
        <f>IF($K152="","",INDEX(AUX!$D$2:$D$361,$K152))</f>
        <v/>
      </c>
      <c r="C152" s="44" t="str">
        <f>IF($K152="","",INDEX(AUX!$E$2:$E$361,$K152))</f>
        <v/>
      </c>
      <c r="D152" s="44" t="str">
        <f>IF($K152="","",INDEX(AUX!$F$2:$F$361,$K152))</f>
        <v/>
      </c>
      <c r="E152" s="42" t="str">
        <f>IF($K152="","",INDEX(AUX!$G$2:$G$361,$K152))</f>
        <v/>
      </c>
      <c r="F152" s="45" t="str">
        <f>IF($K152="","",INDEX(AUX!$H$2:$H$361,$K152))</f>
        <v/>
      </c>
      <c r="G152" s="24" t="str">
        <f>IF($K152="","",INDEX(AUX!$I$2:$I$361,$K152))</f>
        <v/>
      </c>
      <c r="K152" t="str">
        <f>IFERROR(MATCH(145,AUX!$K$2:$K$361,0),"")</f>
        <v/>
      </c>
    </row>
    <row r="153" spans="1:11" x14ac:dyDescent="0.25">
      <c r="A153" s="46" t="str">
        <f>IF($K153="","",146)</f>
        <v/>
      </c>
      <c r="B153" s="47" t="str">
        <f>IF($K153="","",INDEX(AUX!$D$2:$D$361,$K153))</f>
        <v/>
      </c>
      <c r="C153" s="48" t="str">
        <f>IF($K153="","",INDEX(AUX!$E$2:$E$361,$K153))</f>
        <v/>
      </c>
      <c r="D153" s="48" t="str">
        <f>IF($K153="","",INDEX(AUX!$F$2:$F$361,$K153))</f>
        <v/>
      </c>
      <c r="E153" s="46" t="str">
        <f>IF($K153="","",INDEX(AUX!$G$2:$G$361,$K153))</f>
        <v/>
      </c>
      <c r="F153" s="49" t="str">
        <f>IF($K153="","",INDEX(AUX!$H$2:$H$361,$K153))</f>
        <v/>
      </c>
      <c r="G153" s="50" t="str">
        <f>IF($K153="","",INDEX(AUX!$I$2:$I$361,$K153))</f>
        <v/>
      </c>
      <c r="K153" t="str">
        <f>IFERROR(MATCH(146,AUX!$K$2:$K$361,0),"")</f>
        <v/>
      </c>
    </row>
    <row r="154" spans="1:11" x14ac:dyDescent="0.25">
      <c r="A154" s="42" t="str">
        <f>IF($K154="","",147)</f>
        <v/>
      </c>
      <c r="B154" s="43" t="str">
        <f>IF($K154="","",INDEX(AUX!$D$2:$D$361,$K154))</f>
        <v/>
      </c>
      <c r="C154" s="44" t="str">
        <f>IF($K154="","",INDEX(AUX!$E$2:$E$361,$K154))</f>
        <v/>
      </c>
      <c r="D154" s="44" t="str">
        <f>IF($K154="","",INDEX(AUX!$F$2:$F$361,$K154))</f>
        <v/>
      </c>
      <c r="E154" s="42" t="str">
        <f>IF($K154="","",INDEX(AUX!$G$2:$G$361,$K154))</f>
        <v/>
      </c>
      <c r="F154" s="45" t="str">
        <f>IF($K154="","",INDEX(AUX!$H$2:$H$361,$K154))</f>
        <v/>
      </c>
      <c r="G154" s="24" t="str">
        <f>IF($K154="","",INDEX(AUX!$I$2:$I$361,$K154))</f>
        <v/>
      </c>
      <c r="K154" t="str">
        <f>IFERROR(MATCH(147,AUX!$K$2:$K$361,0),"")</f>
        <v/>
      </c>
    </row>
    <row r="155" spans="1:11" x14ac:dyDescent="0.25">
      <c r="A155" s="46" t="str">
        <f>IF($K155="","",148)</f>
        <v/>
      </c>
      <c r="B155" s="47" t="str">
        <f>IF($K155="","",INDEX(AUX!$D$2:$D$361,$K155))</f>
        <v/>
      </c>
      <c r="C155" s="48" t="str">
        <f>IF($K155="","",INDEX(AUX!$E$2:$E$361,$K155))</f>
        <v/>
      </c>
      <c r="D155" s="48" t="str">
        <f>IF($K155="","",INDEX(AUX!$F$2:$F$361,$K155))</f>
        <v/>
      </c>
      <c r="E155" s="46" t="str">
        <f>IF($K155="","",INDEX(AUX!$G$2:$G$361,$K155))</f>
        <v/>
      </c>
      <c r="F155" s="49" t="str">
        <f>IF($K155="","",INDEX(AUX!$H$2:$H$361,$K155))</f>
        <v/>
      </c>
      <c r="G155" s="50" t="str">
        <f>IF($K155="","",INDEX(AUX!$I$2:$I$361,$K155))</f>
        <v/>
      </c>
      <c r="K155" t="str">
        <f>IFERROR(MATCH(148,AUX!$K$2:$K$361,0),"")</f>
        <v/>
      </c>
    </row>
    <row r="156" spans="1:11" x14ac:dyDescent="0.25">
      <c r="A156" s="42" t="str">
        <f>IF($K156="","",149)</f>
        <v/>
      </c>
      <c r="B156" s="43" t="str">
        <f>IF($K156="","",INDEX(AUX!$D$2:$D$361,$K156))</f>
        <v/>
      </c>
      <c r="C156" s="44" t="str">
        <f>IF($K156="","",INDEX(AUX!$E$2:$E$361,$K156))</f>
        <v/>
      </c>
      <c r="D156" s="44" t="str">
        <f>IF($K156="","",INDEX(AUX!$F$2:$F$361,$K156))</f>
        <v/>
      </c>
      <c r="E156" s="42" t="str">
        <f>IF($K156="","",INDEX(AUX!$G$2:$G$361,$K156))</f>
        <v/>
      </c>
      <c r="F156" s="45" t="str">
        <f>IF($K156="","",INDEX(AUX!$H$2:$H$361,$K156))</f>
        <v/>
      </c>
      <c r="G156" s="24" t="str">
        <f>IF($K156="","",INDEX(AUX!$I$2:$I$361,$K156))</f>
        <v/>
      </c>
      <c r="K156" t="str">
        <f>IFERROR(MATCH(149,AUX!$K$2:$K$361,0),"")</f>
        <v/>
      </c>
    </row>
    <row r="157" spans="1:11" x14ac:dyDescent="0.25">
      <c r="A157" s="46" t="str">
        <f>IF($K157="","",150)</f>
        <v/>
      </c>
      <c r="B157" s="47" t="str">
        <f>IF($K157="","",INDEX(AUX!$D$2:$D$361,$K157))</f>
        <v/>
      </c>
      <c r="C157" s="48" t="str">
        <f>IF($K157="","",INDEX(AUX!$E$2:$E$361,$K157))</f>
        <v/>
      </c>
      <c r="D157" s="48" t="str">
        <f>IF($K157="","",INDEX(AUX!$F$2:$F$361,$K157))</f>
        <v/>
      </c>
      <c r="E157" s="46" t="str">
        <f>IF($K157="","",INDEX(AUX!$G$2:$G$361,$K157))</f>
        <v/>
      </c>
      <c r="F157" s="49" t="str">
        <f>IF($K157="","",INDEX(AUX!$H$2:$H$361,$K157))</f>
        <v/>
      </c>
      <c r="G157" s="50" t="str">
        <f>IF($K157="","",INDEX(AUX!$I$2:$I$361,$K157))</f>
        <v/>
      </c>
      <c r="K157" t="str">
        <f>IFERROR(MATCH(150,AUX!$K$2:$K$361,0),"")</f>
        <v/>
      </c>
    </row>
    <row r="158" spans="1:11" x14ac:dyDescent="0.25">
      <c r="A158" s="42" t="str">
        <f>IF($K158="","",151)</f>
        <v/>
      </c>
      <c r="B158" s="43" t="str">
        <f>IF($K158="","",INDEX(AUX!$D$2:$D$361,$K158))</f>
        <v/>
      </c>
      <c r="C158" s="44" t="str">
        <f>IF($K158="","",INDEX(AUX!$E$2:$E$361,$K158))</f>
        <v/>
      </c>
      <c r="D158" s="44" t="str">
        <f>IF($K158="","",INDEX(AUX!$F$2:$F$361,$K158))</f>
        <v/>
      </c>
      <c r="E158" s="42" t="str">
        <f>IF($K158="","",INDEX(AUX!$G$2:$G$361,$K158))</f>
        <v/>
      </c>
      <c r="F158" s="45" t="str">
        <f>IF($K158="","",INDEX(AUX!$H$2:$H$361,$K158))</f>
        <v/>
      </c>
      <c r="G158" s="24" t="str">
        <f>IF($K158="","",INDEX(AUX!$I$2:$I$361,$K158))</f>
        <v/>
      </c>
      <c r="K158" t="str">
        <f>IFERROR(MATCH(151,AUX!$K$2:$K$361,0),"")</f>
        <v/>
      </c>
    </row>
    <row r="159" spans="1:11" x14ac:dyDescent="0.25">
      <c r="A159" s="46" t="str">
        <f>IF($K159="","",152)</f>
        <v/>
      </c>
      <c r="B159" s="47" t="str">
        <f>IF($K159="","",INDEX(AUX!$D$2:$D$361,$K159))</f>
        <v/>
      </c>
      <c r="C159" s="48" t="str">
        <f>IF($K159="","",INDEX(AUX!$E$2:$E$361,$K159))</f>
        <v/>
      </c>
      <c r="D159" s="48" t="str">
        <f>IF($K159="","",INDEX(AUX!$F$2:$F$361,$K159))</f>
        <v/>
      </c>
      <c r="E159" s="46" t="str">
        <f>IF($K159="","",INDEX(AUX!$G$2:$G$361,$K159))</f>
        <v/>
      </c>
      <c r="F159" s="49" t="str">
        <f>IF($K159="","",INDEX(AUX!$H$2:$H$361,$K159))</f>
        <v/>
      </c>
      <c r="G159" s="50" t="str">
        <f>IF($K159="","",INDEX(AUX!$I$2:$I$361,$K159))</f>
        <v/>
      </c>
      <c r="K159" t="str">
        <f>IFERROR(MATCH(152,AUX!$K$2:$K$361,0),"")</f>
        <v/>
      </c>
    </row>
    <row r="160" spans="1:11" x14ac:dyDescent="0.25">
      <c r="A160" s="42" t="str">
        <f>IF($K160="","",153)</f>
        <v/>
      </c>
      <c r="B160" s="43" t="str">
        <f>IF($K160="","",INDEX(AUX!$D$2:$D$361,$K160))</f>
        <v/>
      </c>
      <c r="C160" s="44" t="str">
        <f>IF($K160="","",INDEX(AUX!$E$2:$E$361,$K160))</f>
        <v/>
      </c>
      <c r="D160" s="44" t="str">
        <f>IF($K160="","",INDEX(AUX!$F$2:$F$361,$K160))</f>
        <v/>
      </c>
      <c r="E160" s="42" t="str">
        <f>IF($K160="","",INDEX(AUX!$G$2:$G$361,$K160))</f>
        <v/>
      </c>
      <c r="F160" s="45" t="str">
        <f>IF($K160="","",INDEX(AUX!$H$2:$H$361,$K160))</f>
        <v/>
      </c>
      <c r="G160" s="24" t="str">
        <f>IF($K160="","",INDEX(AUX!$I$2:$I$361,$K160))</f>
        <v/>
      </c>
      <c r="K160" t="str">
        <f>IFERROR(MATCH(153,AUX!$K$2:$K$361,0),"")</f>
        <v/>
      </c>
    </row>
    <row r="161" spans="1:11" x14ac:dyDescent="0.25">
      <c r="A161" s="46" t="str">
        <f>IF($K161="","",154)</f>
        <v/>
      </c>
      <c r="B161" s="47" t="str">
        <f>IF($K161="","",INDEX(AUX!$D$2:$D$361,$K161))</f>
        <v/>
      </c>
      <c r="C161" s="48" t="str">
        <f>IF($K161="","",INDEX(AUX!$E$2:$E$361,$K161))</f>
        <v/>
      </c>
      <c r="D161" s="48" t="str">
        <f>IF($K161="","",INDEX(AUX!$F$2:$F$361,$K161))</f>
        <v/>
      </c>
      <c r="E161" s="46" t="str">
        <f>IF($K161="","",INDEX(AUX!$G$2:$G$361,$K161))</f>
        <v/>
      </c>
      <c r="F161" s="49" t="str">
        <f>IF($K161="","",INDEX(AUX!$H$2:$H$361,$K161))</f>
        <v/>
      </c>
      <c r="G161" s="50" t="str">
        <f>IF($K161="","",INDEX(AUX!$I$2:$I$361,$K161))</f>
        <v/>
      </c>
      <c r="K161" t="str">
        <f>IFERROR(MATCH(154,AUX!$K$2:$K$361,0),"")</f>
        <v/>
      </c>
    </row>
    <row r="162" spans="1:11" x14ac:dyDescent="0.25">
      <c r="A162" s="42" t="str">
        <f>IF($K162="","",155)</f>
        <v/>
      </c>
      <c r="B162" s="43" t="str">
        <f>IF($K162="","",INDEX(AUX!$D$2:$D$361,$K162))</f>
        <v/>
      </c>
      <c r="C162" s="44" t="str">
        <f>IF($K162="","",INDEX(AUX!$E$2:$E$361,$K162))</f>
        <v/>
      </c>
      <c r="D162" s="44" t="str">
        <f>IF($K162="","",INDEX(AUX!$F$2:$F$361,$K162))</f>
        <v/>
      </c>
      <c r="E162" s="42" t="str">
        <f>IF($K162="","",INDEX(AUX!$G$2:$G$361,$K162))</f>
        <v/>
      </c>
      <c r="F162" s="45" t="str">
        <f>IF($K162="","",INDEX(AUX!$H$2:$H$361,$K162))</f>
        <v/>
      </c>
      <c r="G162" s="24" t="str">
        <f>IF($K162="","",INDEX(AUX!$I$2:$I$361,$K162))</f>
        <v/>
      </c>
      <c r="K162" t="str">
        <f>IFERROR(MATCH(155,AUX!$K$2:$K$361,0),"")</f>
        <v/>
      </c>
    </row>
    <row r="163" spans="1:11" x14ac:dyDescent="0.25">
      <c r="A163" s="46" t="str">
        <f>IF($K163="","",156)</f>
        <v/>
      </c>
      <c r="B163" s="47" t="str">
        <f>IF($K163="","",INDEX(AUX!$D$2:$D$361,$K163))</f>
        <v/>
      </c>
      <c r="C163" s="48" t="str">
        <f>IF($K163="","",INDEX(AUX!$E$2:$E$361,$K163))</f>
        <v/>
      </c>
      <c r="D163" s="48" t="str">
        <f>IF($K163="","",INDEX(AUX!$F$2:$F$361,$K163))</f>
        <v/>
      </c>
      <c r="E163" s="46" t="str">
        <f>IF($K163="","",INDEX(AUX!$G$2:$G$361,$K163))</f>
        <v/>
      </c>
      <c r="F163" s="49" t="str">
        <f>IF($K163="","",INDEX(AUX!$H$2:$H$361,$K163))</f>
        <v/>
      </c>
      <c r="G163" s="50" t="str">
        <f>IF($K163="","",INDEX(AUX!$I$2:$I$361,$K163))</f>
        <v/>
      </c>
      <c r="K163" t="str">
        <f>IFERROR(MATCH(156,AUX!$K$2:$K$361,0),"")</f>
        <v/>
      </c>
    </row>
    <row r="164" spans="1:11" x14ac:dyDescent="0.25">
      <c r="A164" s="42" t="str">
        <f>IF($K164="","",157)</f>
        <v/>
      </c>
      <c r="B164" s="43" t="str">
        <f>IF($K164="","",INDEX(AUX!$D$2:$D$361,$K164))</f>
        <v/>
      </c>
      <c r="C164" s="44" t="str">
        <f>IF($K164="","",INDEX(AUX!$E$2:$E$361,$K164))</f>
        <v/>
      </c>
      <c r="D164" s="44" t="str">
        <f>IF($K164="","",INDEX(AUX!$F$2:$F$361,$K164))</f>
        <v/>
      </c>
      <c r="E164" s="42" t="str">
        <f>IF($K164="","",INDEX(AUX!$G$2:$G$361,$K164))</f>
        <v/>
      </c>
      <c r="F164" s="45" t="str">
        <f>IF($K164="","",INDEX(AUX!$H$2:$H$361,$K164))</f>
        <v/>
      </c>
      <c r="G164" s="24" t="str">
        <f>IF($K164="","",INDEX(AUX!$I$2:$I$361,$K164))</f>
        <v/>
      </c>
      <c r="K164" t="str">
        <f>IFERROR(MATCH(157,AUX!$K$2:$K$361,0),"")</f>
        <v/>
      </c>
    </row>
    <row r="165" spans="1:11" x14ac:dyDescent="0.25">
      <c r="A165" s="46" t="str">
        <f>IF($K165="","",158)</f>
        <v/>
      </c>
      <c r="B165" s="47" t="str">
        <f>IF($K165="","",INDEX(AUX!$D$2:$D$361,$K165))</f>
        <v/>
      </c>
      <c r="C165" s="48" t="str">
        <f>IF($K165="","",INDEX(AUX!$E$2:$E$361,$K165))</f>
        <v/>
      </c>
      <c r="D165" s="48" t="str">
        <f>IF($K165="","",INDEX(AUX!$F$2:$F$361,$K165))</f>
        <v/>
      </c>
      <c r="E165" s="46" t="str">
        <f>IF($K165="","",INDEX(AUX!$G$2:$G$361,$K165))</f>
        <v/>
      </c>
      <c r="F165" s="49" t="str">
        <f>IF($K165="","",INDEX(AUX!$H$2:$H$361,$K165))</f>
        <v/>
      </c>
      <c r="G165" s="50" t="str">
        <f>IF($K165="","",INDEX(AUX!$I$2:$I$361,$K165))</f>
        <v/>
      </c>
      <c r="K165" t="str">
        <f>IFERROR(MATCH(158,AUX!$K$2:$K$361,0),"")</f>
        <v/>
      </c>
    </row>
    <row r="166" spans="1:11" x14ac:dyDescent="0.25">
      <c r="A166" s="42" t="str">
        <f>IF($K166="","",159)</f>
        <v/>
      </c>
      <c r="B166" s="43" t="str">
        <f>IF($K166="","",INDEX(AUX!$D$2:$D$361,$K166))</f>
        <v/>
      </c>
      <c r="C166" s="44" t="str">
        <f>IF($K166="","",INDEX(AUX!$E$2:$E$361,$K166))</f>
        <v/>
      </c>
      <c r="D166" s="44" t="str">
        <f>IF($K166="","",INDEX(AUX!$F$2:$F$361,$K166))</f>
        <v/>
      </c>
      <c r="E166" s="42" t="str">
        <f>IF($K166="","",INDEX(AUX!$G$2:$G$361,$K166))</f>
        <v/>
      </c>
      <c r="F166" s="45" t="str">
        <f>IF($K166="","",INDEX(AUX!$H$2:$H$361,$K166))</f>
        <v/>
      </c>
      <c r="G166" s="24" t="str">
        <f>IF($K166="","",INDEX(AUX!$I$2:$I$361,$K166))</f>
        <v/>
      </c>
      <c r="K166" t="str">
        <f>IFERROR(MATCH(159,AUX!$K$2:$K$361,0),"")</f>
        <v/>
      </c>
    </row>
    <row r="167" spans="1:11" x14ac:dyDescent="0.25">
      <c r="A167" s="46" t="str">
        <f>IF($K167="","",160)</f>
        <v/>
      </c>
      <c r="B167" s="47" t="str">
        <f>IF($K167="","",INDEX(AUX!$D$2:$D$361,$K167))</f>
        <v/>
      </c>
      <c r="C167" s="48" t="str">
        <f>IF($K167="","",INDEX(AUX!$E$2:$E$361,$K167))</f>
        <v/>
      </c>
      <c r="D167" s="48" t="str">
        <f>IF($K167="","",INDEX(AUX!$F$2:$F$361,$K167))</f>
        <v/>
      </c>
      <c r="E167" s="46" t="str">
        <f>IF($K167="","",INDEX(AUX!$G$2:$G$361,$K167))</f>
        <v/>
      </c>
      <c r="F167" s="49" t="str">
        <f>IF($K167="","",INDEX(AUX!$H$2:$H$361,$K167))</f>
        <v/>
      </c>
      <c r="G167" s="50" t="str">
        <f>IF($K167="","",INDEX(AUX!$I$2:$I$361,$K167))</f>
        <v/>
      </c>
      <c r="K167" t="str">
        <f>IFERROR(MATCH(160,AUX!$K$2:$K$361,0),"")</f>
        <v/>
      </c>
    </row>
    <row r="168" spans="1:11" x14ac:dyDescent="0.25">
      <c r="A168" s="42" t="str">
        <f>IF($K168="","",161)</f>
        <v/>
      </c>
      <c r="B168" s="43" t="str">
        <f>IF($K168="","",INDEX(AUX!$D$2:$D$361,$K168))</f>
        <v/>
      </c>
      <c r="C168" s="44" t="str">
        <f>IF($K168="","",INDEX(AUX!$E$2:$E$361,$K168))</f>
        <v/>
      </c>
      <c r="D168" s="44" t="str">
        <f>IF($K168="","",INDEX(AUX!$F$2:$F$361,$K168))</f>
        <v/>
      </c>
      <c r="E168" s="42" t="str">
        <f>IF($K168="","",INDEX(AUX!$G$2:$G$361,$K168))</f>
        <v/>
      </c>
      <c r="F168" s="45" t="str">
        <f>IF($K168="","",INDEX(AUX!$H$2:$H$361,$K168))</f>
        <v/>
      </c>
      <c r="G168" s="24" t="str">
        <f>IF($K168="","",INDEX(AUX!$I$2:$I$361,$K168))</f>
        <v/>
      </c>
      <c r="K168" t="str">
        <f>IFERROR(MATCH(161,AUX!$K$2:$K$361,0),"")</f>
        <v/>
      </c>
    </row>
    <row r="169" spans="1:11" x14ac:dyDescent="0.25">
      <c r="A169" s="46" t="str">
        <f>IF($K169="","",162)</f>
        <v/>
      </c>
      <c r="B169" s="47" t="str">
        <f>IF($K169="","",INDEX(AUX!$D$2:$D$361,$K169))</f>
        <v/>
      </c>
      <c r="C169" s="48" t="str">
        <f>IF($K169="","",INDEX(AUX!$E$2:$E$361,$K169))</f>
        <v/>
      </c>
      <c r="D169" s="48" t="str">
        <f>IF($K169="","",INDEX(AUX!$F$2:$F$361,$K169))</f>
        <v/>
      </c>
      <c r="E169" s="46" t="str">
        <f>IF($K169="","",INDEX(AUX!$G$2:$G$361,$K169))</f>
        <v/>
      </c>
      <c r="F169" s="49" t="str">
        <f>IF($K169="","",INDEX(AUX!$H$2:$H$361,$K169))</f>
        <v/>
      </c>
      <c r="G169" s="50" t="str">
        <f>IF($K169="","",INDEX(AUX!$I$2:$I$361,$K169))</f>
        <v/>
      </c>
      <c r="K169" t="str">
        <f>IFERROR(MATCH(162,AUX!$K$2:$K$361,0),"")</f>
        <v/>
      </c>
    </row>
    <row r="170" spans="1:11" x14ac:dyDescent="0.25">
      <c r="A170" s="42" t="str">
        <f>IF($K170="","",163)</f>
        <v/>
      </c>
      <c r="B170" s="43" t="str">
        <f>IF($K170="","",INDEX(AUX!$D$2:$D$361,$K170))</f>
        <v/>
      </c>
      <c r="C170" s="44" t="str">
        <f>IF($K170="","",INDEX(AUX!$E$2:$E$361,$K170))</f>
        <v/>
      </c>
      <c r="D170" s="44" t="str">
        <f>IF($K170="","",INDEX(AUX!$F$2:$F$361,$K170))</f>
        <v/>
      </c>
      <c r="E170" s="42" t="str">
        <f>IF($K170="","",INDEX(AUX!$G$2:$G$361,$K170))</f>
        <v/>
      </c>
      <c r="F170" s="45" t="str">
        <f>IF($K170="","",INDEX(AUX!$H$2:$H$361,$K170))</f>
        <v/>
      </c>
      <c r="G170" s="24" t="str">
        <f>IF($K170="","",INDEX(AUX!$I$2:$I$361,$K170))</f>
        <v/>
      </c>
      <c r="K170" t="str">
        <f>IFERROR(MATCH(163,AUX!$K$2:$K$361,0),"")</f>
        <v/>
      </c>
    </row>
    <row r="171" spans="1:11" x14ac:dyDescent="0.25">
      <c r="A171" s="46" t="str">
        <f>IF($K171="","",164)</f>
        <v/>
      </c>
      <c r="B171" s="47" t="str">
        <f>IF($K171="","",INDEX(AUX!$D$2:$D$361,$K171))</f>
        <v/>
      </c>
      <c r="C171" s="48" t="str">
        <f>IF($K171="","",INDEX(AUX!$E$2:$E$361,$K171))</f>
        <v/>
      </c>
      <c r="D171" s="48" t="str">
        <f>IF($K171="","",INDEX(AUX!$F$2:$F$361,$K171))</f>
        <v/>
      </c>
      <c r="E171" s="46" t="str">
        <f>IF($K171="","",INDEX(AUX!$G$2:$G$361,$K171))</f>
        <v/>
      </c>
      <c r="F171" s="49" t="str">
        <f>IF($K171="","",INDEX(AUX!$H$2:$H$361,$K171))</f>
        <v/>
      </c>
      <c r="G171" s="50" t="str">
        <f>IF($K171="","",INDEX(AUX!$I$2:$I$361,$K171))</f>
        <v/>
      </c>
      <c r="K171" t="str">
        <f>IFERROR(MATCH(164,AUX!$K$2:$K$361,0),"")</f>
        <v/>
      </c>
    </row>
    <row r="172" spans="1:11" x14ac:dyDescent="0.25">
      <c r="A172" s="42" t="str">
        <f>IF($K172="","",165)</f>
        <v/>
      </c>
      <c r="B172" s="43" t="str">
        <f>IF($K172="","",INDEX(AUX!$D$2:$D$361,$K172))</f>
        <v/>
      </c>
      <c r="C172" s="44" t="str">
        <f>IF($K172="","",INDEX(AUX!$E$2:$E$361,$K172))</f>
        <v/>
      </c>
      <c r="D172" s="44" t="str">
        <f>IF($K172="","",INDEX(AUX!$F$2:$F$361,$K172))</f>
        <v/>
      </c>
      <c r="E172" s="42" t="str">
        <f>IF($K172="","",INDEX(AUX!$G$2:$G$361,$K172))</f>
        <v/>
      </c>
      <c r="F172" s="45" t="str">
        <f>IF($K172="","",INDEX(AUX!$H$2:$H$361,$K172))</f>
        <v/>
      </c>
      <c r="G172" s="24" t="str">
        <f>IF($K172="","",INDEX(AUX!$I$2:$I$361,$K172))</f>
        <v/>
      </c>
      <c r="K172" t="str">
        <f>IFERROR(MATCH(165,AUX!$K$2:$K$361,0),"")</f>
        <v/>
      </c>
    </row>
    <row r="173" spans="1:11" x14ac:dyDescent="0.25">
      <c r="A173" s="46" t="str">
        <f>IF($K173="","",166)</f>
        <v/>
      </c>
      <c r="B173" s="47" t="str">
        <f>IF($K173="","",INDEX(AUX!$D$2:$D$361,$K173))</f>
        <v/>
      </c>
      <c r="C173" s="48" t="str">
        <f>IF($K173="","",INDEX(AUX!$E$2:$E$361,$K173))</f>
        <v/>
      </c>
      <c r="D173" s="48" t="str">
        <f>IF($K173="","",INDEX(AUX!$F$2:$F$361,$K173))</f>
        <v/>
      </c>
      <c r="E173" s="46" t="str">
        <f>IF($K173="","",INDEX(AUX!$G$2:$G$361,$K173))</f>
        <v/>
      </c>
      <c r="F173" s="49" t="str">
        <f>IF($K173="","",INDEX(AUX!$H$2:$H$361,$K173))</f>
        <v/>
      </c>
      <c r="G173" s="50" t="str">
        <f>IF($K173="","",INDEX(AUX!$I$2:$I$361,$K173))</f>
        <v/>
      </c>
      <c r="K173" t="str">
        <f>IFERROR(MATCH(166,AUX!$K$2:$K$361,0),"")</f>
        <v/>
      </c>
    </row>
    <row r="174" spans="1:11" x14ac:dyDescent="0.25">
      <c r="A174" s="42" t="str">
        <f>IF($K174="","",167)</f>
        <v/>
      </c>
      <c r="B174" s="43" t="str">
        <f>IF($K174="","",INDEX(AUX!$D$2:$D$361,$K174))</f>
        <v/>
      </c>
      <c r="C174" s="44" t="str">
        <f>IF($K174="","",INDEX(AUX!$E$2:$E$361,$K174))</f>
        <v/>
      </c>
      <c r="D174" s="44" t="str">
        <f>IF($K174="","",INDEX(AUX!$F$2:$F$361,$K174))</f>
        <v/>
      </c>
      <c r="E174" s="42" t="str">
        <f>IF($K174="","",INDEX(AUX!$G$2:$G$361,$K174))</f>
        <v/>
      </c>
      <c r="F174" s="45" t="str">
        <f>IF($K174="","",INDEX(AUX!$H$2:$H$361,$K174))</f>
        <v/>
      </c>
      <c r="G174" s="24" t="str">
        <f>IF($K174="","",INDEX(AUX!$I$2:$I$361,$K174))</f>
        <v/>
      </c>
      <c r="K174" t="str">
        <f>IFERROR(MATCH(167,AUX!$K$2:$K$361,0),"")</f>
        <v/>
      </c>
    </row>
    <row r="175" spans="1:11" x14ac:dyDescent="0.25">
      <c r="A175" s="46" t="str">
        <f>IF($K175="","",168)</f>
        <v/>
      </c>
      <c r="B175" s="47" t="str">
        <f>IF($K175="","",INDEX(AUX!$D$2:$D$361,$K175))</f>
        <v/>
      </c>
      <c r="C175" s="48" t="str">
        <f>IF($K175="","",INDEX(AUX!$E$2:$E$361,$K175))</f>
        <v/>
      </c>
      <c r="D175" s="48" t="str">
        <f>IF($K175="","",INDEX(AUX!$F$2:$F$361,$K175))</f>
        <v/>
      </c>
      <c r="E175" s="46" t="str">
        <f>IF($K175="","",INDEX(AUX!$G$2:$G$361,$K175))</f>
        <v/>
      </c>
      <c r="F175" s="49" t="str">
        <f>IF($K175="","",INDEX(AUX!$H$2:$H$361,$K175))</f>
        <v/>
      </c>
      <c r="G175" s="50" t="str">
        <f>IF($K175="","",INDEX(AUX!$I$2:$I$361,$K175))</f>
        <v/>
      </c>
      <c r="K175" t="str">
        <f>IFERROR(MATCH(168,AUX!$K$2:$K$361,0),"")</f>
        <v/>
      </c>
    </row>
    <row r="176" spans="1:11" x14ac:dyDescent="0.25">
      <c r="A176" s="42" t="str">
        <f>IF($K176="","",169)</f>
        <v/>
      </c>
      <c r="B176" s="43" t="str">
        <f>IF($K176="","",INDEX(AUX!$D$2:$D$361,$K176))</f>
        <v/>
      </c>
      <c r="C176" s="44" t="str">
        <f>IF($K176="","",INDEX(AUX!$E$2:$E$361,$K176))</f>
        <v/>
      </c>
      <c r="D176" s="44" t="str">
        <f>IF($K176="","",INDEX(AUX!$F$2:$F$361,$K176))</f>
        <v/>
      </c>
      <c r="E176" s="42" t="str">
        <f>IF($K176="","",INDEX(AUX!$G$2:$G$361,$K176))</f>
        <v/>
      </c>
      <c r="F176" s="45" t="str">
        <f>IF($K176="","",INDEX(AUX!$H$2:$H$361,$K176))</f>
        <v/>
      </c>
      <c r="G176" s="24" t="str">
        <f>IF($K176="","",INDEX(AUX!$I$2:$I$361,$K176))</f>
        <v/>
      </c>
      <c r="K176" t="str">
        <f>IFERROR(MATCH(169,AUX!$K$2:$K$361,0),"")</f>
        <v/>
      </c>
    </row>
    <row r="177" spans="1:11" x14ac:dyDescent="0.25">
      <c r="A177" s="46" t="str">
        <f>IF($K177="","",170)</f>
        <v/>
      </c>
      <c r="B177" s="47" t="str">
        <f>IF($K177="","",INDEX(AUX!$D$2:$D$361,$K177))</f>
        <v/>
      </c>
      <c r="C177" s="48" t="str">
        <f>IF($K177="","",INDEX(AUX!$E$2:$E$361,$K177))</f>
        <v/>
      </c>
      <c r="D177" s="48" t="str">
        <f>IF($K177="","",INDEX(AUX!$F$2:$F$361,$K177))</f>
        <v/>
      </c>
      <c r="E177" s="46" t="str">
        <f>IF($K177="","",INDEX(AUX!$G$2:$G$361,$K177))</f>
        <v/>
      </c>
      <c r="F177" s="49" t="str">
        <f>IF($K177="","",INDEX(AUX!$H$2:$H$361,$K177))</f>
        <v/>
      </c>
      <c r="G177" s="50" t="str">
        <f>IF($K177="","",INDEX(AUX!$I$2:$I$361,$K177))</f>
        <v/>
      </c>
      <c r="K177" t="str">
        <f>IFERROR(MATCH(170,AUX!$K$2:$K$361,0),"")</f>
        <v/>
      </c>
    </row>
    <row r="178" spans="1:11" x14ac:dyDescent="0.25">
      <c r="A178" s="42" t="str">
        <f>IF($K178="","",171)</f>
        <v/>
      </c>
      <c r="B178" s="43" t="str">
        <f>IF($K178="","",INDEX(AUX!$D$2:$D$361,$K178))</f>
        <v/>
      </c>
      <c r="C178" s="44" t="str">
        <f>IF($K178="","",INDEX(AUX!$E$2:$E$361,$K178))</f>
        <v/>
      </c>
      <c r="D178" s="44" t="str">
        <f>IF($K178="","",INDEX(AUX!$F$2:$F$361,$K178))</f>
        <v/>
      </c>
      <c r="E178" s="42" t="str">
        <f>IF($K178="","",INDEX(AUX!$G$2:$G$361,$K178))</f>
        <v/>
      </c>
      <c r="F178" s="45" t="str">
        <f>IF($K178="","",INDEX(AUX!$H$2:$H$361,$K178))</f>
        <v/>
      </c>
      <c r="G178" s="24" t="str">
        <f>IF($K178="","",INDEX(AUX!$I$2:$I$361,$K178))</f>
        <v/>
      </c>
      <c r="K178" t="str">
        <f>IFERROR(MATCH(171,AUX!$K$2:$K$361,0),"")</f>
        <v/>
      </c>
    </row>
    <row r="179" spans="1:11" x14ac:dyDescent="0.25">
      <c r="A179" s="46" t="str">
        <f>IF($K179="","",172)</f>
        <v/>
      </c>
      <c r="B179" s="47" t="str">
        <f>IF($K179="","",INDEX(AUX!$D$2:$D$361,$K179))</f>
        <v/>
      </c>
      <c r="C179" s="48" t="str">
        <f>IF($K179="","",INDEX(AUX!$E$2:$E$361,$K179))</f>
        <v/>
      </c>
      <c r="D179" s="48" t="str">
        <f>IF($K179="","",INDEX(AUX!$F$2:$F$361,$K179))</f>
        <v/>
      </c>
      <c r="E179" s="46" t="str">
        <f>IF($K179="","",INDEX(AUX!$G$2:$G$361,$K179))</f>
        <v/>
      </c>
      <c r="F179" s="49" t="str">
        <f>IF($K179="","",INDEX(AUX!$H$2:$H$361,$K179))</f>
        <v/>
      </c>
      <c r="G179" s="50" t="str">
        <f>IF($K179="","",INDEX(AUX!$I$2:$I$361,$K179))</f>
        <v/>
      </c>
      <c r="K179" t="str">
        <f>IFERROR(MATCH(172,AUX!$K$2:$K$361,0),"")</f>
        <v/>
      </c>
    </row>
    <row r="180" spans="1:11" x14ac:dyDescent="0.25">
      <c r="A180" s="42" t="str">
        <f>IF($K180="","",173)</f>
        <v/>
      </c>
      <c r="B180" s="43" t="str">
        <f>IF($K180="","",INDEX(AUX!$D$2:$D$361,$K180))</f>
        <v/>
      </c>
      <c r="C180" s="44" t="str">
        <f>IF($K180="","",INDEX(AUX!$E$2:$E$361,$K180))</f>
        <v/>
      </c>
      <c r="D180" s="44" t="str">
        <f>IF($K180="","",INDEX(AUX!$F$2:$F$361,$K180))</f>
        <v/>
      </c>
      <c r="E180" s="42" t="str">
        <f>IF($K180="","",INDEX(AUX!$G$2:$G$361,$K180))</f>
        <v/>
      </c>
      <c r="F180" s="45" t="str">
        <f>IF($K180="","",INDEX(AUX!$H$2:$H$361,$K180))</f>
        <v/>
      </c>
      <c r="G180" s="24" t="str">
        <f>IF($K180="","",INDEX(AUX!$I$2:$I$361,$K180))</f>
        <v/>
      </c>
      <c r="K180" t="str">
        <f>IFERROR(MATCH(173,AUX!$K$2:$K$361,0),"")</f>
        <v/>
      </c>
    </row>
    <row r="181" spans="1:11" x14ac:dyDescent="0.25">
      <c r="A181" s="46" t="str">
        <f>IF($K181="","",174)</f>
        <v/>
      </c>
      <c r="B181" s="47" t="str">
        <f>IF($K181="","",INDEX(AUX!$D$2:$D$361,$K181))</f>
        <v/>
      </c>
      <c r="C181" s="48" t="str">
        <f>IF($K181="","",INDEX(AUX!$E$2:$E$361,$K181))</f>
        <v/>
      </c>
      <c r="D181" s="48" t="str">
        <f>IF($K181="","",INDEX(AUX!$F$2:$F$361,$K181))</f>
        <v/>
      </c>
      <c r="E181" s="46" t="str">
        <f>IF($K181="","",INDEX(AUX!$G$2:$G$361,$K181))</f>
        <v/>
      </c>
      <c r="F181" s="49" t="str">
        <f>IF($K181="","",INDEX(AUX!$H$2:$H$361,$K181))</f>
        <v/>
      </c>
      <c r="G181" s="50" t="str">
        <f>IF($K181="","",INDEX(AUX!$I$2:$I$361,$K181))</f>
        <v/>
      </c>
      <c r="K181" t="str">
        <f>IFERROR(MATCH(174,AUX!$K$2:$K$361,0),"")</f>
        <v/>
      </c>
    </row>
    <row r="182" spans="1:11" x14ac:dyDescent="0.25">
      <c r="A182" s="42" t="str">
        <f>IF($K182="","",175)</f>
        <v/>
      </c>
      <c r="B182" s="43" t="str">
        <f>IF($K182="","",INDEX(AUX!$D$2:$D$361,$K182))</f>
        <v/>
      </c>
      <c r="C182" s="44" t="str">
        <f>IF($K182="","",INDEX(AUX!$E$2:$E$361,$K182))</f>
        <v/>
      </c>
      <c r="D182" s="44" t="str">
        <f>IF($K182="","",INDEX(AUX!$F$2:$F$361,$K182))</f>
        <v/>
      </c>
      <c r="E182" s="42" t="str">
        <f>IF($K182="","",INDEX(AUX!$G$2:$G$361,$K182))</f>
        <v/>
      </c>
      <c r="F182" s="45" t="str">
        <f>IF($K182="","",INDEX(AUX!$H$2:$H$361,$K182))</f>
        <v/>
      </c>
      <c r="G182" s="24" t="str">
        <f>IF($K182="","",INDEX(AUX!$I$2:$I$361,$K182))</f>
        <v/>
      </c>
      <c r="K182" t="str">
        <f>IFERROR(MATCH(175,AUX!$K$2:$K$361,0),"")</f>
        <v/>
      </c>
    </row>
    <row r="183" spans="1:11" x14ac:dyDescent="0.25">
      <c r="A183" s="46" t="str">
        <f>IF($K183="","",176)</f>
        <v/>
      </c>
      <c r="B183" s="47" t="str">
        <f>IF($K183="","",INDEX(AUX!$D$2:$D$361,$K183))</f>
        <v/>
      </c>
      <c r="C183" s="48" t="str">
        <f>IF($K183="","",INDEX(AUX!$E$2:$E$361,$K183))</f>
        <v/>
      </c>
      <c r="D183" s="48" t="str">
        <f>IF($K183="","",INDEX(AUX!$F$2:$F$361,$K183))</f>
        <v/>
      </c>
      <c r="E183" s="46" t="str">
        <f>IF($K183="","",INDEX(AUX!$G$2:$G$361,$K183))</f>
        <v/>
      </c>
      <c r="F183" s="49" t="str">
        <f>IF($K183="","",INDEX(AUX!$H$2:$H$361,$K183))</f>
        <v/>
      </c>
      <c r="G183" s="50" t="str">
        <f>IF($K183="","",INDEX(AUX!$I$2:$I$361,$K183))</f>
        <v/>
      </c>
      <c r="K183" t="str">
        <f>IFERROR(MATCH(176,AUX!$K$2:$K$361,0),"")</f>
        <v/>
      </c>
    </row>
    <row r="184" spans="1:11" x14ac:dyDescent="0.25">
      <c r="A184" s="42" t="str">
        <f>IF($K184="","",177)</f>
        <v/>
      </c>
      <c r="B184" s="43" t="str">
        <f>IF($K184="","",INDEX(AUX!$D$2:$D$361,$K184))</f>
        <v/>
      </c>
      <c r="C184" s="44" t="str">
        <f>IF($K184="","",INDEX(AUX!$E$2:$E$361,$K184))</f>
        <v/>
      </c>
      <c r="D184" s="44" t="str">
        <f>IF($K184="","",INDEX(AUX!$F$2:$F$361,$K184))</f>
        <v/>
      </c>
      <c r="E184" s="42" t="str">
        <f>IF($K184="","",INDEX(AUX!$G$2:$G$361,$K184))</f>
        <v/>
      </c>
      <c r="F184" s="45" t="str">
        <f>IF($K184="","",INDEX(AUX!$H$2:$H$361,$K184))</f>
        <v/>
      </c>
      <c r="G184" s="24" t="str">
        <f>IF($K184="","",INDEX(AUX!$I$2:$I$361,$K184))</f>
        <v/>
      </c>
      <c r="K184" t="str">
        <f>IFERROR(MATCH(177,AUX!$K$2:$K$361,0),"")</f>
        <v/>
      </c>
    </row>
    <row r="185" spans="1:11" x14ac:dyDescent="0.25">
      <c r="A185" s="46" t="str">
        <f>IF($K185="","",178)</f>
        <v/>
      </c>
      <c r="B185" s="47" t="str">
        <f>IF($K185="","",INDEX(AUX!$D$2:$D$361,$K185))</f>
        <v/>
      </c>
      <c r="C185" s="48" t="str">
        <f>IF($K185="","",INDEX(AUX!$E$2:$E$361,$K185))</f>
        <v/>
      </c>
      <c r="D185" s="48" t="str">
        <f>IF($K185="","",INDEX(AUX!$F$2:$F$361,$K185))</f>
        <v/>
      </c>
      <c r="E185" s="46" t="str">
        <f>IF($K185="","",INDEX(AUX!$G$2:$G$361,$K185))</f>
        <v/>
      </c>
      <c r="F185" s="49" t="str">
        <f>IF($K185="","",INDEX(AUX!$H$2:$H$361,$K185))</f>
        <v/>
      </c>
      <c r="G185" s="50" t="str">
        <f>IF($K185="","",INDEX(AUX!$I$2:$I$361,$K185))</f>
        <v/>
      </c>
      <c r="K185" t="str">
        <f>IFERROR(MATCH(178,AUX!$K$2:$K$361,0),"")</f>
        <v/>
      </c>
    </row>
    <row r="186" spans="1:11" x14ac:dyDescent="0.25">
      <c r="A186" s="42" t="str">
        <f>IF($K186="","",179)</f>
        <v/>
      </c>
      <c r="B186" s="43" t="str">
        <f>IF($K186="","",INDEX(AUX!$D$2:$D$361,$K186))</f>
        <v/>
      </c>
      <c r="C186" s="44" t="str">
        <f>IF($K186="","",INDEX(AUX!$E$2:$E$361,$K186))</f>
        <v/>
      </c>
      <c r="D186" s="44" t="str">
        <f>IF($K186="","",INDEX(AUX!$F$2:$F$361,$K186))</f>
        <v/>
      </c>
      <c r="E186" s="42" t="str">
        <f>IF($K186="","",INDEX(AUX!$G$2:$G$361,$K186))</f>
        <v/>
      </c>
      <c r="F186" s="45" t="str">
        <f>IF($K186="","",INDEX(AUX!$H$2:$H$361,$K186))</f>
        <v/>
      </c>
      <c r="G186" s="24" t="str">
        <f>IF($K186="","",INDEX(AUX!$I$2:$I$361,$K186))</f>
        <v/>
      </c>
      <c r="K186" t="str">
        <f>IFERROR(MATCH(179,AUX!$K$2:$K$361,0),"")</f>
        <v/>
      </c>
    </row>
    <row r="187" spans="1:11" x14ac:dyDescent="0.25">
      <c r="A187" s="46" t="str">
        <f>IF($K187="","",180)</f>
        <v/>
      </c>
      <c r="B187" s="47" t="str">
        <f>IF($K187="","",INDEX(AUX!$D$2:$D$361,$K187))</f>
        <v/>
      </c>
      <c r="C187" s="48" t="str">
        <f>IF($K187="","",INDEX(AUX!$E$2:$E$361,$K187))</f>
        <v/>
      </c>
      <c r="D187" s="48" t="str">
        <f>IF($K187="","",INDEX(AUX!$F$2:$F$361,$K187))</f>
        <v/>
      </c>
      <c r="E187" s="46" t="str">
        <f>IF($K187="","",INDEX(AUX!$G$2:$G$361,$K187))</f>
        <v/>
      </c>
      <c r="F187" s="49" t="str">
        <f>IF($K187="","",INDEX(AUX!$H$2:$H$361,$K187))</f>
        <v/>
      </c>
      <c r="G187" s="50" t="str">
        <f>IF($K187="","",INDEX(AUX!$I$2:$I$361,$K187))</f>
        <v/>
      </c>
      <c r="K187" t="str">
        <f>IFERROR(MATCH(180,AUX!$K$2:$K$361,0),"")</f>
        <v/>
      </c>
    </row>
    <row r="188" spans="1:11" x14ac:dyDescent="0.25">
      <c r="A188" s="42" t="str">
        <f>IF($K188="","",181)</f>
        <v/>
      </c>
      <c r="B188" s="43" t="str">
        <f>IF($K188="","",INDEX(AUX!$D$2:$D$361,$K188))</f>
        <v/>
      </c>
      <c r="C188" s="44" t="str">
        <f>IF($K188="","",INDEX(AUX!$E$2:$E$361,$K188))</f>
        <v/>
      </c>
      <c r="D188" s="44" t="str">
        <f>IF($K188="","",INDEX(AUX!$F$2:$F$361,$K188))</f>
        <v/>
      </c>
      <c r="E188" s="42" t="str">
        <f>IF($K188="","",INDEX(AUX!$G$2:$G$361,$K188))</f>
        <v/>
      </c>
      <c r="F188" s="45" t="str">
        <f>IF($K188="","",INDEX(AUX!$H$2:$H$361,$K188))</f>
        <v/>
      </c>
      <c r="G188" s="24" t="str">
        <f>IF($K188="","",INDEX(AUX!$I$2:$I$361,$K188))</f>
        <v/>
      </c>
      <c r="K188" t="str">
        <f>IFERROR(MATCH(181,AUX!$K$2:$K$361,0),"")</f>
        <v/>
      </c>
    </row>
    <row r="189" spans="1:11" x14ac:dyDescent="0.25">
      <c r="A189" s="46" t="str">
        <f>IF($K189="","",182)</f>
        <v/>
      </c>
      <c r="B189" s="47" t="str">
        <f>IF($K189="","",INDEX(AUX!$D$2:$D$361,$K189))</f>
        <v/>
      </c>
      <c r="C189" s="48" t="str">
        <f>IF($K189="","",INDEX(AUX!$E$2:$E$361,$K189))</f>
        <v/>
      </c>
      <c r="D189" s="48" t="str">
        <f>IF($K189="","",INDEX(AUX!$F$2:$F$361,$K189))</f>
        <v/>
      </c>
      <c r="E189" s="46" t="str">
        <f>IF($K189="","",INDEX(AUX!$G$2:$G$361,$K189))</f>
        <v/>
      </c>
      <c r="F189" s="49" t="str">
        <f>IF($K189="","",INDEX(AUX!$H$2:$H$361,$K189))</f>
        <v/>
      </c>
      <c r="G189" s="50" t="str">
        <f>IF($K189="","",INDEX(AUX!$I$2:$I$361,$K189))</f>
        <v/>
      </c>
      <c r="K189" t="str">
        <f>IFERROR(MATCH(182,AUX!$K$2:$K$361,0),"")</f>
        <v/>
      </c>
    </row>
    <row r="190" spans="1:11" x14ac:dyDescent="0.25">
      <c r="A190" s="42" t="str">
        <f>IF($K190="","",183)</f>
        <v/>
      </c>
      <c r="B190" s="43" t="str">
        <f>IF($K190="","",INDEX(AUX!$D$2:$D$361,$K190))</f>
        <v/>
      </c>
      <c r="C190" s="44" t="str">
        <f>IF($K190="","",INDEX(AUX!$E$2:$E$361,$K190))</f>
        <v/>
      </c>
      <c r="D190" s="44" t="str">
        <f>IF($K190="","",INDEX(AUX!$F$2:$F$361,$K190))</f>
        <v/>
      </c>
      <c r="E190" s="42" t="str">
        <f>IF($K190="","",INDEX(AUX!$G$2:$G$361,$K190))</f>
        <v/>
      </c>
      <c r="F190" s="45" t="str">
        <f>IF($K190="","",INDEX(AUX!$H$2:$H$361,$K190))</f>
        <v/>
      </c>
      <c r="G190" s="24" t="str">
        <f>IF($K190="","",INDEX(AUX!$I$2:$I$361,$K190))</f>
        <v/>
      </c>
      <c r="K190" t="str">
        <f>IFERROR(MATCH(183,AUX!$K$2:$K$361,0),"")</f>
        <v/>
      </c>
    </row>
    <row r="191" spans="1:11" x14ac:dyDescent="0.25">
      <c r="A191" s="46" t="str">
        <f>IF($K191="","",184)</f>
        <v/>
      </c>
      <c r="B191" s="47" t="str">
        <f>IF($K191="","",INDEX(AUX!$D$2:$D$361,$K191))</f>
        <v/>
      </c>
      <c r="C191" s="48" t="str">
        <f>IF($K191="","",INDEX(AUX!$E$2:$E$361,$K191))</f>
        <v/>
      </c>
      <c r="D191" s="48" t="str">
        <f>IF($K191="","",INDEX(AUX!$F$2:$F$361,$K191))</f>
        <v/>
      </c>
      <c r="E191" s="46" t="str">
        <f>IF($K191="","",INDEX(AUX!$G$2:$G$361,$K191))</f>
        <v/>
      </c>
      <c r="F191" s="49" t="str">
        <f>IF($K191="","",INDEX(AUX!$H$2:$H$361,$K191))</f>
        <v/>
      </c>
      <c r="G191" s="50" t="str">
        <f>IF($K191="","",INDEX(AUX!$I$2:$I$361,$K191))</f>
        <v/>
      </c>
      <c r="K191" t="str">
        <f>IFERROR(MATCH(184,AUX!$K$2:$K$361,0),"")</f>
        <v/>
      </c>
    </row>
    <row r="192" spans="1:11" x14ac:dyDescent="0.25">
      <c r="A192" s="42" t="str">
        <f>IF($K192="","",185)</f>
        <v/>
      </c>
      <c r="B192" s="43" t="str">
        <f>IF($K192="","",INDEX(AUX!$D$2:$D$361,$K192))</f>
        <v/>
      </c>
      <c r="C192" s="44" t="str">
        <f>IF($K192="","",INDEX(AUX!$E$2:$E$361,$K192))</f>
        <v/>
      </c>
      <c r="D192" s="44" t="str">
        <f>IF($K192="","",INDEX(AUX!$F$2:$F$361,$K192))</f>
        <v/>
      </c>
      <c r="E192" s="42" t="str">
        <f>IF($K192="","",INDEX(AUX!$G$2:$G$361,$K192))</f>
        <v/>
      </c>
      <c r="F192" s="45" t="str">
        <f>IF($K192="","",INDEX(AUX!$H$2:$H$361,$K192))</f>
        <v/>
      </c>
      <c r="G192" s="24" t="str">
        <f>IF($K192="","",INDEX(AUX!$I$2:$I$361,$K192))</f>
        <v/>
      </c>
      <c r="K192" t="str">
        <f>IFERROR(MATCH(185,AUX!$K$2:$K$361,0),"")</f>
        <v/>
      </c>
    </row>
    <row r="193" spans="1:11" x14ac:dyDescent="0.25">
      <c r="A193" s="46" t="str">
        <f>IF($K193="","",186)</f>
        <v/>
      </c>
      <c r="B193" s="47" t="str">
        <f>IF($K193="","",INDEX(AUX!$D$2:$D$361,$K193))</f>
        <v/>
      </c>
      <c r="C193" s="48" t="str">
        <f>IF($K193="","",INDEX(AUX!$E$2:$E$361,$K193))</f>
        <v/>
      </c>
      <c r="D193" s="48" t="str">
        <f>IF($K193="","",INDEX(AUX!$F$2:$F$361,$K193))</f>
        <v/>
      </c>
      <c r="E193" s="46" t="str">
        <f>IF($K193="","",INDEX(AUX!$G$2:$G$361,$K193))</f>
        <v/>
      </c>
      <c r="F193" s="49" t="str">
        <f>IF($K193="","",INDEX(AUX!$H$2:$H$361,$K193))</f>
        <v/>
      </c>
      <c r="G193" s="50" t="str">
        <f>IF($K193="","",INDEX(AUX!$I$2:$I$361,$K193))</f>
        <v/>
      </c>
      <c r="K193" t="str">
        <f>IFERROR(MATCH(186,AUX!$K$2:$K$361,0),"")</f>
        <v/>
      </c>
    </row>
    <row r="194" spans="1:11" x14ac:dyDescent="0.25">
      <c r="A194" s="42" t="str">
        <f>IF($K194="","",187)</f>
        <v/>
      </c>
      <c r="B194" s="43" t="str">
        <f>IF($K194="","",INDEX(AUX!$D$2:$D$361,$K194))</f>
        <v/>
      </c>
      <c r="C194" s="44" t="str">
        <f>IF($K194="","",INDEX(AUX!$E$2:$E$361,$K194))</f>
        <v/>
      </c>
      <c r="D194" s="44" t="str">
        <f>IF($K194="","",INDEX(AUX!$F$2:$F$361,$K194))</f>
        <v/>
      </c>
      <c r="E194" s="42" t="str">
        <f>IF($K194="","",INDEX(AUX!$G$2:$G$361,$K194))</f>
        <v/>
      </c>
      <c r="F194" s="45" t="str">
        <f>IF($K194="","",INDEX(AUX!$H$2:$H$361,$K194))</f>
        <v/>
      </c>
      <c r="G194" s="24" t="str">
        <f>IF($K194="","",INDEX(AUX!$I$2:$I$361,$K194))</f>
        <v/>
      </c>
      <c r="K194" t="str">
        <f>IFERROR(MATCH(187,AUX!$K$2:$K$361,0),"")</f>
        <v/>
      </c>
    </row>
    <row r="195" spans="1:11" x14ac:dyDescent="0.25">
      <c r="A195" s="46" t="str">
        <f>IF($K195="","",188)</f>
        <v/>
      </c>
      <c r="B195" s="47" t="str">
        <f>IF($K195="","",INDEX(AUX!$D$2:$D$361,$K195))</f>
        <v/>
      </c>
      <c r="C195" s="48" t="str">
        <f>IF($K195="","",INDEX(AUX!$E$2:$E$361,$K195))</f>
        <v/>
      </c>
      <c r="D195" s="48" t="str">
        <f>IF($K195="","",INDEX(AUX!$F$2:$F$361,$K195))</f>
        <v/>
      </c>
      <c r="E195" s="46" t="str">
        <f>IF($K195="","",INDEX(AUX!$G$2:$G$361,$K195))</f>
        <v/>
      </c>
      <c r="F195" s="49" t="str">
        <f>IF($K195="","",INDEX(AUX!$H$2:$H$361,$K195))</f>
        <v/>
      </c>
      <c r="G195" s="50" t="str">
        <f>IF($K195="","",INDEX(AUX!$I$2:$I$361,$K195))</f>
        <v/>
      </c>
      <c r="K195" t="str">
        <f>IFERROR(MATCH(188,AUX!$K$2:$K$361,0),"")</f>
        <v/>
      </c>
    </row>
    <row r="196" spans="1:11" x14ac:dyDescent="0.25">
      <c r="A196" s="42" t="str">
        <f>IF($K196="","",189)</f>
        <v/>
      </c>
      <c r="B196" s="43" t="str">
        <f>IF($K196="","",INDEX(AUX!$D$2:$D$361,$K196))</f>
        <v/>
      </c>
      <c r="C196" s="44" t="str">
        <f>IF($K196="","",INDEX(AUX!$E$2:$E$361,$K196))</f>
        <v/>
      </c>
      <c r="D196" s="44" t="str">
        <f>IF($K196="","",INDEX(AUX!$F$2:$F$361,$K196))</f>
        <v/>
      </c>
      <c r="E196" s="42" t="str">
        <f>IF($K196="","",INDEX(AUX!$G$2:$G$361,$K196))</f>
        <v/>
      </c>
      <c r="F196" s="45" t="str">
        <f>IF($K196="","",INDEX(AUX!$H$2:$H$361,$K196))</f>
        <v/>
      </c>
      <c r="G196" s="24" t="str">
        <f>IF($K196="","",INDEX(AUX!$I$2:$I$361,$K196))</f>
        <v/>
      </c>
      <c r="K196" t="str">
        <f>IFERROR(MATCH(189,AUX!$K$2:$K$361,0),"")</f>
        <v/>
      </c>
    </row>
    <row r="197" spans="1:11" x14ac:dyDescent="0.25">
      <c r="A197" s="46" t="str">
        <f>IF($K197="","",190)</f>
        <v/>
      </c>
      <c r="B197" s="47" t="str">
        <f>IF($K197="","",INDEX(AUX!$D$2:$D$361,$K197))</f>
        <v/>
      </c>
      <c r="C197" s="48" t="str">
        <f>IF($K197="","",INDEX(AUX!$E$2:$E$361,$K197))</f>
        <v/>
      </c>
      <c r="D197" s="48" t="str">
        <f>IF($K197="","",INDEX(AUX!$F$2:$F$361,$K197))</f>
        <v/>
      </c>
      <c r="E197" s="46" t="str">
        <f>IF($K197="","",INDEX(AUX!$G$2:$G$361,$K197))</f>
        <v/>
      </c>
      <c r="F197" s="49" t="str">
        <f>IF($K197="","",INDEX(AUX!$H$2:$H$361,$K197))</f>
        <v/>
      </c>
      <c r="G197" s="50" t="str">
        <f>IF($K197="","",INDEX(AUX!$I$2:$I$361,$K197))</f>
        <v/>
      </c>
      <c r="K197" t="str">
        <f>IFERROR(MATCH(190,AUX!$K$2:$K$361,0),"")</f>
        <v/>
      </c>
    </row>
    <row r="198" spans="1:11" x14ac:dyDescent="0.25">
      <c r="A198" s="42" t="str">
        <f>IF($K198="","",191)</f>
        <v/>
      </c>
      <c r="B198" s="43" t="str">
        <f>IF($K198="","",INDEX(AUX!$D$2:$D$361,$K198))</f>
        <v/>
      </c>
      <c r="C198" s="44" t="str">
        <f>IF($K198="","",INDEX(AUX!$E$2:$E$361,$K198))</f>
        <v/>
      </c>
      <c r="D198" s="44" t="str">
        <f>IF($K198="","",INDEX(AUX!$F$2:$F$361,$K198))</f>
        <v/>
      </c>
      <c r="E198" s="42" t="str">
        <f>IF($K198="","",INDEX(AUX!$G$2:$G$361,$K198))</f>
        <v/>
      </c>
      <c r="F198" s="45" t="str">
        <f>IF($K198="","",INDEX(AUX!$H$2:$H$361,$K198))</f>
        <v/>
      </c>
      <c r="G198" s="24" t="str">
        <f>IF($K198="","",INDEX(AUX!$I$2:$I$361,$K198))</f>
        <v/>
      </c>
      <c r="K198" t="str">
        <f>IFERROR(MATCH(191,AUX!$K$2:$K$361,0),"")</f>
        <v/>
      </c>
    </row>
    <row r="199" spans="1:11" x14ac:dyDescent="0.25">
      <c r="A199" s="46" t="str">
        <f>IF($K199="","",192)</f>
        <v/>
      </c>
      <c r="B199" s="47" t="str">
        <f>IF($K199="","",INDEX(AUX!$D$2:$D$361,$K199))</f>
        <v/>
      </c>
      <c r="C199" s="48" t="str">
        <f>IF($K199="","",INDEX(AUX!$E$2:$E$361,$K199))</f>
        <v/>
      </c>
      <c r="D199" s="48" t="str">
        <f>IF($K199="","",INDEX(AUX!$F$2:$F$361,$K199))</f>
        <v/>
      </c>
      <c r="E199" s="46" t="str">
        <f>IF($K199="","",INDEX(AUX!$G$2:$G$361,$K199))</f>
        <v/>
      </c>
      <c r="F199" s="49" t="str">
        <f>IF($K199="","",INDEX(AUX!$H$2:$H$361,$K199))</f>
        <v/>
      </c>
      <c r="G199" s="50" t="str">
        <f>IF($K199="","",INDEX(AUX!$I$2:$I$361,$K199))</f>
        <v/>
      </c>
      <c r="K199" t="str">
        <f>IFERROR(MATCH(192,AUX!$K$2:$K$361,0),"")</f>
        <v/>
      </c>
    </row>
    <row r="200" spans="1:11" x14ac:dyDescent="0.25">
      <c r="A200" s="42" t="str">
        <f>IF($K200="","",193)</f>
        <v/>
      </c>
      <c r="B200" s="43" t="str">
        <f>IF($K200="","",INDEX(AUX!$D$2:$D$361,$K200))</f>
        <v/>
      </c>
      <c r="C200" s="44" t="str">
        <f>IF($K200="","",INDEX(AUX!$E$2:$E$361,$K200))</f>
        <v/>
      </c>
      <c r="D200" s="44" t="str">
        <f>IF($K200="","",INDEX(AUX!$F$2:$F$361,$K200))</f>
        <v/>
      </c>
      <c r="E200" s="42" t="str">
        <f>IF($K200="","",INDEX(AUX!$G$2:$G$361,$K200))</f>
        <v/>
      </c>
      <c r="F200" s="45" t="str">
        <f>IF($K200="","",INDEX(AUX!$H$2:$H$361,$K200))</f>
        <v/>
      </c>
      <c r="G200" s="24" t="str">
        <f>IF($K200="","",INDEX(AUX!$I$2:$I$361,$K200))</f>
        <v/>
      </c>
      <c r="K200" t="str">
        <f>IFERROR(MATCH(193,AUX!$K$2:$K$361,0),"")</f>
        <v/>
      </c>
    </row>
    <row r="201" spans="1:11" x14ac:dyDescent="0.25">
      <c r="A201" s="46" t="str">
        <f>IF($K201="","",194)</f>
        <v/>
      </c>
      <c r="B201" s="47" t="str">
        <f>IF($K201="","",INDEX(AUX!$D$2:$D$361,$K201))</f>
        <v/>
      </c>
      <c r="C201" s="48" t="str">
        <f>IF($K201="","",INDEX(AUX!$E$2:$E$361,$K201))</f>
        <v/>
      </c>
      <c r="D201" s="48" t="str">
        <f>IF($K201="","",INDEX(AUX!$F$2:$F$361,$K201))</f>
        <v/>
      </c>
      <c r="E201" s="46" t="str">
        <f>IF($K201="","",INDEX(AUX!$G$2:$G$361,$K201))</f>
        <v/>
      </c>
      <c r="F201" s="49" t="str">
        <f>IF($K201="","",INDEX(AUX!$H$2:$H$361,$K201))</f>
        <v/>
      </c>
      <c r="G201" s="50" t="str">
        <f>IF($K201="","",INDEX(AUX!$I$2:$I$361,$K201))</f>
        <v/>
      </c>
      <c r="K201" t="str">
        <f>IFERROR(MATCH(194,AUX!$K$2:$K$361,0),"")</f>
        <v/>
      </c>
    </row>
    <row r="202" spans="1:11" x14ac:dyDescent="0.25">
      <c r="A202" s="42" t="str">
        <f>IF($K202="","",195)</f>
        <v/>
      </c>
      <c r="B202" s="43" t="str">
        <f>IF($K202="","",INDEX(AUX!$D$2:$D$361,$K202))</f>
        <v/>
      </c>
      <c r="C202" s="44" t="str">
        <f>IF($K202="","",INDEX(AUX!$E$2:$E$361,$K202))</f>
        <v/>
      </c>
      <c r="D202" s="44" t="str">
        <f>IF($K202="","",INDEX(AUX!$F$2:$F$361,$K202))</f>
        <v/>
      </c>
      <c r="E202" s="42" t="str">
        <f>IF($K202="","",INDEX(AUX!$G$2:$G$361,$K202))</f>
        <v/>
      </c>
      <c r="F202" s="45" t="str">
        <f>IF($K202="","",INDEX(AUX!$H$2:$H$361,$K202))</f>
        <v/>
      </c>
      <c r="G202" s="24" t="str">
        <f>IF($K202="","",INDEX(AUX!$I$2:$I$361,$K202))</f>
        <v/>
      </c>
      <c r="K202" t="str">
        <f>IFERROR(MATCH(195,AUX!$K$2:$K$361,0),"")</f>
        <v/>
      </c>
    </row>
    <row r="203" spans="1:11" x14ac:dyDescent="0.25">
      <c r="A203" s="46" t="str">
        <f>IF($K203="","",196)</f>
        <v/>
      </c>
      <c r="B203" s="47" t="str">
        <f>IF($K203="","",INDEX(AUX!$D$2:$D$361,$K203))</f>
        <v/>
      </c>
      <c r="C203" s="48" t="str">
        <f>IF($K203="","",INDEX(AUX!$E$2:$E$361,$K203))</f>
        <v/>
      </c>
      <c r="D203" s="48" t="str">
        <f>IF($K203="","",INDEX(AUX!$F$2:$F$361,$K203))</f>
        <v/>
      </c>
      <c r="E203" s="46" t="str">
        <f>IF($K203="","",INDEX(AUX!$G$2:$G$361,$K203))</f>
        <v/>
      </c>
      <c r="F203" s="49" t="str">
        <f>IF($K203="","",INDEX(AUX!$H$2:$H$361,$K203))</f>
        <v/>
      </c>
      <c r="G203" s="50" t="str">
        <f>IF($K203="","",INDEX(AUX!$I$2:$I$361,$K203))</f>
        <v/>
      </c>
      <c r="K203" t="str">
        <f>IFERROR(MATCH(196,AUX!$K$2:$K$361,0),"")</f>
        <v/>
      </c>
    </row>
    <row r="204" spans="1:11" x14ac:dyDescent="0.25">
      <c r="A204" s="42" t="str">
        <f>IF($K204="","",197)</f>
        <v/>
      </c>
      <c r="B204" s="43" t="str">
        <f>IF($K204="","",INDEX(AUX!$D$2:$D$361,$K204))</f>
        <v/>
      </c>
      <c r="C204" s="44" t="str">
        <f>IF($K204="","",INDEX(AUX!$E$2:$E$361,$K204))</f>
        <v/>
      </c>
      <c r="D204" s="44" t="str">
        <f>IF($K204="","",INDEX(AUX!$F$2:$F$361,$K204))</f>
        <v/>
      </c>
      <c r="E204" s="42" t="str">
        <f>IF($K204="","",INDEX(AUX!$G$2:$G$361,$K204))</f>
        <v/>
      </c>
      <c r="F204" s="45" t="str">
        <f>IF($K204="","",INDEX(AUX!$H$2:$H$361,$K204))</f>
        <v/>
      </c>
      <c r="G204" s="24" t="str">
        <f>IF($K204="","",INDEX(AUX!$I$2:$I$361,$K204))</f>
        <v/>
      </c>
      <c r="K204" t="str">
        <f>IFERROR(MATCH(197,AUX!$K$2:$K$361,0),"")</f>
        <v/>
      </c>
    </row>
    <row r="205" spans="1:11" x14ac:dyDescent="0.25">
      <c r="A205" s="46" t="str">
        <f>IF($K205="","",198)</f>
        <v/>
      </c>
      <c r="B205" s="47" t="str">
        <f>IF($K205="","",INDEX(AUX!$D$2:$D$361,$K205))</f>
        <v/>
      </c>
      <c r="C205" s="48" t="str">
        <f>IF($K205="","",INDEX(AUX!$E$2:$E$361,$K205))</f>
        <v/>
      </c>
      <c r="D205" s="48" t="str">
        <f>IF($K205="","",INDEX(AUX!$F$2:$F$361,$K205))</f>
        <v/>
      </c>
      <c r="E205" s="46" t="str">
        <f>IF($K205="","",INDEX(AUX!$G$2:$G$361,$K205))</f>
        <v/>
      </c>
      <c r="F205" s="49" t="str">
        <f>IF($K205="","",INDEX(AUX!$H$2:$H$361,$K205))</f>
        <v/>
      </c>
      <c r="G205" s="50" t="str">
        <f>IF($K205="","",INDEX(AUX!$I$2:$I$361,$K205))</f>
        <v/>
      </c>
      <c r="K205" t="str">
        <f>IFERROR(MATCH(198,AUX!$K$2:$K$361,0),"")</f>
        <v/>
      </c>
    </row>
    <row r="206" spans="1:11" x14ac:dyDescent="0.25">
      <c r="A206" s="42" t="str">
        <f>IF($K206="","",199)</f>
        <v/>
      </c>
      <c r="B206" s="43" t="str">
        <f>IF($K206="","",INDEX(AUX!$D$2:$D$361,$K206))</f>
        <v/>
      </c>
      <c r="C206" s="44" t="str">
        <f>IF($K206="","",INDEX(AUX!$E$2:$E$361,$K206))</f>
        <v/>
      </c>
      <c r="D206" s="44" t="str">
        <f>IF($K206="","",INDEX(AUX!$F$2:$F$361,$K206))</f>
        <v/>
      </c>
      <c r="E206" s="42" t="str">
        <f>IF($K206="","",INDEX(AUX!$G$2:$G$361,$K206))</f>
        <v/>
      </c>
      <c r="F206" s="45" t="str">
        <f>IF($K206="","",INDEX(AUX!$H$2:$H$361,$K206))</f>
        <v/>
      </c>
      <c r="G206" s="24" t="str">
        <f>IF($K206="","",INDEX(AUX!$I$2:$I$361,$K206))</f>
        <v/>
      </c>
      <c r="K206" t="str">
        <f>IFERROR(MATCH(199,AUX!$K$2:$K$361,0),"")</f>
        <v/>
      </c>
    </row>
    <row r="207" spans="1:11" x14ac:dyDescent="0.25">
      <c r="A207" s="46" t="str">
        <f>IF($K207="","",200)</f>
        <v/>
      </c>
      <c r="B207" s="47" t="str">
        <f>IF($K207="","",INDEX(AUX!$D$2:$D$361,$K207))</f>
        <v/>
      </c>
      <c r="C207" s="48" t="str">
        <f>IF($K207="","",INDEX(AUX!$E$2:$E$361,$K207))</f>
        <v/>
      </c>
      <c r="D207" s="48" t="str">
        <f>IF($K207="","",INDEX(AUX!$F$2:$F$361,$K207))</f>
        <v/>
      </c>
      <c r="E207" s="46" t="str">
        <f>IF($K207="","",INDEX(AUX!$G$2:$G$361,$K207))</f>
        <v/>
      </c>
      <c r="F207" s="49" t="str">
        <f>IF($K207="","",INDEX(AUX!$H$2:$H$361,$K207))</f>
        <v/>
      </c>
      <c r="G207" s="50" t="str">
        <f>IF($K207="","",INDEX(AUX!$I$2:$I$361,$K207))</f>
        <v/>
      </c>
      <c r="K207" t="str">
        <f>IFERROR(MATCH(200,AUX!$K$2:$K$361,0),"")</f>
        <v/>
      </c>
    </row>
    <row r="208" spans="1:11" x14ac:dyDescent="0.25">
      <c r="A208" s="42" t="str">
        <f>IF($K208="","",201)</f>
        <v/>
      </c>
      <c r="B208" s="43" t="str">
        <f>IF($K208="","",INDEX(AUX!$D$2:$D$361,$K208))</f>
        <v/>
      </c>
      <c r="C208" s="44" t="str">
        <f>IF($K208="","",INDEX(AUX!$E$2:$E$361,$K208))</f>
        <v/>
      </c>
      <c r="D208" s="44" t="str">
        <f>IF($K208="","",INDEX(AUX!$F$2:$F$361,$K208))</f>
        <v/>
      </c>
      <c r="E208" s="42" t="str">
        <f>IF($K208="","",INDEX(AUX!$G$2:$G$361,$K208))</f>
        <v/>
      </c>
      <c r="F208" s="45" t="str">
        <f>IF($K208="","",INDEX(AUX!$H$2:$H$361,$K208))</f>
        <v/>
      </c>
      <c r="G208" s="24" t="str">
        <f>IF($K208="","",INDEX(AUX!$I$2:$I$361,$K208))</f>
        <v/>
      </c>
      <c r="K208" t="str">
        <f>IFERROR(MATCH(201,AUX!$K$2:$K$361,0),"")</f>
        <v/>
      </c>
    </row>
    <row r="209" spans="1:11" x14ac:dyDescent="0.25">
      <c r="A209" s="46" t="str">
        <f>IF($K209="","",202)</f>
        <v/>
      </c>
      <c r="B209" s="47" t="str">
        <f>IF($K209="","",INDEX(AUX!$D$2:$D$361,$K209))</f>
        <v/>
      </c>
      <c r="C209" s="48" t="str">
        <f>IF($K209="","",INDEX(AUX!$E$2:$E$361,$K209))</f>
        <v/>
      </c>
      <c r="D209" s="48" t="str">
        <f>IF($K209="","",INDEX(AUX!$F$2:$F$361,$K209))</f>
        <v/>
      </c>
      <c r="E209" s="46" t="str">
        <f>IF($K209="","",INDEX(AUX!$G$2:$G$361,$K209))</f>
        <v/>
      </c>
      <c r="F209" s="49" t="str">
        <f>IF($K209="","",INDEX(AUX!$H$2:$H$361,$K209))</f>
        <v/>
      </c>
      <c r="G209" s="50" t="str">
        <f>IF($K209="","",INDEX(AUX!$I$2:$I$361,$K209))</f>
        <v/>
      </c>
      <c r="K209" t="str">
        <f>IFERROR(MATCH(202,AUX!$K$2:$K$361,0),"")</f>
        <v/>
      </c>
    </row>
    <row r="210" spans="1:11" x14ac:dyDescent="0.25">
      <c r="A210" s="42" t="str">
        <f>IF($K210="","",203)</f>
        <v/>
      </c>
      <c r="B210" s="43" t="str">
        <f>IF($K210="","",INDEX(AUX!$D$2:$D$361,$K210))</f>
        <v/>
      </c>
      <c r="C210" s="44" t="str">
        <f>IF($K210="","",INDEX(AUX!$E$2:$E$361,$K210))</f>
        <v/>
      </c>
      <c r="D210" s="44" t="str">
        <f>IF($K210="","",INDEX(AUX!$F$2:$F$361,$K210))</f>
        <v/>
      </c>
      <c r="E210" s="42" t="str">
        <f>IF($K210="","",INDEX(AUX!$G$2:$G$361,$K210))</f>
        <v/>
      </c>
      <c r="F210" s="45" t="str">
        <f>IF($K210="","",INDEX(AUX!$H$2:$H$361,$K210))</f>
        <v/>
      </c>
      <c r="G210" s="24" t="str">
        <f>IF($K210="","",INDEX(AUX!$I$2:$I$361,$K210))</f>
        <v/>
      </c>
      <c r="K210" t="str">
        <f>IFERROR(MATCH(203,AUX!$K$2:$K$361,0),"")</f>
        <v/>
      </c>
    </row>
    <row r="211" spans="1:11" x14ac:dyDescent="0.25">
      <c r="A211" s="46" t="str">
        <f>IF($K211="","",204)</f>
        <v/>
      </c>
      <c r="B211" s="47" t="str">
        <f>IF($K211="","",INDEX(AUX!$D$2:$D$361,$K211))</f>
        <v/>
      </c>
      <c r="C211" s="48" t="str">
        <f>IF($K211="","",INDEX(AUX!$E$2:$E$361,$K211))</f>
        <v/>
      </c>
      <c r="D211" s="48" t="str">
        <f>IF($K211="","",INDEX(AUX!$F$2:$F$361,$K211))</f>
        <v/>
      </c>
      <c r="E211" s="46" t="str">
        <f>IF($K211="","",INDEX(AUX!$G$2:$G$361,$K211))</f>
        <v/>
      </c>
      <c r="F211" s="49" t="str">
        <f>IF($K211="","",INDEX(AUX!$H$2:$H$361,$K211))</f>
        <v/>
      </c>
      <c r="G211" s="50" t="str">
        <f>IF($K211="","",INDEX(AUX!$I$2:$I$361,$K211))</f>
        <v/>
      </c>
      <c r="K211" t="str">
        <f>IFERROR(MATCH(204,AUX!$K$2:$K$361,0),"")</f>
        <v/>
      </c>
    </row>
    <row r="212" spans="1:11" x14ac:dyDescent="0.25">
      <c r="A212" s="42" t="str">
        <f>IF($K212="","",205)</f>
        <v/>
      </c>
      <c r="B212" s="43" t="str">
        <f>IF($K212="","",INDEX(AUX!$D$2:$D$361,$K212))</f>
        <v/>
      </c>
      <c r="C212" s="44" t="str">
        <f>IF($K212="","",INDEX(AUX!$E$2:$E$361,$K212))</f>
        <v/>
      </c>
      <c r="D212" s="44" t="str">
        <f>IF($K212="","",INDEX(AUX!$F$2:$F$361,$K212))</f>
        <v/>
      </c>
      <c r="E212" s="42" t="str">
        <f>IF($K212="","",INDEX(AUX!$G$2:$G$361,$K212))</f>
        <v/>
      </c>
      <c r="F212" s="45" t="str">
        <f>IF($K212="","",INDEX(AUX!$H$2:$H$361,$K212))</f>
        <v/>
      </c>
      <c r="G212" s="24" t="str">
        <f>IF($K212="","",INDEX(AUX!$I$2:$I$361,$K212))</f>
        <v/>
      </c>
      <c r="K212" t="str">
        <f>IFERROR(MATCH(205,AUX!$K$2:$K$361,0),"")</f>
        <v/>
      </c>
    </row>
    <row r="213" spans="1:11" x14ac:dyDescent="0.25">
      <c r="A213" s="46" t="str">
        <f>IF($K213="","",206)</f>
        <v/>
      </c>
      <c r="B213" s="47" t="str">
        <f>IF($K213="","",INDEX(AUX!$D$2:$D$361,$K213))</f>
        <v/>
      </c>
      <c r="C213" s="48" t="str">
        <f>IF($K213="","",INDEX(AUX!$E$2:$E$361,$K213))</f>
        <v/>
      </c>
      <c r="D213" s="48" t="str">
        <f>IF($K213="","",INDEX(AUX!$F$2:$F$361,$K213))</f>
        <v/>
      </c>
      <c r="E213" s="46" t="str">
        <f>IF($K213="","",INDEX(AUX!$G$2:$G$361,$K213))</f>
        <v/>
      </c>
      <c r="F213" s="49" t="str">
        <f>IF($K213="","",INDEX(AUX!$H$2:$H$361,$K213))</f>
        <v/>
      </c>
      <c r="G213" s="50" t="str">
        <f>IF($K213="","",INDEX(AUX!$I$2:$I$361,$K213))</f>
        <v/>
      </c>
      <c r="K213" t="str">
        <f>IFERROR(MATCH(206,AUX!$K$2:$K$361,0),"")</f>
        <v/>
      </c>
    </row>
    <row r="214" spans="1:11" x14ac:dyDescent="0.25">
      <c r="A214" s="42" t="str">
        <f>IF($K214="","",207)</f>
        <v/>
      </c>
      <c r="B214" s="43" t="str">
        <f>IF($K214="","",INDEX(AUX!$D$2:$D$361,$K214))</f>
        <v/>
      </c>
      <c r="C214" s="44" t="str">
        <f>IF($K214="","",INDEX(AUX!$E$2:$E$361,$K214))</f>
        <v/>
      </c>
      <c r="D214" s="44" t="str">
        <f>IF($K214="","",INDEX(AUX!$F$2:$F$361,$K214))</f>
        <v/>
      </c>
      <c r="E214" s="42" t="str">
        <f>IF($K214="","",INDEX(AUX!$G$2:$G$361,$K214))</f>
        <v/>
      </c>
      <c r="F214" s="45" t="str">
        <f>IF($K214="","",INDEX(AUX!$H$2:$H$361,$K214))</f>
        <v/>
      </c>
      <c r="G214" s="24" t="str">
        <f>IF($K214="","",INDEX(AUX!$I$2:$I$361,$K214))</f>
        <v/>
      </c>
      <c r="K214" t="str">
        <f>IFERROR(MATCH(207,AUX!$K$2:$K$361,0),"")</f>
        <v/>
      </c>
    </row>
    <row r="215" spans="1:11" x14ac:dyDescent="0.25">
      <c r="A215" s="46" t="str">
        <f>IF($K215="","",208)</f>
        <v/>
      </c>
      <c r="B215" s="47" t="str">
        <f>IF($K215="","",INDEX(AUX!$D$2:$D$361,$K215))</f>
        <v/>
      </c>
      <c r="C215" s="48" t="str">
        <f>IF($K215="","",INDEX(AUX!$E$2:$E$361,$K215))</f>
        <v/>
      </c>
      <c r="D215" s="48" t="str">
        <f>IF($K215="","",INDEX(AUX!$F$2:$F$361,$K215))</f>
        <v/>
      </c>
      <c r="E215" s="46" t="str">
        <f>IF($K215="","",INDEX(AUX!$G$2:$G$361,$K215))</f>
        <v/>
      </c>
      <c r="F215" s="49" t="str">
        <f>IF($K215="","",INDEX(AUX!$H$2:$H$361,$K215))</f>
        <v/>
      </c>
      <c r="G215" s="50" t="str">
        <f>IF($K215="","",INDEX(AUX!$I$2:$I$361,$K215))</f>
        <v/>
      </c>
      <c r="K215" t="str">
        <f>IFERROR(MATCH(208,AUX!$K$2:$K$361,0),"")</f>
        <v/>
      </c>
    </row>
    <row r="216" spans="1:11" x14ac:dyDescent="0.25">
      <c r="A216" s="42" t="str">
        <f>IF($K216="","",209)</f>
        <v/>
      </c>
      <c r="B216" s="43" t="str">
        <f>IF($K216="","",INDEX(AUX!$D$2:$D$361,$K216))</f>
        <v/>
      </c>
      <c r="C216" s="44" t="str">
        <f>IF($K216="","",INDEX(AUX!$E$2:$E$361,$K216))</f>
        <v/>
      </c>
      <c r="D216" s="44" t="str">
        <f>IF($K216="","",INDEX(AUX!$F$2:$F$361,$K216))</f>
        <v/>
      </c>
      <c r="E216" s="42" t="str">
        <f>IF($K216="","",INDEX(AUX!$G$2:$G$361,$K216))</f>
        <v/>
      </c>
      <c r="F216" s="45" t="str">
        <f>IF($K216="","",INDEX(AUX!$H$2:$H$361,$K216))</f>
        <v/>
      </c>
      <c r="G216" s="24" t="str">
        <f>IF($K216="","",INDEX(AUX!$I$2:$I$361,$K216))</f>
        <v/>
      </c>
      <c r="K216" t="str">
        <f>IFERROR(MATCH(209,AUX!$K$2:$K$361,0),"")</f>
        <v/>
      </c>
    </row>
    <row r="217" spans="1:11" x14ac:dyDescent="0.25">
      <c r="A217" s="46" t="str">
        <f>IF($K217="","",210)</f>
        <v/>
      </c>
      <c r="B217" s="47" t="str">
        <f>IF($K217="","",INDEX(AUX!$D$2:$D$361,$K217))</f>
        <v/>
      </c>
      <c r="C217" s="48" t="str">
        <f>IF($K217="","",INDEX(AUX!$E$2:$E$361,$K217))</f>
        <v/>
      </c>
      <c r="D217" s="48" t="str">
        <f>IF($K217="","",INDEX(AUX!$F$2:$F$361,$K217))</f>
        <v/>
      </c>
      <c r="E217" s="46" t="str">
        <f>IF($K217="","",INDEX(AUX!$G$2:$G$361,$K217))</f>
        <v/>
      </c>
      <c r="F217" s="49" t="str">
        <f>IF($K217="","",INDEX(AUX!$H$2:$H$361,$K217))</f>
        <v/>
      </c>
      <c r="G217" s="50" t="str">
        <f>IF($K217="","",INDEX(AUX!$I$2:$I$361,$K217))</f>
        <v/>
      </c>
      <c r="K217" t="str">
        <f>IFERROR(MATCH(210,AUX!$K$2:$K$361,0),"")</f>
        <v/>
      </c>
    </row>
    <row r="218" spans="1:11" x14ac:dyDescent="0.25">
      <c r="A218" s="42" t="str">
        <f>IF($K218="","",211)</f>
        <v/>
      </c>
      <c r="B218" s="43" t="str">
        <f>IF($K218="","",INDEX(AUX!$D$2:$D$361,$K218))</f>
        <v/>
      </c>
      <c r="C218" s="44" t="str">
        <f>IF($K218="","",INDEX(AUX!$E$2:$E$361,$K218))</f>
        <v/>
      </c>
      <c r="D218" s="44" t="str">
        <f>IF($K218="","",INDEX(AUX!$F$2:$F$361,$K218))</f>
        <v/>
      </c>
      <c r="E218" s="42" t="str">
        <f>IF($K218="","",INDEX(AUX!$G$2:$G$361,$K218))</f>
        <v/>
      </c>
      <c r="F218" s="45" t="str">
        <f>IF($K218="","",INDEX(AUX!$H$2:$H$361,$K218))</f>
        <v/>
      </c>
      <c r="G218" s="24" t="str">
        <f>IF($K218="","",INDEX(AUX!$I$2:$I$361,$K218))</f>
        <v/>
      </c>
      <c r="K218" t="str">
        <f>IFERROR(MATCH(211,AUX!$K$2:$K$361,0),"")</f>
        <v/>
      </c>
    </row>
    <row r="219" spans="1:11" x14ac:dyDescent="0.25">
      <c r="A219" s="46" t="str">
        <f>IF($K219="","",212)</f>
        <v/>
      </c>
      <c r="B219" s="47" t="str">
        <f>IF($K219="","",INDEX(AUX!$D$2:$D$361,$K219))</f>
        <v/>
      </c>
      <c r="C219" s="48" t="str">
        <f>IF($K219="","",INDEX(AUX!$E$2:$E$361,$K219))</f>
        <v/>
      </c>
      <c r="D219" s="48" t="str">
        <f>IF($K219="","",INDEX(AUX!$F$2:$F$361,$K219))</f>
        <v/>
      </c>
      <c r="E219" s="46" t="str">
        <f>IF($K219="","",INDEX(AUX!$G$2:$G$361,$K219))</f>
        <v/>
      </c>
      <c r="F219" s="49" t="str">
        <f>IF($K219="","",INDEX(AUX!$H$2:$H$361,$K219))</f>
        <v/>
      </c>
      <c r="G219" s="50" t="str">
        <f>IF($K219="","",INDEX(AUX!$I$2:$I$361,$K219))</f>
        <v/>
      </c>
      <c r="K219" t="str">
        <f>IFERROR(MATCH(212,AUX!$K$2:$K$361,0),"")</f>
        <v/>
      </c>
    </row>
    <row r="220" spans="1:11" x14ac:dyDescent="0.25">
      <c r="A220" s="42" t="str">
        <f>IF($K220="","",213)</f>
        <v/>
      </c>
      <c r="B220" s="43" t="str">
        <f>IF($K220="","",INDEX(AUX!$D$2:$D$361,$K220))</f>
        <v/>
      </c>
      <c r="C220" s="44" t="str">
        <f>IF($K220="","",INDEX(AUX!$E$2:$E$361,$K220))</f>
        <v/>
      </c>
      <c r="D220" s="44" t="str">
        <f>IF($K220="","",INDEX(AUX!$F$2:$F$361,$K220))</f>
        <v/>
      </c>
      <c r="E220" s="42" t="str">
        <f>IF($K220="","",INDEX(AUX!$G$2:$G$361,$K220))</f>
        <v/>
      </c>
      <c r="F220" s="45" t="str">
        <f>IF($K220="","",INDEX(AUX!$H$2:$H$361,$K220))</f>
        <v/>
      </c>
      <c r="G220" s="24" t="str">
        <f>IF($K220="","",INDEX(AUX!$I$2:$I$361,$K220))</f>
        <v/>
      </c>
      <c r="K220" t="str">
        <f>IFERROR(MATCH(213,AUX!$K$2:$K$361,0),"")</f>
        <v/>
      </c>
    </row>
    <row r="221" spans="1:11" x14ac:dyDescent="0.25">
      <c r="A221" s="46" t="str">
        <f>IF($K221="","",214)</f>
        <v/>
      </c>
      <c r="B221" s="47" t="str">
        <f>IF($K221="","",INDEX(AUX!$D$2:$D$361,$K221))</f>
        <v/>
      </c>
      <c r="C221" s="48" t="str">
        <f>IF($K221="","",INDEX(AUX!$E$2:$E$361,$K221))</f>
        <v/>
      </c>
      <c r="D221" s="48" t="str">
        <f>IF($K221="","",INDEX(AUX!$F$2:$F$361,$K221))</f>
        <v/>
      </c>
      <c r="E221" s="46" t="str">
        <f>IF($K221="","",INDEX(AUX!$G$2:$G$361,$K221))</f>
        <v/>
      </c>
      <c r="F221" s="49" t="str">
        <f>IF($K221="","",INDEX(AUX!$H$2:$H$361,$K221))</f>
        <v/>
      </c>
      <c r="G221" s="50" t="str">
        <f>IF($K221="","",INDEX(AUX!$I$2:$I$361,$K221))</f>
        <v/>
      </c>
      <c r="K221" t="str">
        <f>IFERROR(MATCH(214,AUX!$K$2:$K$361,0),"")</f>
        <v/>
      </c>
    </row>
    <row r="222" spans="1:11" x14ac:dyDescent="0.25">
      <c r="A222" s="42" t="str">
        <f>IF($K222="","",215)</f>
        <v/>
      </c>
      <c r="B222" s="43" t="str">
        <f>IF($K222="","",INDEX(AUX!$D$2:$D$361,$K222))</f>
        <v/>
      </c>
      <c r="C222" s="44" t="str">
        <f>IF($K222="","",INDEX(AUX!$E$2:$E$361,$K222))</f>
        <v/>
      </c>
      <c r="D222" s="44" t="str">
        <f>IF($K222="","",INDEX(AUX!$F$2:$F$361,$K222))</f>
        <v/>
      </c>
      <c r="E222" s="42" t="str">
        <f>IF($K222="","",INDEX(AUX!$G$2:$G$361,$K222))</f>
        <v/>
      </c>
      <c r="F222" s="45" t="str">
        <f>IF($K222="","",INDEX(AUX!$H$2:$H$361,$K222))</f>
        <v/>
      </c>
      <c r="G222" s="24" t="str">
        <f>IF($K222="","",INDEX(AUX!$I$2:$I$361,$K222))</f>
        <v/>
      </c>
      <c r="K222" t="str">
        <f>IFERROR(MATCH(215,AUX!$K$2:$K$361,0),"")</f>
        <v/>
      </c>
    </row>
    <row r="223" spans="1:11" x14ac:dyDescent="0.25">
      <c r="A223" s="46" t="str">
        <f>IF($K223="","",216)</f>
        <v/>
      </c>
      <c r="B223" s="47" t="str">
        <f>IF($K223="","",INDEX(AUX!$D$2:$D$361,$K223))</f>
        <v/>
      </c>
      <c r="C223" s="48" t="str">
        <f>IF($K223="","",INDEX(AUX!$E$2:$E$361,$K223))</f>
        <v/>
      </c>
      <c r="D223" s="48" t="str">
        <f>IF($K223="","",INDEX(AUX!$F$2:$F$361,$K223))</f>
        <v/>
      </c>
      <c r="E223" s="46" t="str">
        <f>IF($K223="","",INDEX(AUX!$G$2:$G$361,$K223))</f>
        <v/>
      </c>
      <c r="F223" s="49" t="str">
        <f>IF($K223="","",INDEX(AUX!$H$2:$H$361,$K223))</f>
        <v/>
      </c>
      <c r="G223" s="50" t="str">
        <f>IF($K223="","",INDEX(AUX!$I$2:$I$361,$K223))</f>
        <v/>
      </c>
      <c r="K223" t="str">
        <f>IFERROR(MATCH(216,AUX!$K$2:$K$361,0),"")</f>
        <v/>
      </c>
    </row>
    <row r="224" spans="1:11" x14ac:dyDescent="0.25">
      <c r="A224" s="42" t="str">
        <f>IF($K224="","",217)</f>
        <v/>
      </c>
      <c r="B224" s="43" t="str">
        <f>IF($K224="","",INDEX(AUX!$D$2:$D$361,$K224))</f>
        <v/>
      </c>
      <c r="C224" s="44" t="str">
        <f>IF($K224="","",INDEX(AUX!$E$2:$E$361,$K224))</f>
        <v/>
      </c>
      <c r="D224" s="44" t="str">
        <f>IF($K224="","",INDEX(AUX!$F$2:$F$361,$K224))</f>
        <v/>
      </c>
      <c r="E224" s="42" t="str">
        <f>IF($K224="","",INDEX(AUX!$G$2:$G$361,$K224))</f>
        <v/>
      </c>
      <c r="F224" s="45" t="str">
        <f>IF($K224="","",INDEX(AUX!$H$2:$H$361,$K224))</f>
        <v/>
      </c>
      <c r="G224" s="24" t="str">
        <f>IF($K224="","",INDEX(AUX!$I$2:$I$361,$K224))</f>
        <v/>
      </c>
      <c r="K224" t="str">
        <f>IFERROR(MATCH(217,AUX!$K$2:$K$361,0),"")</f>
        <v/>
      </c>
    </row>
    <row r="225" spans="1:11" x14ac:dyDescent="0.25">
      <c r="A225" s="46" t="str">
        <f>IF($K225="","",218)</f>
        <v/>
      </c>
      <c r="B225" s="47" t="str">
        <f>IF($K225="","",INDEX(AUX!$D$2:$D$361,$K225))</f>
        <v/>
      </c>
      <c r="C225" s="48" t="str">
        <f>IF($K225="","",INDEX(AUX!$E$2:$E$361,$K225))</f>
        <v/>
      </c>
      <c r="D225" s="48" t="str">
        <f>IF($K225="","",INDEX(AUX!$F$2:$F$361,$K225))</f>
        <v/>
      </c>
      <c r="E225" s="46" t="str">
        <f>IF($K225="","",INDEX(AUX!$G$2:$G$361,$K225))</f>
        <v/>
      </c>
      <c r="F225" s="49" t="str">
        <f>IF($K225="","",INDEX(AUX!$H$2:$H$361,$K225))</f>
        <v/>
      </c>
      <c r="G225" s="50" t="str">
        <f>IF($K225="","",INDEX(AUX!$I$2:$I$361,$K225))</f>
        <v/>
      </c>
      <c r="K225" t="str">
        <f>IFERROR(MATCH(218,AUX!$K$2:$K$361,0),"")</f>
        <v/>
      </c>
    </row>
    <row r="226" spans="1:11" x14ac:dyDescent="0.25">
      <c r="A226" s="42" t="str">
        <f>IF($K226="","",219)</f>
        <v/>
      </c>
      <c r="B226" s="43" t="str">
        <f>IF($K226="","",INDEX(AUX!$D$2:$D$361,$K226))</f>
        <v/>
      </c>
      <c r="C226" s="44" t="str">
        <f>IF($K226="","",INDEX(AUX!$E$2:$E$361,$K226))</f>
        <v/>
      </c>
      <c r="D226" s="44" t="str">
        <f>IF($K226="","",INDEX(AUX!$F$2:$F$361,$K226))</f>
        <v/>
      </c>
      <c r="E226" s="42" t="str">
        <f>IF($K226="","",INDEX(AUX!$G$2:$G$361,$K226))</f>
        <v/>
      </c>
      <c r="F226" s="45" t="str">
        <f>IF($K226="","",INDEX(AUX!$H$2:$H$361,$K226))</f>
        <v/>
      </c>
      <c r="G226" s="24" t="str">
        <f>IF($K226="","",INDEX(AUX!$I$2:$I$361,$K226))</f>
        <v/>
      </c>
      <c r="K226" t="str">
        <f>IFERROR(MATCH(219,AUX!$K$2:$K$361,0),"")</f>
        <v/>
      </c>
    </row>
    <row r="227" spans="1:11" x14ac:dyDescent="0.25">
      <c r="A227" s="46" t="str">
        <f>IF($K227="","",220)</f>
        <v/>
      </c>
      <c r="B227" s="47" t="str">
        <f>IF($K227="","",INDEX(AUX!$D$2:$D$361,$K227))</f>
        <v/>
      </c>
      <c r="C227" s="48" t="str">
        <f>IF($K227="","",INDEX(AUX!$E$2:$E$361,$K227))</f>
        <v/>
      </c>
      <c r="D227" s="48" t="str">
        <f>IF($K227="","",INDEX(AUX!$F$2:$F$361,$K227))</f>
        <v/>
      </c>
      <c r="E227" s="46" t="str">
        <f>IF($K227="","",INDEX(AUX!$G$2:$G$361,$K227))</f>
        <v/>
      </c>
      <c r="F227" s="49" t="str">
        <f>IF($K227="","",INDEX(AUX!$H$2:$H$361,$K227))</f>
        <v/>
      </c>
      <c r="G227" s="50" t="str">
        <f>IF($K227="","",INDEX(AUX!$I$2:$I$361,$K227))</f>
        <v/>
      </c>
      <c r="K227" t="str">
        <f>IFERROR(MATCH(220,AUX!$K$2:$K$361,0),"")</f>
        <v/>
      </c>
    </row>
    <row r="228" spans="1:11" x14ac:dyDescent="0.25">
      <c r="A228" s="42" t="str">
        <f>IF($K228="","",221)</f>
        <v/>
      </c>
      <c r="B228" s="43" t="str">
        <f>IF($K228="","",INDEX(AUX!$D$2:$D$361,$K228))</f>
        <v/>
      </c>
      <c r="C228" s="44" t="str">
        <f>IF($K228="","",INDEX(AUX!$E$2:$E$361,$K228))</f>
        <v/>
      </c>
      <c r="D228" s="44" t="str">
        <f>IF($K228="","",INDEX(AUX!$F$2:$F$361,$K228))</f>
        <v/>
      </c>
      <c r="E228" s="42" t="str">
        <f>IF($K228="","",INDEX(AUX!$G$2:$G$361,$K228))</f>
        <v/>
      </c>
      <c r="F228" s="45" t="str">
        <f>IF($K228="","",INDEX(AUX!$H$2:$H$361,$K228))</f>
        <v/>
      </c>
      <c r="G228" s="24" t="str">
        <f>IF($K228="","",INDEX(AUX!$I$2:$I$361,$K228))</f>
        <v/>
      </c>
      <c r="K228" t="str">
        <f>IFERROR(MATCH(221,AUX!$K$2:$K$361,0),"")</f>
        <v/>
      </c>
    </row>
    <row r="229" spans="1:11" x14ac:dyDescent="0.25">
      <c r="A229" s="46" t="str">
        <f>IF($K229="","",222)</f>
        <v/>
      </c>
      <c r="B229" s="47" t="str">
        <f>IF($K229="","",INDEX(AUX!$D$2:$D$361,$K229))</f>
        <v/>
      </c>
      <c r="C229" s="48" t="str">
        <f>IF($K229="","",INDEX(AUX!$E$2:$E$361,$K229))</f>
        <v/>
      </c>
      <c r="D229" s="48" t="str">
        <f>IF($K229="","",INDEX(AUX!$F$2:$F$361,$K229))</f>
        <v/>
      </c>
      <c r="E229" s="46" t="str">
        <f>IF($K229="","",INDEX(AUX!$G$2:$G$361,$K229))</f>
        <v/>
      </c>
      <c r="F229" s="49" t="str">
        <f>IF($K229="","",INDEX(AUX!$H$2:$H$361,$K229))</f>
        <v/>
      </c>
      <c r="G229" s="50" t="str">
        <f>IF($K229="","",INDEX(AUX!$I$2:$I$361,$K229))</f>
        <v/>
      </c>
      <c r="K229" t="str">
        <f>IFERROR(MATCH(222,AUX!$K$2:$K$361,0),"")</f>
        <v/>
      </c>
    </row>
    <row r="230" spans="1:11" x14ac:dyDescent="0.25">
      <c r="A230" s="42" t="str">
        <f>IF($K230="","",223)</f>
        <v/>
      </c>
      <c r="B230" s="43" t="str">
        <f>IF($K230="","",INDEX(AUX!$D$2:$D$361,$K230))</f>
        <v/>
      </c>
      <c r="C230" s="44" t="str">
        <f>IF($K230="","",INDEX(AUX!$E$2:$E$361,$K230))</f>
        <v/>
      </c>
      <c r="D230" s="44" t="str">
        <f>IF($K230="","",INDEX(AUX!$F$2:$F$361,$K230))</f>
        <v/>
      </c>
      <c r="E230" s="42" t="str">
        <f>IF($K230="","",INDEX(AUX!$G$2:$G$361,$K230))</f>
        <v/>
      </c>
      <c r="F230" s="45" t="str">
        <f>IF($K230="","",INDEX(AUX!$H$2:$H$361,$K230))</f>
        <v/>
      </c>
      <c r="G230" s="24" t="str">
        <f>IF($K230="","",INDEX(AUX!$I$2:$I$361,$K230))</f>
        <v/>
      </c>
      <c r="K230" t="str">
        <f>IFERROR(MATCH(223,AUX!$K$2:$K$361,0),"")</f>
        <v/>
      </c>
    </row>
    <row r="231" spans="1:11" x14ac:dyDescent="0.25">
      <c r="A231" s="46" t="str">
        <f>IF($K231="","",224)</f>
        <v/>
      </c>
      <c r="B231" s="47" t="str">
        <f>IF($K231="","",INDEX(AUX!$D$2:$D$361,$K231))</f>
        <v/>
      </c>
      <c r="C231" s="48" t="str">
        <f>IF($K231="","",INDEX(AUX!$E$2:$E$361,$K231))</f>
        <v/>
      </c>
      <c r="D231" s="48" t="str">
        <f>IF($K231="","",INDEX(AUX!$F$2:$F$361,$K231))</f>
        <v/>
      </c>
      <c r="E231" s="46" t="str">
        <f>IF($K231="","",INDEX(AUX!$G$2:$G$361,$K231))</f>
        <v/>
      </c>
      <c r="F231" s="49" t="str">
        <f>IF($K231="","",INDEX(AUX!$H$2:$H$361,$K231))</f>
        <v/>
      </c>
      <c r="G231" s="50" t="str">
        <f>IF($K231="","",INDEX(AUX!$I$2:$I$361,$K231))</f>
        <v/>
      </c>
      <c r="K231" t="str">
        <f>IFERROR(MATCH(224,AUX!$K$2:$K$361,0),"")</f>
        <v/>
      </c>
    </row>
    <row r="232" spans="1:11" x14ac:dyDescent="0.25">
      <c r="A232" s="42" t="str">
        <f>IF($K232="","",225)</f>
        <v/>
      </c>
      <c r="B232" s="43" t="str">
        <f>IF($K232="","",INDEX(AUX!$D$2:$D$361,$K232))</f>
        <v/>
      </c>
      <c r="C232" s="44" t="str">
        <f>IF($K232="","",INDEX(AUX!$E$2:$E$361,$K232))</f>
        <v/>
      </c>
      <c r="D232" s="44" t="str">
        <f>IF($K232="","",INDEX(AUX!$F$2:$F$361,$K232))</f>
        <v/>
      </c>
      <c r="E232" s="42" t="str">
        <f>IF($K232="","",INDEX(AUX!$G$2:$G$361,$K232))</f>
        <v/>
      </c>
      <c r="F232" s="45" t="str">
        <f>IF($K232="","",INDEX(AUX!$H$2:$H$361,$K232))</f>
        <v/>
      </c>
      <c r="G232" s="24" t="str">
        <f>IF($K232="","",INDEX(AUX!$I$2:$I$361,$K232))</f>
        <v/>
      </c>
      <c r="K232" t="str">
        <f>IFERROR(MATCH(225,AUX!$K$2:$K$361,0),"")</f>
        <v/>
      </c>
    </row>
    <row r="233" spans="1:11" x14ac:dyDescent="0.25">
      <c r="A233" s="46" t="str">
        <f>IF($K233="","",226)</f>
        <v/>
      </c>
      <c r="B233" s="47" t="str">
        <f>IF($K233="","",INDEX(AUX!$D$2:$D$361,$K233))</f>
        <v/>
      </c>
      <c r="C233" s="48" t="str">
        <f>IF($K233="","",INDEX(AUX!$E$2:$E$361,$K233))</f>
        <v/>
      </c>
      <c r="D233" s="48" t="str">
        <f>IF($K233="","",INDEX(AUX!$F$2:$F$361,$K233))</f>
        <v/>
      </c>
      <c r="E233" s="46" t="str">
        <f>IF($K233="","",INDEX(AUX!$G$2:$G$361,$K233))</f>
        <v/>
      </c>
      <c r="F233" s="49" t="str">
        <f>IF($K233="","",INDEX(AUX!$H$2:$H$361,$K233))</f>
        <v/>
      </c>
      <c r="G233" s="50" t="str">
        <f>IF($K233="","",INDEX(AUX!$I$2:$I$361,$K233))</f>
        <v/>
      </c>
      <c r="K233" t="str">
        <f>IFERROR(MATCH(226,AUX!$K$2:$K$361,0),"")</f>
        <v/>
      </c>
    </row>
    <row r="234" spans="1:11" x14ac:dyDescent="0.25">
      <c r="A234" s="42" t="str">
        <f>IF($K234="","",227)</f>
        <v/>
      </c>
      <c r="B234" s="43" t="str">
        <f>IF($K234="","",INDEX(AUX!$D$2:$D$361,$K234))</f>
        <v/>
      </c>
      <c r="C234" s="44" t="str">
        <f>IF($K234="","",INDEX(AUX!$E$2:$E$361,$K234))</f>
        <v/>
      </c>
      <c r="D234" s="44" t="str">
        <f>IF($K234="","",INDEX(AUX!$F$2:$F$361,$K234))</f>
        <v/>
      </c>
      <c r="E234" s="42" t="str">
        <f>IF($K234="","",INDEX(AUX!$G$2:$G$361,$K234))</f>
        <v/>
      </c>
      <c r="F234" s="45" t="str">
        <f>IF($K234="","",INDEX(AUX!$H$2:$H$361,$K234))</f>
        <v/>
      </c>
      <c r="G234" s="24" t="str">
        <f>IF($K234="","",INDEX(AUX!$I$2:$I$361,$K234))</f>
        <v/>
      </c>
      <c r="K234" t="str">
        <f>IFERROR(MATCH(227,AUX!$K$2:$K$361,0),"")</f>
        <v/>
      </c>
    </row>
    <row r="235" spans="1:11" x14ac:dyDescent="0.25">
      <c r="A235" s="46" t="str">
        <f>IF($K235="","",228)</f>
        <v/>
      </c>
      <c r="B235" s="47" t="str">
        <f>IF($K235="","",INDEX(AUX!$D$2:$D$361,$K235))</f>
        <v/>
      </c>
      <c r="C235" s="48" t="str">
        <f>IF($K235="","",INDEX(AUX!$E$2:$E$361,$K235))</f>
        <v/>
      </c>
      <c r="D235" s="48" t="str">
        <f>IF($K235="","",INDEX(AUX!$F$2:$F$361,$K235))</f>
        <v/>
      </c>
      <c r="E235" s="46" t="str">
        <f>IF($K235="","",INDEX(AUX!$G$2:$G$361,$K235))</f>
        <v/>
      </c>
      <c r="F235" s="49" t="str">
        <f>IF($K235="","",INDEX(AUX!$H$2:$H$361,$K235))</f>
        <v/>
      </c>
      <c r="G235" s="50" t="str">
        <f>IF($K235="","",INDEX(AUX!$I$2:$I$361,$K235))</f>
        <v/>
      </c>
      <c r="K235" t="str">
        <f>IFERROR(MATCH(228,AUX!$K$2:$K$361,0),"")</f>
        <v/>
      </c>
    </row>
    <row r="236" spans="1:11" x14ac:dyDescent="0.25">
      <c r="A236" s="42" t="str">
        <f>IF($K236="","",229)</f>
        <v/>
      </c>
      <c r="B236" s="43" t="str">
        <f>IF($K236="","",INDEX(AUX!$D$2:$D$361,$K236))</f>
        <v/>
      </c>
      <c r="C236" s="44" t="str">
        <f>IF($K236="","",INDEX(AUX!$E$2:$E$361,$K236))</f>
        <v/>
      </c>
      <c r="D236" s="44" t="str">
        <f>IF($K236="","",INDEX(AUX!$F$2:$F$361,$K236))</f>
        <v/>
      </c>
      <c r="E236" s="42" t="str">
        <f>IF($K236="","",INDEX(AUX!$G$2:$G$361,$K236))</f>
        <v/>
      </c>
      <c r="F236" s="45" t="str">
        <f>IF($K236="","",INDEX(AUX!$H$2:$H$361,$K236))</f>
        <v/>
      </c>
      <c r="G236" s="24" t="str">
        <f>IF($K236="","",INDEX(AUX!$I$2:$I$361,$K236))</f>
        <v/>
      </c>
      <c r="K236" t="str">
        <f>IFERROR(MATCH(229,AUX!$K$2:$K$361,0),"")</f>
        <v/>
      </c>
    </row>
    <row r="237" spans="1:11" x14ac:dyDescent="0.25">
      <c r="A237" s="46" t="str">
        <f>IF($K237="","",230)</f>
        <v/>
      </c>
      <c r="B237" s="47" t="str">
        <f>IF($K237="","",INDEX(AUX!$D$2:$D$361,$K237))</f>
        <v/>
      </c>
      <c r="C237" s="48" t="str">
        <f>IF($K237="","",INDEX(AUX!$E$2:$E$361,$K237))</f>
        <v/>
      </c>
      <c r="D237" s="48" t="str">
        <f>IF($K237="","",INDEX(AUX!$F$2:$F$361,$K237))</f>
        <v/>
      </c>
      <c r="E237" s="46" t="str">
        <f>IF($K237="","",INDEX(AUX!$G$2:$G$361,$K237))</f>
        <v/>
      </c>
      <c r="F237" s="49" t="str">
        <f>IF($K237="","",INDEX(AUX!$H$2:$H$361,$K237))</f>
        <v/>
      </c>
      <c r="G237" s="50" t="str">
        <f>IF($K237="","",INDEX(AUX!$I$2:$I$361,$K237))</f>
        <v/>
      </c>
      <c r="K237" t="str">
        <f>IFERROR(MATCH(230,AUX!$K$2:$K$361,0),"")</f>
        <v/>
      </c>
    </row>
    <row r="238" spans="1:11" x14ac:dyDescent="0.25">
      <c r="A238" s="42" t="str">
        <f>IF($K238="","",231)</f>
        <v/>
      </c>
      <c r="B238" s="43" t="str">
        <f>IF($K238="","",INDEX(AUX!$D$2:$D$361,$K238))</f>
        <v/>
      </c>
      <c r="C238" s="44" t="str">
        <f>IF($K238="","",INDEX(AUX!$E$2:$E$361,$K238))</f>
        <v/>
      </c>
      <c r="D238" s="44" t="str">
        <f>IF($K238="","",INDEX(AUX!$F$2:$F$361,$K238))</f>
        <v/>
      </c>
      <c r="E238" s="42" t="str">
        <f>IF($K238="","",INDEX(AUX!$G$2:$G$361,$K238))</f>
        <v/>
      </c>
      <c r="F238" s="45" t="str">
        <f>IF($K238="","",INDEX(AUX!$H$2:$H$361,$K238))</f>
        <v/>
      </c>
      <c r="G238" s="24" t="str">
        <f>IF($K238="","",INDEX(AUX!$I$2:$I$361,$K238))</f>
        <v/>
      </c>
      <c r="K238" t="str">
        <f>IFERROR(MATCH(231,AUX!$K$2:$K$361,0),"")</f>
        <v/>
      </c>
    </row>
    <row r="239" spans="1:11" x14ac:dyDescent="0.25">
      <c r="A239" s="46" t="str">
        <f>IF($K239="","",232)</f>
        <v/>
      </c>
      <c r="B239" s="47" t="str">
        <f>IF($K239="","",INDEX(AUX!$D$2:$D$361,$K239))</f>
        <v/>
      </c>
      <c r="C239" s="48" t="str">
        <f>IF($K239="","",INDEX(AUX!$E$2:$E$361,$K239))</f>
        <v/>
      </c>
      <c r="D239" s="48" t="str">
        <f>IF($K239="","",INDEX(AUX!$F$2:$F$361,$K239))</f>
        <v/>
      </c>
      <c r="E239" s="46" t="str">
        <f>IF($K239="","",INDEX(AUX!$G$2:$G$361,$K239))</f>
        <v/>
      </c>
      <c r="F239" s="49" t="str">
        <f>IF($K239="","",INDEX(AUX!$H$2:$H$361,$K239))</f>
        <v/>
      </c>
      <c r="G239" s="50" t="str">
        <f>IF($K239="","",INDEX(AUX!$I$2:$I$361,$K239))</f>
        <v/>
      </c>
      <c r="K239" t="str">
        <f>IFERROR(MATCH(232,AUX!$K$2:$K$361,0),"")</f>
        <v/>
      </c>
    </row>
    <row r="240" spans="1:11" x14ac:dyDescent="0.25">
      <c r="A240" s="42" t="str">
        <f>IF($K240="","",233)</f>
        <v/>
      </c>
      <c r="B240" s="43" t="str">
        <f>IF($K240="","",INDEX(AUX!$D$2:$D$361,$K240))</f>
        <v/>
      </c>
      <c r="C240" s="44" t="str">
        <f>IF($K240="","",INDEX(AUX!$E$2:$E$361,$K240))</f>
        <v/>
      </c>
      <c r="D240" s="44" t="str">
        <f>IF($K240="","",INDEX(AUX!$F$2:$F$361,$K240))</f>
        <v/>
      </c>
      <c r="E240" s="42" t="str">
        <f>IF($K240="","",INDEX(AUX!$G$2:$G$361,$K240))</f>
        <v/>
      </c>
      <c r="F240" s="45" t="str">
        <f>IF($K240="","",INDEX(AUX!$H$2:$H$361,$K240))</f>
        <v/>
      </c>
      <c r="G240" s="24" t="str">
        <f>IF($K240="","",INDEX(AUX!$I$2:$I$361,$K240))</f>
        <v/>
      </c>
      <c r="K240" t="str">
        <f>IFERROR(MATCH(233,AUX!$K$2:$K$361,0),"")</f>
        <v/>
      </c>
    </row>
    <row r="241" spans="1:11" x14ac:dyDescent="0.25">
      <c r="A241" s="46" t="str">
        <f>IF($K241="","",234)</f>
        <v/>
      </c>
      <c r="B241" s="47" t="str">
        <f>IF($K241="","",INDEX(AUX!$D$2:$D$361,$K241))</f>
        <v/>
      </c>
      <c r="C241" s="48" t="str">
        <f>IF($K241="","",INDEX(AUX!$E$2:$E$361,$K241))</f>
        <v/>
      </c>
      <c r="D241" s="48" t="str">
        <f>IF($K241="","",INDEX(AUX!$F$2:$F$361,$K241))</f>
        <v/>
      </c>
      <c r="E241" s="46" t="str">
        <f>IF($K241="","",INDEX(AUX!$G$2:$G$361,$K241))</f>
        <v/>
      </c>
      <c r="F241" s="49" t="str">
        <f>IF($K241="","",INDEX(AUX!$H$2:$H$361,$K241))</f>
        <v/>
      </c>
      <c r="G241" s="50" t="str">
        <f>IF($K241="","",INDEX(AUX!$I$2:$I$361,$K241))</f>
        <v/>
      </c>
      <c r="K241" t="str">
        <f>IFERROR(MATCH(234,AUX!$K$2:$K$361,0),"")</f>
        <v/>
      </c>
    </row>
    <row r="242" spans="1:11" x14ac:dyDescent="0.25">
      <c r="A242" s="42" t="str">
        <f>IF($K242="","",235)</f>
        <v/>
      </c>
      <c r="B242" s="43" t="str">
        <f>IF($K242="","",INDEX(AUX!$D$2:$D$361,$K242))</f>
        <v/>
      </c>
      <c r="C242" s="44" t="str">
        <f>IF($K242="","",INDEX(AUX!$E$2:$E$361,$K242))</f>
        <v/>
      </c>
      <c r="D242" s="44" t="str">
        <f>IF($K242="","",INDEX(AUX!$F$2:$F$361,$K242))</f>
        <v/>
      </c>
      <c r="E242" s="42" t="str">
        <f>IF($K242="","",INDEX(AUX!$G$2:$G$361,$K242))</f>
        <v/>
      </c>
      <c r="F242" s="45" t="str">
        <f>IF($K242="","",INDEX(AUX!$H$2:$H$361,$K242))</f>
        <v/>
      </c>
      <c r="G242" s="24" t="str">
        <f>IF($K242="","",INDEX(AUX!$I$2:$I$361,$K242))</f>
        <v/>
      </c>
      <c r="K242" t="str">
        <f>IFERROR(MATCH(235,AUX!$K$2:$K$361,0),"")</f>
        <v/>
      </c>
    </row>
    <row r="243" spans="1:11" x14ac:dyDescent="0.25">
      <c r="A243" s="46" t="str">
        <f>IF($K243="","",236)</f>
        <v/>
      </c>
      <c r="B243" s="47" t="str">
        <f>IF($K243="","",INDEX(AUX!$D$2:$D$361,$K243))</f>
        <v/>
      </c>
      <c r="C243" s="48" t="str">
        <f>IF($K243="","",INDEX(AUX!$E$2:$E$361,$K243))</f>
        <v/>
      </c>
      <c r="D243" s="48" t="str">
        <f>IF($K243="","",INDEX(AUX!$F$2:$F$361,$K243))</f>
        <v/>
      </c>
      <c r="E243" s="46" t="str">
        <f>IF($K243="","",INDEX(AUX!$G$2:$G$361,$K243))</f>
        <v/>
      </c>
      <c r="F243" s="49" t="str">
        <f>IF($K243="","",INDEX(AUX!$H$2:$H$361,$K243))</f>
        <v/>
      </c>
      <c r="G243" s="50" t="str">
        <f>IF($K243="","",INDEX(AUX!$I$2:$I$361,$K243))</f>
        <v/>
      </c>
      <c r="K243" t="str">
        <f>IFERROR(MATCH(236,AUX!$K$2:$K$361,0),"")</f>
        <v/>
      </c>
    </row>
    <row r="244" spans="1:11" x14ac:dyDescent="0.25">
      <c r="A244" s="42" t="str">
        <f>IF($K244="","",237)</f>
        <v/>
      </c>
      <c r="B244" s="43" t="str">
        <f>IF($K244="","",INDEX(AUX!$D$2:$D$361,$K244))</f>
        <v/>
      </c>
      <c r="C244" s="44" t="str">
        <f>IF($K244="","",INDEX(AUX!$E$2:$E$361,$K244))</f>
        <v/>
      </c>
      <c r="D244" s="44" t="str">
        <f>IF($K244="","",INDEX(AUX!$F$2:$F$361,$K244))</f>
        <v/>
      </c>
      <c r="E244" s="42" t="str">
        <f>IF($K244="","",INDEX(AUX!$G$2:$G$361,$K244))</f>
        <v/>
      </c>
      <c r="F244" s="45" t="str">
        <f>IF($K244="","",INDEX(AUX!$H$2:$H$361,$K244))</f>
        <v/>
      </c>
      <c r="G244" s="24" t="str">
        <f>IF($K244="","",INDEX(AUX!$I$2:$I$361,$K244))</f>
        <v/>
      </c>
      <c r="K244" t="str">
        <f>IFERROR(MATCH(237,AUX!$K$2:$K$361,0),"")</f>
        <v/>
      </c>
    </row>
    <row r="245" spans="1:11" x14ac:dyDescent="0.25">
      <c r="A245" s="46" t="str">
        <f>IF($K245="","",238)</f>
        <v/>
      </c>
      <c r="B245" s="47" t="str">
        <f>IF($K245="","",INDEX(AUX!$D$2:$D$361,$K245))</f>
        <v/>
      </c>
      <c r="C245" s="48" t="str">
        <f>IF($K245="","",INDEX(AUX!$E$2:$E$361,$K245))</f>
        <v/>
      </c>
      <c r="D245" s="48" t="str">
        <f>IF($K245="","",INDEX(AUX!$F$2:$F$361,$K245))</f>
        <v/>
      </c>
      <c r="E245" s="46" t="str">
        <f>IF($K245="","",INDEX(AUX!$G$2:$G$361,$K245))</f>
        <v/>
      </c>
      <c r="F245" s="49" t="str">
        <f>IF($K245="","",INDEX(AUX!$H$2:$H$361,$K245))</f>
        <v/>
      </c>
      <c r="G245" s="50" t="str">
        <f>IF($K245="","",INDEX(AUX!$I$2:$I$361,$K245))</f>
        <v/>
      </c>
      <c r="K245" t="str">
        <f>IFERROR(MATCH(238,AUX!$K$2:$K$361,0),"")</f>
        <v/>
      </c>
    </row>
    <row r="246" spans="1:11" x14ac:dyDescent="0.25">
      <c r="A246" s="42" t="str">
        <f>IF($K246="","",239)</f>
        <v/>
      </c>
      <c r="B246" s="43" t="str">
        <f>IF($K246="","",INDEX(AUX!$D$2:$D$361,$K246))</f>
        <v/>
      </c>
      <c r="C246" s="44" t="str">
        <f>IF($K246="","",INDEX(AUX!$E$2:$E$361,$K246))</f>
        <v/>
      </c>
      <c r="D246" s="44" t="str">
        <f>IF($K246="","",INDEX(AUX!$F$2:$F$361,$K246))</f>
        <v/>
      </c>
      <c r="E246" s="42" t="str">
        <f>IF($K246="","",INDEX(AUX!$G$2:$G$361,$K246))</f>
        <v/>
      </c>
      <c r="F246" s="45" t="str">
        <f>IF($K246="","",INDEX(AUX!$H$2:$H$361,$K246))</f>
        <v/>
      </c>
      <c r="G246" s="24" t="str">
        <f>IF($K246="","",INDEX(AUX!$I$2:$I$361,$K246))</f>
        <v/>
      </c>
      <c r="K246" t="str">
        <f>IFERROR(MATCH(239,AUX!$K$2:$K$361,0),"")</f>
        <v/>
      </c>
    </row>
    <row r="247" spans="1:11" x14ac:dyDescent="0.25">
      <c r="A247" s="46" t="str">
        <f>IF($K247="","",240)</f>
        <v/>
      </c>
      <c r="B247" s="47" t="str">
        <f>IF($K247="","",INDEX(AUX!$D$2:$D$361,$K247))</f>
        <v/>
      </c>
      <c r="C247" s="48" t="str">
        <f>IF($K247="","",INDEX(AUX!$E$2:$E$361,$K247))</f>
        <v/>
      </c>
      <c r="D247" s="48" t="str">
        <f>IF($K247="","",INDEX(AUX!$F$2:$F$361,$K247))</f>
        <v/>
      </c>
      <c r="E247" s="46" t="str">
        <f>IF($K247="","",INDEX(AUX!$G$2:$G$361,$K247))</f>
        <v/>
      </c>
      <c r="F247" s="49" t="str">
        <f>IF($K247="","",INDEX(AUX!$H$2:$H$361,$K247))</f>
        <v/>
      </c>
      <c r="G247" s="50" t="str">
        <f>IF($K247="","",INDEX(AUX!$I$2:$I$361,$K247))</f>
        <v/>
      </c>
      <c r="K247" t="str">
        <f>IFERROR(MATCH(240,AUX!$K$2:$K$361,0),"")</f>
        <v/>
      </c>
    </row>
    <row r="248" spans="1:11" x14ac:dyDescent="0.25">
      <c r="A248" s="42" t="str">
        <f>IF($K248="","",241)</f>
        <v/>
      </c>
      <c r="B248" s="43" t="str">
        <f>IF($K248="","",INDEX(AUX!$D$2:$D$361,$K248))</f>
        <v/>
      </c>
      <c r="C248" s="44" t="str">
        <f>IF($K248="","",INDEX(AUX!$E$2:$E$361,$K248))</f>
        <v/>
      </c>
      <c r="D248" s="44" t="str">
        <f>IF($K248="","",INDEX(AUX!$F$2:$F$361,$K248))</f>
        <v/>
      </c>
      <c r="E248" s="42" t="str">
        <f>IF($K248="","",INDEX(AUX!$G$2:$G$361,$K248))</f>
        <v/>
      </c>
      <c r="F248" s="45" t="str">
        <f>IF($K248="","",INDEX(AUX!$H$2:$H$361,$K248))</f>
        <v/>
      </c>
      <c r="G248" s="24" t="str">
        <f>IF($K248="","",INDEX(AUX!$I$2:$I$361,$K248))</f>
        <v/>
      </c>
      <c r="K248" t="str">
        <f>IFERROR(MATCH(241,AUX!$K$2:$K$361,0),"")</f>
        <v/>
      </c>
    </row>
    <row r="249" spans="1:11" x14ac:dyDescent="0.25">
      <c r="A249" s="46" t="str">
        <f>IF($K249="","",242)</f>
        <v/>
      </c>
      <c r="B249" s="47" t="str">
        <f>IF($K249="","",INDEX(AUX!$D$2:$D$361,$K249))</f>
        <v/>
      </c>
      <c r="C249" s="48" t="str">
        <f>IF($K249="","",INDEX(AUX!$E$2:$E$361,$K249))</f>
        <v/>
      </c>
      <c r="D249" s="48" t="str">
        <f>IF($K249="","",INDEX(AUX!$F$2:$F$361,$K249))</f>
        <v/>
      </c>
      <c r="E249" s="46" t="str">
        <f>IF($K249="","",INDEX(AUX!$G$2:$G$361,$K249))</f>
        <v/>
      </c>
      <c r="F249" s="49" t="str">
        <f>IF($K249="","",INDEX(AUX!$H$2:$H$361,$K249))</f>
        <v/>
      </c>
      <c r="G249" s="50" t="str">
        <f>IF($K249="","",INDEX(AUX!$I$2:$I$361,$K249))</f>
        <v/>
      </c>
      <c r="K249" t="str">
        <f>IFERROR(MATCH(242,AUX!$K$2:$K$361,0),"")</f>
        <v/>
      </c>
    </row>
    <row r="250" spans="1:11" x14ac:dyDescent="0.25">
      <c r="A250" s="42" t="str">
        <f>IF($K250="","",243)</f>
        <v/>
      </c>
      <c r="B250" s="43" t="str">
        <f>IF($K250="","",INDEX(AUX!$D$2:$D$361,$K250))</f>
        <v/>
      </c>
      <c r="C250" s="44" t="str">
        <f>IF($K250="","",INDEX(AUX!$E$2:$E$361,$K250))</f>
        <v/>
      </c>
      <c r="D250" s="44" t="str">
        <f>IF($K250="","",INDEX(AUX!$F$2:$F$361,$K250))</f>
        <v/>
      </c>
      <c r="E250" s="42" t="str">
        <f>IF($K250="","",INDEX(AUX!$G$2:$G$361,$K250))</f>
        <v/>
      </c>
      <c r="F250" s="45" t="str">
        <f>IF($K250="","",INDEX(AUX!$H$2:$H$361,$K250))</f>
        <v/>
      </c>
      <c r="G250" s="24" t="str">
        <f>IF($K250="","",INDEX(AUX!$I$2:$I$361,$K250))</f>
        <v/>
      </c>
      <c r="K250" t="str">
        <f>IFERROR(MATCH(243,AUX!$K$2:$K$361,0),"")</f>
        <v/>
      </c>
    </row>
    <row r="251" spans="1:11" x14ac:dyDescent="0.25">
      <c r="A251" s="46" t="str">
        <f>IF($K251="","",244)</f>
        <v/>
      </c>
      <c r="B251" s="47" t="str">
        <f>IF($K251="","",INDEX(AUX!$D$2:$D$361,$K251))</f>
        <v/>
      </c>
      <c r="C251" s="48" t="str">
        <f>IF($K251="","",INDEX(AUX!$E$2:$E$361,$K251))</f>
        <v/>
      </c>
      <c r="D251" s="48" t="str">
        <f>IF($K251="","",INDEX(AUX!$F$2:$F$361,$K251))</f>
        <v/>
      </c>
      <c r="E251" s="46" t="str">
        <f>IF($K251="","",INDEX(AUX!$G$2:$G$361,$K251))</f>
        <v/>
      </c>
      <c r="F251" s="49" t="str">
        <f>IF($K251="","",INDEX(AUX!$H$2:$H$361,$K251))</f>
        <v/>
      </c>
      <c r="G251" s="50" t="str">
        <f>IF($K251="","",INDEX(AUX!$I$2:$I$361,$K251))</f>
        <v/>
      </c>
      <c r="K251" t="str">
        <f>IFERROR(MATCH(244,AUX!$K$2:$K$361,0),"")</f>
        <v/>
      </c>
    </row>
    <row r="252" spans="1:11" x14ac:dyDescent="0.25">
      <c r="A252" s="42" t="str">
        <f>IF($K252="","",245)</f>
        <v/>
      </c>
      <c r="B252" s="43" t="str">
        <f>IF($K252="","",INDEX(AUX!$D$2:$D$361,$K252))</f>
        <v/>
      </c>
      <c r="C252" s="44" t="str">
        <f>IF($K252="","",INDEX(AUX!$E$2:$E$361,$K252))</f>
        <v/>
      </c>
      <c r="D252" s="44" t="str">
        <f>IF($K252="","",INDEX(AUX!$F$2:$F$361,$K252))</f>
        <v/>
      </c>
      <c r="E252" s="42" t="str">
        <f>IF($K252="","",INDEX(AUX!$G$2:$G$361,$K252))</f>
        <v/>
      </c>
      <c r="F252" s="45" t="str">
        <f>IF($K252="","",INDEX(AUX!$H$2:$H$361,$K252))</f>
        <v/>
      </c>
      <c r="G252" s="24" t="str">
        <f>IF($K252="","",INDEX(AUX!$I$2:$I$361,$K252))</f>
        <v/>
      </c>
      <c r="K252" t="str">
        <f>IFERROR(MATCH(245,AUX!$K$2:$K$361,0),"")</f>
        <v/>
      </c>
    </row>
    <row r="253" spans="1:11" x14ac:dyDescent="0.25">
      <c r="A253" s="46" t="str">
        <f>IF($K253="","",246)</f>
        <v/>
      </c>
      <c r="B253" s="47" t="str">
        <f>IF($K253="","",INDEX(AUX!$D$2:$D$361,$K253))</f>
        <v/>
      </c>
      <c r="C253" s="48" t="str">
        <f>IF($K253="","",INDEX(AUX!$E$2:$E$361,$K253))</f>
        <v/>
      </c>
      <c r="D253" s="48" t="str">
        <f>IF($K253="","",INDEX(AUX!$F$2:$F$361,$K253))</f>
        <v/>
      </c>
      <c r="E253" s="46" t="str">
        <f>IF($K253="","",INDEX(AUX!$G$2:$G$361,$K253))</f>
        <v/>
      </c>
      <c r="F253" s="49" t="str">
        <f>IF($K253="","",INDEX(AUX!$H$2:$H$361,$K253))</f>
        <v/>
      </c>
      <c r="G253" s="50" t="str">
        <f>IF($K253="","",INDEX(AUX!$I$2:$I$361,$K253))</f>
        <v/>
      </c>
      <c r="K253" t="str">
        <f>IFERROR(MATCH(246,AUX!$K$2:$K$361,0),"")</f>
        <v/>
      </c>
    </row>
    <row r="254" spans="1:11" x14ac:dyDescent="0.25">
      <c r="A254" s="42" t="str">
        <f>IF($K254="","",247)</f>
        <v/>
      </c>
      <c r="B254" s="43" t="str">
        <f>IF($K254="","",INDEX(AUX!$D$2:$D$361,$K254))</f>
        <v/>
      </c>
      <c r="C254" s="44" t="str">
        <f>IF($K254="","",INDEX(AUX!$E$2:$E$361,$K254))</f>
        <v/>
      </c>
      <c r="D254" s="44" t="str">
        <f>IF($K254="","",INDEX(AUX!$F$2:$F$361,$K254))</f>
        <v/>
      </c>
      <c r="E254" s="42" t="str">
        <f>IF($K254="","",INDEX(AUX!$G$2:$G$361,$K254))</f>
        <v/>
      </c>
      <c r="F254" s="45" t="str">
        <f>IF($K254="","",INDEX(AUX!$H$2:$H$361,$K254))</f>
        <v/>
      </c>
      <c r="G254" s="24" t="str">
        <f>IF($K254="","",INDEX(AUX!$I$2:$I$361,$K254))</f>
        <v/>
      </c>
      <c r="K254" t="str">
        <f>IFERROR(MATCH(247,AUX!$K$2:$K$361,0),"")</f>
        <v/>
      </c>
    </row>
    <row r="255" spans="1:11" x14ac:dyDescent="0.25">
      <c r="A255" s="46" t="str">
        <f>IF($K255="","",248)</f>
        <v/>
      </c>
      <c r="B255" s="47" t="str">
        <f>IF($K255="","",INDEX(AUX!$D$2:$D$361,$K255))</f>
        <v/>
      </c>
      <c r="C255" s="48" t="str">
        <f>IF($K255="","",INDEX(AUX!$E$2:$E$361,$K255))</f>
        <v/>
      </c>
      <c r="D255" s="48" t="str">
        <f>IF($K255="","",INDEX(AUX!$F$2:$F$361,$K255))</f>
        <v/>
      </c>
      <c r="E255" s="46" t="str">
        <f>IF($K255="","",INDEX(AUX!$G$2:$G$361,$K255))</f>
        <v/>
      </c>
      <c r="F255" s="49" t="str">
        <f>IF($K255="","",INDEX(AUX!$H$2:$H$361,$K255))</f>
        <v/>
      </c>
      <c r="G255" s="50" t="str">
        <f>IF($K255="","",INDEX(AUX!$I$2:$I$361,$K255))</f>
        <v/>
      </c>
      <c r="K255" t="str">
        <f>IFERROR(MATCH(248,AUX!$K$2:$K$361,0),"")</f>
        <v/>
      </c>
    </row>
    <row r="256" spans="1:11" x14ac:dyDescent="0.25">
      <c r="A256" s="42" t="str">
        <f>IF($K256="","",249)</f>
        <v/>
      </c>
      <c r="B256" s="43" t="str">
        <f>IF($K256="","",INDEX(AUX!$D$2:$D$361,$K256))</f>
        <v/>
      </c>
      <c r="C256" s="44" t="str">
        <f>IF($K256="","",INDEX(AUX!$E$2:$E$361,$K256))</f>
        <v/>
      </c>
      <c r="D256" s="44" t="str">
        <f>IF($K256="","",INDEX(AUX!$F$2:$F$361,$K256))</f>
        <v/>
      </c>
      <c r="E256" s="42" t="str">
        <f>IF($K256="","",INDEX(AUX!$G$2:$G$361,$K256))</f>
        <v/>
      </c>
      <c r="F256" s="45" t="str">
        <f>IF($K256="","",INDEX(AUX!$H$2:$H$361,$K256))</f>
        <v/>
      </c>
      <c r="G256" s="24" t="str">
        <f>IF($K256="","",INDEX(AUX!$I$2:$I$361,$K256))</f>
        <v/>
      </c>
      <c r="K256" t="str">
        <f>IFERROR(MATCH(249,AUX!$K$2:$K$361,0),"")</f>
        <v/>
      </c>
    </row>
    <row r="257" spans="1:11" x14ac:dyDescent="0.25">
      <c r="A257" s="46" t="str">
        <f>IF($K257="","",250)</f>
        <v/>
      </c>
      <c r="B257" s="47" t="str">
        <f>IF($K257="","",INDEX(AUX!$D$2:$D$361,$K257))</f>
        <v/>
      </c>
      <c r="C257" s="48" t="str">
        <f>IF($K257="","",INDEX(AUX!$E$2:$E$361,$K257))</f>
        <v/>
      </c>
      <c r="D257" s="48" t="str">
        <f>IF($K257="","",INDEX(AUX!$F$2:$F$361,$K257))</f>
        <v/>
      </c>
      <c r="E257" s="46" t="str">
        <f>IF($K257="","",INDEX(AUX!$G$2:$G$361,$K257))</f>
        <v/>
      </c>
      <c r="F257" s="49" t="str">
        <f>IF($K257="","",INDEX(AUX!$H$2:$H$361,$K257))</f>
        <v/>
      </c>
      <c r="G257" s="50" t="str">
        <f>IF($K257="","",INDEX(AUX!$I$2:$I$361,$K257))</f>
        <v/>
      </c>
      <c r="K257" t="str">
        <f>IFERROR(MATCH(250,AUX!$K$2:$K$361,0),"")</f>
        <v/>
      </c>
    </row>
    <row r="258" spans="1:11" x14ac:dyDescent="0.25">
      <c r="A258" s="42" t="str">
        <f>IF($K258="","",251)</f>
        <v/>
      </c>
      <c r="B258" s="43" t="str">
        <f>IF($K258="","",INDEX(AUX!$D$2:$D$361,$K258))</f>
        <v/>
      </c>
      <c r="C258" s="44" t="str">
        <f>IF($K258="","",INDEX(AUX!$E$2:$E$361,$K258))</f>
        <v/>
      </c>
      <c r="D258" s="44" t="str">
        <f>IF($K258="","",INDEX(AUX!$F$2:$F$361,$K258))</f>
        <v/>
      </c>
      <c r="E258" s="42" t="str">
        <f>IF($K258="","",INDEX(AUX!$G$2:$G$361,$K258))</f>
        <v/>
      </c>
      <c r="F258" s="45" t="str">
        <f>IF($K258="","",INDEX(AUX!$H$2:$H$361,$K258))</f>
        <v/>
      </c>
      <c r="G258" s="24" t="str">
        <f>IF($K258="","",INDEX(AUX!$I$2:$I$361,$K258))</f>
        <v/>
      </c>
      <c r="K258" t="str">
        <f>IFERROR(MATCH(251,AUX!$K$2:$K$361,0),"")</f>
        <v/>
      </c>
    </row>
    <row r="259" spans="1:11" x14ac:dyDescent="0.25">
      <c r="A259" s="46" t="str">
        <f>IF($K259="","",252)</f>
        <v/>
      </c>
      <c r="B259" s="47" t="str">
        <f>IF($K259="","",INDEX(AUX!$D$2:$D$361,$K259))</f>
        <v/>
      </c>
      <c r="C259" s="48" t="str">
        <f>IF($K259="","",INDEX(AUX!$E$2:$E$361,$K259))</f>
        <v/>
      </c>
      <c r="D259" s="48" t="str">
        <f>IF($K259="","",INDEX(AUX!$F$2:$F$361,$K259))</f>
        <v/>
      </c>
      <c r="E259" s="46" t="str">
        <f>IF($K259="","",INDEX(AUX!$G$2:$G$361,$K259))</f>
        <v/>
      </c>
      <c r="F259" s="49" t="str">
        <f>IF($K259="","",INDEX(AUX!$H$2:$H$361,$K259))</f>
        <v/>
      </c>
      <c r="G259" s="50" t="str">
        <f>IF($K259="","",INDEX(AUX!$I$2:$I$361,$K259))</f>
        <v/>
      </c>
      <c r="K259" t="str">
        <f>IFERROR(MATCH(252,AUX!$K$2:$K$361,0),"")</f>
        <v/>
      </c>
    </row>
    <row r="260" spans="1:11" x14ac:dyDescent="0.25">
      <c r="A260" s="42" t="str">
        <f>IF($K260="","",253)</f>
        <v/>
      </c>
      <c r="B260" s="43" t="str">
        <f>IF($K260="","",INDEX(AUX!$D$2:$D$361,$K260))</f>
        <v/>
      </c>
      <c r="C260" s="44" t="str">
        <f>IF($K260="","",INDEX(AUX!$E$2:$E$361,$K260))</f>
        <v/>
      </c>
      <c r="D260" s="44" t="str">
        <f>IF($K260="","",INDEX(AUX!$F$2:$F$361,$K260))</f>
        <v/>
      </c>
      <c r="E260" s="42" t="str">
        <f>IF($K260="","",INDEX(AUX!$G$2:$G$361,$K260))</f>
        <v/>
      </c>
      <c r="F260" s="45" t="str">
        <f>IF($K260="","",INDEX(AUX!$H$2:$H$361,$K260))</f>
        <v/>
      </c>
      <c r="G260" s="24" t="str">
        <f>IF($K260="","",INDEX(AUX!$I$2:$I$361,$K260))</f>
        <v/>
      </c>
      <c r="K260" t="str">
        <f>IFERROR(MATCH(253,AUX!$K$2:$K$361,0),"")</f>
        <v/>
      </c>
    </row>
    <row r="261" spans="1:11" x14ac:dyDescent="0.25">
      <c r="A261" s="46" t="str">
        <f>IF($K261="","",254)</f>
        <v/>
      </c>
      <c r="B261" s="47" t="str">
        <f>IF($K261="","",INDEX(AUX!$D$2:$D$361,$K261))</f>
        <v/>
      </c>
      <c r="C261" s="48" t="str">
        <f>IF($K261="","",INDEX(AUX!$E$2:$E$361,$K261))</f>
        <v/>
      </c>
      <c r="D261" s="48" t="str">
        <f>IF($K261="","",INDEX(AUX!$F$2:$F$361,$K261))</f>
        <v/>
      </c>
      <c r="E261" s="46" t="str">
        <f>IF($K261="","",INDEX(AUX!$G$2:$G$361,$K261))</f>
        <v/>
      </c>
      <c r="F261" s="49" t="str">
        <f>IF($K261="","",INDEX(AUX!$H$2:$H$361,$K261))</f>
        <v/>
      </c>
      <c r="G261" s="50" t="str">
        <f>IF($K261="","",INDEX(AUX!$I$2:$I$361,$K261))</f>
        <v/>
      </c>
      <c r="K261" t="str">
        <f>IFERROR(MATCH(254,AUX!$K$2:$K$361,0),"")</f>
        <v/>
      </c>
    </row>
    <row r="262" spans="1:11" x14ac:dyDescent="0.25">
      <c r="A262" s="42" t="str">
        <f>IF($K262="","",255)</f>
        <v/>
      </c>
      <c r="B262" s="43" t="str">
        <f>IF($K262="","",INDEX(AUX!$D$2:$D$361,$K262))</f>
        <v/>
      </c>
      <c r="C262" s="44" t="str">
        <f>IF($K262="","",INDEX(AUX!$E$2:$E$361,$K262))</f>
        <v/>
      </c>
      <c r="D262" s="44" t="str">
        <f>IF($K262="","",INDEX(AUX!$F$2:$F$361,$K262))</f>
        <v/>
      </c>
      <c r="E262" s="42" t="str">
        <f>IF($K262="","",INDEX(AUX!$G$2:$G$361,$K262))</f>
        <v/>
      </c>
      <c r="F262" s="45" t="str">
        <f>IF($K262="","",INDEX(AUX!$H$2:$H$361,$K262))</f>
        <v/>
      </c>
      <c r="G262" s="24" t="str">
        <f>IF($K262="","",INDEX(AUX!$I$2:$I$361,$K262))</f>
        <v/>
      </c>
      <c r="K262" t="str">
        <f>IFERROR(MATCH(255,AUX!$K$2:$K$361,0),"")</f>
        <v/>
      </c>
    </row>
    <row r="263" spans="1:11" x14ac:dyDescent="0.25">
      <c r="A263" s="46" t="str">
        <f>IF($K263="","",256)</f>
        <v/>
      </c>
      <c r="B263" s="47" t="str">
        <f>IF($K263="","",INDEX(AUX!$D$2:$D$361,$K263))</f>
        <v/>
      </c>
      <c r="C263" s="48" t="str">
        <f>IF($K263="","",INDEX(AUX!$E$2:$E$361,$K263))</f>
        <v/>
      </c>
      <c r="D263" s="48" t="str">
        <f>IF($K263="","",INDEX(AUX!$F$2:$F$361,$K263))</f>
        <v/>
      </c>
      <c r="E263" s="46" t="str">
        <f>IF($K263="","",INDEX(AUX!$G$2:$G$361,$K263))</f>
        <v/>
      </c>
      <c r="F263" s="49" t="str">
        <f>IF($K263="","",INDEX(AUX!$H$2:$H$361,$K263))</f>
        <v/>
      </c>
      <c r="G263" s="50" t="str">
        <f>IF($K263="","",INDEX(AUX!$I$2:$I$361,$K263))</f>
        <v/>
      </c>
      <c r="K263" t="str">
        <f>IFERROR(MATCH(256,AUX!$K$2:$K$361,0),"")</f>
        <v/>
      </c>
    </row>
    <row r="264" spans="1:11" x14ac:dyDescent="0.25">
      <c r="A264" s="42" t="str">
        <f>IF($K264="","",257)</f>
        <v/>
      </c>
      <c r="B264" s="43" t="str">
        <f>IF($K264="","",INDEX(AUX!$D$2:$D$361,$K264))</f>
        <v/>
      </c>
      <c r="C264" s="44" t="str">
        <f>IF($K264="","",INDEX(AUX!$E$2:$E$361,$K264))</f>
        <v/>
      </c>
      <c r="D264" s="44" t="str">
        <f>IF($K264="","",INDEX(AUX!$F$2:$F$361,$K264))</f>
        <v/>
      </c>
      <c r="E264" s="42" t="str">
        <f>IF($K264="","",INDEX(AUX!$G$2:$G$361,$K264))</f>
        <v/>
      </c>
      <c r="F264" s="45" t="str">
        <f>IF($K264="","",INDEX(AUX!$H$2:$H$361,$K264))</f>
        <v/>
      </c>
      <c r="G264" s="24" t="str">
        <f>IF($K264="","",INDEX(AUX!$I$2:$I$361,$K264))</f>
        <v/>
      </c>
      <c r="K264" t="str">
        <f>IFERROR(MATCH(257,AUX!$K$2:$K$361,0),"")</f>
        <v/>
      </c>
    </row>
    <row r="265" spans="1:11" x14ac:dyDescent="0.25">
      <c r="A265" s="46" t="str">
        <f>IF($K265="","",258)</f>
        <v/>
      </c>
      <c r="B265" s="47" t="str">
        <f>IF($K265="","",INDEX(AUX!$D$2:$D$361,$K265))</f>
        <v/>
      </c>
      <c r="C265" s="48" t="str">
        <f>IF($K265="","",INDEX(AUX!$E$2:$E$361,$K265))</f>
        <v/>
      </c>
      <c r="D265" s="48" t="str">
        <f>IF($K265="","",INDEX(AUX!$F$2:$F$361,$K265))</f>
        <v/>
      </c>
      <c r="E265" s="46" t="str">
        <f>IF($K265="","",INDEX(AUX!$G$2:$G$361,$K265))</f>
        <v/>
      </c>
      <c r="F265" s="49" t="str">
        <f>IF($K265="","",INDEX(AUX!$H$2:$H$361,$K265))</f>
        <v/>
      </c>
      <c r="G265" s="50" t="str">
        <f>IF($K265="","",INDEX(AUX!$I$2:$I$361,$K265))</f>
        <v/>
      </c>
      <c r="K265" t="str">
        <f>IFERROR(MATCH(258,AUX!$K$2:$K$361,0),"")</f>
        <v/>
      </c>
    </row>
    <row r="266" spans="1:11" x14ac:dyDescent="0.25">
      <c r="A266" s="42" t="str">
        <f>IF($K266="","",259)</f>
        <v/>
      </c>
      <c r="B266" s="43" t="str">
        <f>IF($K266="","",INDEX(AUX!$D$2:$D$361,$K266))</f>
        <v/>
      </c>
      <c r="C266" s="44" t="str">
        <f>IF($K266="","",INDEX(AUX!$E$2:$E$361,$K266))</f>
        <v/>
      </c>
      <c r="D266" s="44" t="str">
        <f>IF($K266="","",INDEX(AUX!$F$2:$F$361,$K266))</f>
        <v/>
      </c>
      <c r="E266" s="42" t="str">
        <f>IF($K266="","",INDEX(AUX!$G$2:$G$361,$K266))</f>
        <v/>
      </c>
      <c r="F266" s="45" t="str">
        <f>IF($K266="","",INDEX(AUX!$H$2:$H$361,$K266))</f>
        <v/>
      </c>
      <c r="G266" s="24" t="str">
        <f>IF($K266="","",INDEX(AUX!$I$2:$I$361,$K266))</f>
        <v/>
      </c>
      <c r="K266" t="str">
        <f>IFERROR(MATCH(259,AUX!$K$2:$K$361,0),"")</f>
        <v/>
      </c>
    </row>
    <row r="267" spans="1:11" x14ac:dyDescent="0.25">
      <c r="A267" s="46" t="str">
        <f>IF($K267="","",260)</f>
        <v/>
      </c>
      <c r="B267" s="47" t="str">
        <f>IF($K267="","",INDEX(AUX!$D$2:$D$361,$K267))</f>
        <v/>
      </c>
      <c r="C267" s="48" t="str">
        <f>IF($K267="","",INDEX(AUX!$E$2:$E$361,$K267))</f>
        <v/>
      </c>
      <c r="D267" s="48" t="str">
        <f>IF($K267="","",INDEX(AUX!$F$2:$F$361,$K267))</f>
        <v/>
      </c>
      <c r="E267" s="46" t="str">
        <f>IF($K267="","",INDEX(AUX!$G$2:$G$361,$K267))</f>
        <v/>
      </c>
      <c r="F267" s="49" t="str">
        <f>IF($K267="","",INDEX(AUX!$H$2:$H$361,$K267))</f>
        <v/>
      </c>
      <c r="G267" s="50" t="str">
        <f>IF($K267="","",INDEX(AUX!$I$2:$I$361,$K267))</f>
        <v/>
      </c>
      <c r="K267" t="str">
        <f>IFERROR(MATCH(260,AUX!$K$2:$K$361,0),"")</f>
        <v/>
      </c>
    </row>
    <row r="268" spans="1:11" x14ac:dyDescent="0.25">
      <c r="A268" s="42" t="str">
        <f>IF($K268="","",261)</f>
        <v/>
      </c>
      <c r="B268" s="43" t="str">
        <f>IF($K268="","",INDEX(AUX!$D$2:$D$361,$K268))</f>
        <v/>
      </c>
      <c r="C268" s="44" t="str">
        <f>IF($K268="","",INDEX(AUX!$E$2:$E$361,$K268))</f>
        <v/>
      </c>
      <c r="D268" s="44" t="str">
        <f>IF($K268="","",INDEX(AUX!$F$2:$F$361,$K268))</f>
        <v/>
      </c>
      <c r="E268" s="42" t="str">
        <f>IF($K268="","",INDEX(AUX!$G$2:$G$361,$K268))</f>
        <v/>
      </c>
      <c r="F268" s="45" t="str">
        <f>IF($K268="","",INDEX(AUX!$H$2:$H$361,$K268))</f>
        <v/>
      </c>
      <c r="G268" s="24" t="str">
        <f>IF($K268="","",INDEX(AUX!$I$2:$I$361,$K268))</f>
        <v/>
      </c>
      <c r="K268" t="str">
        <f>IFERROR(MATCH(261,AUX!$K$2:$K$361,0),"")</f>
        <v/>
      </c>
    </row>
    <row r="269" spans="1:11" x14ac:dyDescent="0.25">
      <c r="A269" s="46" t="str">
        <f>IF($K269="","",262)</f>
        <v/>
      </c>
      <c r="B269" s="47" t="str">
        <f>IF($K269="","",INDEX(AUX!$D$2:$D$361,$K269))</f>
        <v/>
      </c>
      <c r="C269" s="48" t="str">
        <f>IF($K269="","",INDEX(AUX!$E$2:$E$361,$K269))</f>
        <v/>
      </c>
      <c r="D269" s="48" t="str">
        <f>IF($K269="","",INDEX(AUX!$F$2:$F$361,$K269))</f>
        <v/>
      </c>
      <c r="E269" s="46" t="str">
        <f>IF($K269="","",INDEX(AUX!$G$2:$G$361,$K269))</f>
        <v/>
      </c>
      <c r="F269" s="49" t="str">
        <f>IF($K269="","",INDEX(AUX!$H$2:$H$361,$K269))</f>
        <v/>
      </c>
      <c r="G269" s="50" t="str">
        <f>IF($K269="","",INDEX(AUX!$I$2:$I$361,$K269))</f>
        <v/>
      </c>
      <c r="K269" t="str">
        <f>IFERROR(MATCH(262,AUX!$K$2:$K$361,0),"")</f>
        <v/>
      </c>
    </row>
    <row r="270" spans="1:11" x14ac:dyDescent="0.25">
      <c r="A270" s="42" t="str">
        <f>IF($K270="","",263)</f>
        <v/>
      </c>
      <c r="B270" s="43" t="str">
        <f>IF($K270="","",INDEX(AUX!$D$2:$D$361,$K270))</f>
        <v/>
      </c>
      <c r="C270" s="44" t="str">
        <f>IF($K270="","",INDEX(AUX!$E$2:$E$361,$K270))</f>
        <v/>
      </c>
      <c r="D270" s="44" t="str">
        <f>IF($K270="","",INDEX(AUX!$F$2:$F$361,$K270))</f>
        <v/>
      </c>
      <c r="E270" s="42" t="str">
        <f>IF($K270="","",INDEX(AUX!$G$2:$G$361,$K270))</f>
        <v/>
      </c>
      <c r="F270" s="45" t="str">
        <f>IF($K270="","",INDEX(AUX!$H$2:$H$361,$K270))</f>
        <v/>
      </c>
      <c r="G270" s="24" t="str">
        <f>IF($K270="","",INDEX(AUX!$I$2:$I$361,$K270))</f>
        <v/>
      </c>
      <c r="K270" t="str">
        <f>IFERROR(MATCH(263,AUX!$K$2:$K$361,0),"")</f>
        <v/>
      </c>
    </row>
    <row r="271" spans="1:11" x14ac:dyDescent="0.25">
      <c r="A271" s="46" t="str">
        <f>IF($K271="","",264)</f>
        <v/>
      </c>
      <c r="B271" s="47" t="str">
        <f>IF($K271="","",INDEX(AUX!$D$2:$D$361,$K271))</f>
        <v/>
      </c>
      <c r="C271" s="48" t="str">
        <f>IF($K271="","",INDEX(AUX!$E$2:$E$361,$K271))</f>
        <v/>
      </c>
      <c r="D271" s="48" t="str">
        <f>IF($K271="","",INDEX(AUX!$F$2:$F$361,$K271))</f>
        <v/>
      </c>
      <c r="E271" s="46" t="str">
        <f>IF($K271="","",INDEX(AUX!$G$2:$G$361,$K271))</f>
        <v/>
      </c>
      <c r="F271" s="49" t="str">
        <f>IF($K271="","",INDEX(AUX!$H$2:$H$361,$K271))</f>
        <v/>
      </c>
      <c r="G271" s="50" t="str">
        <f>IF($K271="","",INDEX(AUX!$I$2:$I$361,$K271))</f>
        <v/>
      </c>
      <c r="K271" t="str">
        <f>IFERROR(MATCH(264,AUX!$K$2:$K$361,0),"")</f>
        <v/>
      </c>
    </row>
    <row r="272" spans="1:11" x14ac:dyDescent="0.25">
      <c r="A272" s="42" t="str">
        <f>IF($K272="","",265)</f>
        <v/>
      </c>
      <c r="B272" s="43" t="str">
        <f>IF($K272="","",INDEX(AUX!$D$2:$D$361,$K272))</f>
        <v/>
      </c>
      <c r="C272" s="44" t="str">
        <f>IF($K272="","",INDEX(AUX!$E$2:$E$361,$K272))</f>
        <v/>
      </c>
      <c r="D272" s="44" t="str">
        <f>IF($K272="","",INDEX(AUX!$F$2:$F$361,$K272))</f>
        <v/>
      </c>
      <c r="E272" s="42" t="str">
        <f>IF($K272="","",INDEX(AUX!$G$2:$G$361,$K272))</f>
        <v/>
      </c>
      <c r="F272" s="45" t="str">
        <f>IF($K272="","",INDEX(AUX!$H$2:$H$361,$K272))</f>
        <v/>
      </c>
      <c r="G272" s="24" t="str">
        <f>IF($K272="","",INDEX(AUX!$I$2:$I$361,$K272))</f>
        <v/>
      </c>
      <c r="K272" t="str">
        <f>IFERROR(MATCH(265,AUX!$K$2:$K$361,0),"")</f>
        <v/>
      </c>
    </row>
    <row r="273" spans="1:11" x14ac:dyDescent="0.25">
      <c r="A273" s="46" t="str">
        <f>IF($K273="","",266)</f>
        <v/>
      </c>
      <c r="B273" s="47" t="str">
        <f>IF($K273="","",INDEX(AUX!$D$2:$D$361,$K273))</f>
        <v/>
      </c>
      <c r="C273" s="48" t="str">
        <f>IF($K273="","",INDEX(AUX!$E$2:$E$361,$K273))</f>
        <v/>
      </c>
      <c r="D273" s="48" t="str">
        <f>IF($K273="","",INDEX(AUX!$F$2:$F$361,$K273))</f>
        <v/>
      </c>
      <c r="E273" s="46" t="str">
        <f>IF($K273="","",INDEX(AUX!$G$2:$G$361,$K273))</f>
        <v/>
      </c>
      <c r="F273" s="49" t="str">
        <f>IF($K273="","",INDEX(AUX!$H$2:$H$361,$K273))</f>
        <v/>
      </c>
      <c r="G273" s="50" t="str">
        <f>IF($K273="","",INDEX(AUX!$I$2:$I$361,$K273))</f>
        <v/>
      </c>
      <c r="K273" t="str">
        <f>IFERROR(MATCH(266,AUX!$K$2:$K$361,0),"")</f>
        <v/>
      </c>
    </row>
    <row r="274" spans="1:11" x14ac:dyDescent="0.25">
      <c r="A274" s="42" t="str">
        <f>IF($K274="","",267)</f>
        <v/>
      </c>
      <c r="B274" s="43" t="str">
        <f>IF($K274="","",INDEX(AUX!$D$2:$D$361,$K274))</f>
        <v/>
      </c>
      <c r="C274" s="44" t="str">
        <f>IF($K274="","",INDEX(AUX!$E$2:$E$361,$K274))</f>
        <v/>
      </c>
      <c r="D274" s="44" t="str">
        <f>IF($K274="","",INDEX(AUX!$F$2:$F$361,$K274))</f>
        <v/>
      </c>
      <c r="E274" s="42" t="str">
        <f>IF($K274="","",INDEX(AUX!$G$2:$G$361,$K274))</f>
        <v/>
      </c>
      <c r="F274" s="45" t="str">
        <f>IF($K274="","",INDEX(AUX!$H$2:$H$361,$K274))</f>
        <v/>
      </c>
      <c r="G274" s="24" t="str">
        <f>IF($K274="","",INDEX(AUX!$I$2:$I$361,$K274))</f>
        <v/>
      </c>
      <c r="K274" t="str">
        <f>IFERROR(MATCH(267,AUX!$K$2:$K$361,0),"")</f>
        <v/>
      </c>
    </row>
    <row r="275" spans="1:11" x14ac:dyDescent="0.25">
      <c r="A275" s="46" t="str">
        <f>IF($K275="","",268)</f>
        <v/>
      </c>
      <c r="B275" s="47" t="str">
        <f>IF($K275="","",INDEX(AUX!$D$2:$D$361,$K275))</f>
        <v/>
      </c>
      <c r="C275" s="48" t="str">
        <f>IF($K275="","",INDEX(AUX!$E$2:$E$361,$K275))</f>
        <v/>
      </c>
      <c r="D275" s="48" t="str">
        <f>IF($K275="","",INDEX(AUX!$F$2:$F$361,$K275))</f>
        <v/>
      </c>
      <c r="E275" s="46" t="str">
        <f>IF($K275="","",INDEX(AUX!$G$2:$G$361,$K275))</f>
        <v/>
      </c>
      <c r="F275" s="49" t="str">
        <f>IF($K275="","",INDEX(AUX!$H$2:$H$361,$K275))</f>
        <v/>
      </c>
      <c r="G275" s="50" t="str">
        <f>IF($K275="","",INDEX(AUX!$I$2:$I$361,$K275))</f>
        <v/>
      </c>
      <c r="K275" t="str">
        <f>IFERROR(MATCH(268,AUX!$K$2:$K$361,0),"")</f>
        <v/>
      </c>
    </row>
    <row r="276" spans="1:11" x14ac:dyDescent="0.25">
      <c r="A276" s="42" t="str">
        <f>IF($K276="","",269)</f>
        <v/>
      </c>
      <c r="B276" s="43" t="str">
        <f>IF($K276="","",INDEX(AUX!$D$2:$D$361,$K276))</f>
        <v/>
      </c>
      <c r="C276" s="44" t="str">
        <f>IF($K276="","",INDEX(AUX!$E$2:$E$361,$K276))</f>
        <v/>
      </c>
      <c r="D276" s="44" t="str">
        <f>IF($K276="","",INDEX(AUX!$F$2:$F$361,$K276))</f>
        <v/>
      </c>
      <c r="E276" s="42" t="str">
        <f>IF($K276="","",INDEX(AUX!$G$2:$G$361,$K276))</f>
        <v/>
      </c>
      <c r="F276" s="45" t="str">
        <f>IF($K276="","",INDEX(AUX!$H$2:$H$361,$K276))</f>
        <v/>
      </c>
      <c r="G276" s="24" t="str">
        <f>IF($K276="","",INDEX(AUX!$I$2:$I$361,$K276))</f>
        <v/>
      </c>
      <c r="K276" t="str">
        <f>IFERROR(MATCH(269,AUX!$K$2:$K$361,0),"")</f>
        <v/>
      </c>
    </row>
    <row r="277" spans="1:11" x14ac:dyDescent="0.25">
      <c r="A277" s="46" t="str">
        <f>IF($K277="","",270)</f>
        <v/>
      </c>
      <c r="B277" s="47" t="str">
        <f>IF($K277="","",INDEX(AUX!$D$2:$D$361,$K277))</f>
        <v/>
      </c>
      <c r="C277" s="48" t="str">
        <f>IF($K277="","",INDEX(AUX!$E$2:$E$361,$K277))</f>
        <v/>
      </c>
      <c r="D277" s="48" t="str">
        <f>IF($K277="","",INDEX(AUX!$F$2:$F$361,$K277))</f>
        <v/>
      </c>
      <c r="E277" s="46" t="str">
        <f>IF($K277="","",INDEX(AUX!$G$2:$G$361,$K277))</f>
        <v/>
      </c>
      <c r="F277" s="49" t="str">
        <f>IF($K277="","",INDEX(AUX!$H$2:$H$361,$K277))</f>
        <v/>
      </c>
      <c r="G277" s="50" t="str">
        <f>IF($K277="","",INDEX(AUX!$I$2:$I$361,$K277))</f>
        <v/>
      </c>
      <c r="K277" t="str">
        <f>IFERROR(MATCH(270,AUX!$K$2:$K$361,0),"")</f>
        <v/>
      </c>
    </row>
    <row r="278" spans="1:11" x14ac:dyDescent="0.25">
      <c r="A278" s="42" t="str">
        <f>IF($K278="","",271)</f>
        <v/>
      </c>
      <c r="B278" s="43" t="str">
        <f>IF($K278="","",INDEX(AUX!$D$2:$D$361,$K278))</f>
        <v/>
      </c>
      <c r="C278" s="44" t="str">
        <f>IF($K278="","",INDEX(AUX!$E$2:$E$361,$K278))</f>
        <v/>
      </c>
      <c r="D278" s="44" t="str">
        <f>IF($K278="","",INDEX(AUX!$F$2:$F$361,$K278))</f>
        <v/>
      </c>
      <c r="E278" s="42" t="str">
        <f>IF($K278="","",INDEX(AUX!$G$2:$G$361,$K278))</f>
        <v/>
      </c>
      <c r="F278" s="45" t="str">
        <f>IF($K278="","",INDEX(AUX!$H$2:$H$361,$K278))</f>
        <v/>
      </c>
      <c r="G278" s="24" t="str">
        <f>IF($K278="","",INDEX(AUX!$I$2:$I$361,$K278))</f>
        <v/>
      </c>
      <c r="K278" t="str">
        <f>IFERROR(MATCH(271,AUX!$K$2:$K$361,0),"")</f>
        <v/>
      </c>
    </row>
    <row r="279" spans="1:11" x14ac:dyDescent="0.25">
      <c r="A279" s="46" t="str">
        <f>IF($K279="","",272)</f>
        <v/>
      </c>
      <c r="B279" s="47" t="str">
        <f>IF($K279="","",INDEX(AUX!$D$2:$D$361,$K279))</f>
        <v/>
      </c>
      <c r="C279" s="48" t="str">
        <f>IF($K279="","",INDEX(AUX!$E$2:$E$361,$K279))</f>
        <v/>
      </c>
      <c r="D279" s="48" t="str">
        <f>IF($K279="","",INDEX(AUX!$F$2:$F$361,$K279))</f>
        <v/>
      </c>
      <c r="E279" s="46" t="str">
        <f>IF($K279="","",INDEX(AUX!$G$2:$G$361,$K279))</f>
        <v/>
      </c>
      <c r="F279" s="49" t="str">
        <f>IF($K279="","",INDEX(AUX!$H$2:$H$361,$K279))</f>
        <v/>
      </c>
      <c r="G279" s="50" t="str">
        <f>IF($K279="","",INDEX(AUX!$I$2:$I$361,$K279))</f>
        <v/>
      </c>
      <c r="K279" t="str">
        <f>IFERROR(MATCH(272,AUX!$K$2:$K$361,0),"")</f>
        <v/>
      </c>
    </row>
    <row r="280" spans="1:11" x14ac:dyDescent="0.25">
      <c r="A280" s="42" t="str">
        <f>IF($K280="","",273)</f>
        <v/>
      </c>
      <c r="B280" s="43" t="str">
        <f>IF($K280="","",INDEX(AUX!$D$2:$D$361,$K280))</f>
        <v/>
      </c>
      <c r="C280" s="44" t="str">
        <f>IF($K280="","",INDEX(AUX!$E$2:$E$361,$K280))</f>
        <v/>
      </c>
      <c r="D280" s="44" t="str">
        <f>IF($K280="","",INDEX(AUX!$F$2:$F$361,$K280))</f>
        <v/>
      </c>
      <c r="E280" s="42" t="str">
        <f>IF($K280="","",INDEX(AUX!$G$2:$G$361,$K280))</f>
        <v/>
      </c>
      <c r="F280" s="45" t="str">
        <f>IF($K280="","",INDEX(AUX!$H$2:$H$361,$K280))</f>
        <v/>
      </c>
      <c r="G280" s="24" t="str">
        <f>IF($K280="","",INDEX(AUX!$I$2:$I$361,$K280))</f>
        <v/>
      </c>
      <c r="K280" t="str">
        <f>IFERROR(MATCH(273,AUX!$K$2:$K$361,0),"")</f>
        <v/>
      </c>
    </row>
    <row r="281" spans="1:11" x14ac:dyDescent="0.25">
      <c r="A281" s="46" t="str">
        <f>IF($K281="","",274)</f>
        <v/>
      </c>
      <c r="B281" s="47" t="str">
        <f>IF($K281="","",INDEX(AUX!$D$2:$D$361,$K281))</f>
        <v/>
      </c>
      <c r="C281" s="48" t="str">
        <f>IF($K281="","",INDEX(AUX!$E$2:$E$361,$K281))</f>
        <v/>
      </c>
      <c r="D281" s="48" t="str">
        <f>IF($K281="","",INDEX(AUX!$F$2:$F$361,$K281))</f>
        <v/>
      </c>
      <c r="E281" s="46" t="str">
        <f>IF($K281="","",INDEX(AUX!$G$2:$G$361,$K281))</f>
        <v/>
      </c>
      <c r="F281" s="49" t="str">
        <f>IF($K281="","",INDEX(AUX!$H$2:$H$361,$K281))</f>
        <v/>
      </c>
      <c r="G281" s="50" t="str">
        <f>IF($K281="","",INDEX(AUX!$I$2:$I$361,$K281))</f>
        <v/>
      </c>
      <c r="K281" t="str">
        <f>IFERROR(MATCH(274,AUX!$K$2:$K$361,0),"")</f>
        <v/>
      </c>
    </row>
    <row r="282" spans="1:11" x14ac:dyDescent="0.25">
      <c r="A282" s="42" t="str">
        <f>IF($K282="","",275)</f>
        <v/>
      </c>
      <c r="B282" s="43" t="str">
        <f>IF($K282="","",INDEX(AUX!$D$2:$D$361,$K282))</f>
        <v/>
      </c>
      <c r="C282" s="44" t="str">
        <f>IF($K282="","",INDEX(AUX!$E$2:$E$361,$K282))</f>
        <v/>
      </c>
      <c r="D282" s="44" t="str">
        <f>IF($K282="","",INDEX(AUX!$F$2:$F$361,$K282))</f>
        <v/>
      </c>
      <c r="E282" s="42" t="str">
        <f>IF($K282="","",INDEX(AUX!$G$2:$G$361,$K282))</f>
        <v/>
      </c>
      <c r="F282" s="45" t="str">
        <f>IF($K282="","",INDEX(AUX!$H$2:$H$361,$K282))</f>
        <v/>
      </c>
      <c r="G282" s="24" t="str">
        <f>IF($K282="","",INDEX(AUX!$I$2:$I$361,$K282))</f>
        <v/>
      </c>
      <c r="K282" t="str">
        <f>IFERROR(MATCH(275,AUX!$K$2:$K$361,0),"")</f>
        <v/>
      </c>
    </row>
    <row r="283" spans="1:11" x14ac:dyDescent="0.25">
      <c r="A283" s="46" t="str">
        <f>IF($K283="","",276)</f>
        <v/>
      </c>
      <c r="B283" s="47" t="str">
        <f>IF($K283="","",INDEX(AUX!$D$2:$D$361,$K283))</f>
        <v/>
      </c>
      <c r="C283" s="48" t="str">
        <f>IF($K283="","",INDEX(AUX!$E$2:$E$361,$K283))</f>
        <v/>
      </c>
      <c r="D283" s="48" t="str">
        <f>IF($K283="","",INDEX(AUX!$F$2:$F$361,$K283))</f>
        <v/>
      </c>
      <c r="E283" s="46" t="str">
        <f>IF($K283="","",INDEX(AUX!$G$2:$G$361,$K283))</f>
        <v/>
      </c>
      <c r="F283" s="49" t="str">
        <f>IF($K283="","",INDEX(AUX!$H$2:$H$361,$K283))</f>
        <v/>
      </c>
      <c r="G283" s="50" t="str">
        <f>IF($K283="","",INDEX(AUX!$I$2:$I$361,$K283))</f>
        <v/>
      </c>
      <c r="K283" t="str">
        <f>IFERROR(MATCH(276,AUX!$K$2:$K$361,0),"")</f>
        <v/>
      </c>
    </row>
    <row r="284" spans="1:11" x14ac:dyDescent="0.25">
      <c r="A284" s="42" t="str">
        <f>IF($K284="","",277)</f>
        <v/>
      </c>
      <c r="B284" s="43" t="str">
        <f>IF($K284="","",INDEX(AUX!$D$2:$D$361,$K284))</f>
        <v/>
      </c>
      <c r="C284" s="44" t="str">
        <f>IF($K284="","",INDEX(AUX!$E$2:$E$361,$K284))</f>
        <v/>
      </c>
      <c r="D284" s="44" t="str">
        <f>IF($K284="","",INDEX(AUX!$F$2:$F$361,$K284))</f>
        <v/>
      </c>
      <c r="E284" s="42" t="str">
        <f>IF($K284="","",INDEX(AUX!$G$2:$G$361,$K284))</f>
        <v/>
      </c>
      <c r="F284" s="45" t="str">
        <f>IF($K284="","",INDEX(AUX!$H$2:$H$361,$K284))</f>
        <v/>
      </c>
      <c r="G284" s="24" t="str">
        <f>IF($K284="","",INDEX(AUX!$I$2:$I$361,$K284))</f>
        <v/>
      </c>
      <c r="K284" t="str">
        <f>IFERROR(MATCH(277,AUX!$K$2:$K$361,0),"")</f>
        <v/>
      </c>
    </row>
    <row r="285" spans="1:11" x14ac:dyDescent="0.25">
      <c r="A285" s="46" t="str">
        <f>IF($K285="","",278)</f>
        <v/>
      </c>
      <c r="B285" s="47" t="str">
        <f>IF($K285="","",INDEX(AUX!$D$2:$D$361,$K285))</f>
        <v/>
      </c>
      <c r="C285" s="48" t="str">
        <f>IF($K285="","",INDEX(AUX!$E$2:$E$361,$K285))</f>
        <v/>
      </c>
      <c r="D285" s="48" t="str">
        <f>IF($K285="","",INDEX(AUX!$F$2:$F$361,$K285))</f>
        <v/>
      </c>
      <c r="E285" s="46" t="str">
        <f>IF($K285="","",INDEX(AUX!$G$2:$G$361,$K285))</f>
        <v/>
      </c>
      <c r="F285" s="49" t="str">
        <f>IF($K285="","",INDEX(AUX!$H$2:$H$361,$K285))</f>
        <v/>
      </c>
      <c r="G285" s="50" t="str">
        <f>IF($K285="","",INDEX(AUX!$I$2:$I$361,$K285))</f>
        <v/>
      </c>
      <c r="K285" t="str">
        <f>IFERROR(MATCH(278,AUX!$K$2:$K$361,0),"")</f>
        <v/>
      </c>
    </row>
    <row r="286" spans="1:11" x14ac:dyDescent="0.25">
      <c r="A286" s="42" t="str">
        <f>IF($K286="","",279)</f>
        <v/>
      </c>
      <c r="B286" s="43" t="str">
        <f>IF($K286="","",INDEX(AUX!$D$2:$D$361,$K286))</f>
        <v/>
      </c>
      <c r="C286" s="44" t="str">
        <f>IF($K286="","",INDEX(AUX!$E$2:$E$361,$K286))</f>
        <v/>
      </c>
      <c r="D286" s="44" t="str">
        <f>IF($K286="","",INDEX(AUX!$F$2:$F$361,$K286))</f>
        <v/>
      </c>
      <c r="E286" s="42" t="str">
        <f>IF($K286="","",INDEX(AUX!$G$2:$G$361,$K286))</f>
        <v/>
      </c>
      <c r="F286" s="45" t="str">
        <f>IF($K286="","",INDEX(AUX!$H$2:$H$361,$K286))</f>
        <v/>
      </c>
      <c r="G286" s="24" t="str">
        <f>IF($K286="","",INDEX(AUX!$I$2:$I$361,$K286))</f>
        <v/>
      </c>
      <c r="K286" t="str">
        <f>IFERROR(MATCH(279,AUX!$K$2:$K$361,0),"")</f>
        <v/>
      </c>
    </row>
    <row r="287" spans="1:11" x14ac:dyDescent="0.25">
      <c r="A287" s="46" t="str">
        <f>IF($K287="","",280)</f>
        <v/>
      </c>
      <c r="B287" s="47" t="str">
        <f>IF($K287="","",INDEX(AUX!$D$2:$D$361,$K287))</f>
        <v/>
      </c>
      <c r="C287" s="48" t="str">
        <f>IF($K287="","",INDEX(AUX!$E$2:$E$361,$K287))</f>
        <v/>
      </c>
      <c r="D287" s="48" t="str">
        <f>IF($K287="","",INDEX(AUX!$F$2:$F$361,$K287))</f>
        <v/>
      </c>
      <c r="E287" s="46" t="str">
        <f>IF($K287="","",INDEX(AUX!$G$2:$G$361,$K287))</f>
        <v/>
      </c>
      <c r="F287" s="49" t="str">
        <f>IF($K287="","",INDEX(AUX!$H$2:$H$361,$K287))</f>
        <v/>
      </c>
      <c r="G287" s="50" t="str">
        <f>IF($K287="","",INDEX(AUX!$I$2:$I$361,$K287))</f>
        <v/>
      </c>
      <c r="K287" t="str">
        <f>IFERROR(MATCH(280,AUX!$K$2:$K$361,0),"")</f>
        <v/>
      </c>
    </row>
    <row r="288" spans="1:11" x14ac:dyDescent="0.25">
      <c r="A288" s="42" t="str">
        <f>IF($K288="","",281)</f>
        <v/>
      </c>
      <c r="B288" s="43" t="str">
        <f>IF($K288="","",INDEX(AUX!$D$2:$D$361,$K288))</f>
        <v/>
      </c>
      <c r="C288" s="44" t="str">
        <f>IF($K288="","",INDEX(AUX!$E$2:$E$361,$K288))</f>
        <v/>
      </c>
      <c r="D288" s="44" t="str">
        <f>IF($K288="","",INDEX(AUX!$F$2:$F$361,$K288))</f>
        <v/>
      </c>
      <c r="E288" s="42" t="str">
        <f>IF($K288="","",INDEX(AUX!$G$2:$G$361,$K288))</f>
        <v/>
      </c>
      <c r="F288" s="45" t="str">
        <f>IF($K288="","",INDEX(AUX!$H$2:$H$361,$K288))</f>
        <v/>
      </c>
      <c r="G288" s="24" t="str">
        <f>IF($K288="","",INDEX(AUX!$I$2:$I$361,$K288))</f>
        <v/>
      </c>
      <c r="K288" t="str">
        <f>IFERROR(MATCH(281,AUX!$K$2:$K$361,0),"")</f>
        <v/>
      </c>
    </row>
    <row r="289" spans="1:11" x14ac:dyDescent="0.25">
      <c r="A289" s="46" t="str">
        <f>IF($K289="","",282)</f>
        <v/>
      </c>
      <c r="B289" s="47" t="str">
        <f>IF($K289="","",INDEX(AUX!$D$2:$D$361,$K289))</f>
        <v/>
      </c>
      <c r="C289" s="48" t="str">
        <f>IF($K289="","",INDEX(AUX!$E$2:$E$361,$K289))</f>
        <v/>
      </c>
      <c r="D289" s="48" t="str">
        <f>IF($K289="","",INDEX(AUX!$F$2:$F$361,$K289))</f>
        <v/>
      </c>
      <c r="E289" s="46" t="str">
        <f>IF($K289="","",INDEX(AUX!$G$2:$G$361,$K289))</f>
        <v/>
      </c>
      <c r="F289" s="49" t="str">
        <f>IF($K289="","",INDEX(AUX!$H$2:$H$361,$K289))</f>
        <v/>
      </c>
      <c r="G289" s="50" t="str">
        <f>IF($K289="","",INDEX(AUX!$I$2:$I$361,$K289))</f>
        <v/>
      </c>
      <c r="K289" t="str">
        <f>IFERROR(MATCH(282,AUX!$K$2:$K$361,0),"")</f>
        <v/>
      </c>
    </row>
    <row r="290" spans="1:11" x14ac:dyDescent="0.25">
      <c r="A290" s="42" t="str">
        <f>IF($K290="","",283)</f>
        <v/>
      </c>
      <c r="B290" s="43" t="str">
        <f>IF($K290="","",INDEX(AUX!$D$2:$D$361,$K290))</f>
        <v/>
      </c>
      <c r="C290" s="44" t="str">
        <f>IF($K290="","",INDEX(AUX!$E$2:$E$361,$K290))</f>
        <v/>
      </c>
      <c r="D290" s="44" t="str">
        <f>IF($K290="","",INDEX(AUX!$F$2:$F$361,$K290))</f>
        <v/>
      </c>
      <c r="E290" s="42" t="str">
        <f>IF($K290="","",INDEX(AUX!$G$2:$G$361,$K290))</f>
        <v/>
      </c>
      <c r="F290" s="45" t="str">
        <f>IF($K290="","",INDEX(AUX!$H$2:$H$361,$K290))</f>
        <v/>
      </c>
      <c r="G290" s="24" t="str">
        <f>IF($K290="","",INDEX(AUX!$I$2:$I$361,$K290))</f>
        <v/>
      </c>
      <c r="K290" t="str">
        <f>IFERROR(MATCH(283,AUX!$K$2:$K$361,0),"")</f>
        <v/>
      </c>
    </row>
    <row r="291" spans="1:11" x14ac:dyDescent="0.25">
      <c r="A291" s="46" t="str">
        <f>IF($K291="","",284)</f>
        <v/>
      </c>
      <c r="B291" s="47" t="str">
        <f>IF($K291="","",INDEX(AUX!$D$2:$D$361,$K291))</f>
        <v/>
      </c>
      <c r="C291" s="48" t="str">
        <f>IF($K291="","",INDEX(AUX!$E$2:$E$361,$K291))</f>
        <v/>
      </c>
      <c r="D291" s="48" t="str">
        <f>IF($K291="","",INDEX(AUX!$F$2:$F$361,$K291))</f>
        <v/>
      </c>
      <c r="E291" s="46" t="str">
        <f>IF($K291="","",INDEX(AUX!$G$2:$G$361,$K291))</f>
        <v/>
      </c>
      <c r="F291" s="49" t="str">
        <f>IF($K291="","",INDEX(AUX!$H$2:$H$361,$K291))</f>
        <v/>
      </c>
      <c r="G291" s="50" t="str">
        <f>IF($K291="","",INDEX(AUX!$I$2:$I$361,$K291))</f>
        <v/>
      </c>
      <c r="K291" t="str">
        <f>IFERROR(MATCH(284,AUX!$K$2:$K$361,0),"")</f>
        <v/>
      </c>
    </row>
    <row r="292" spans="1:11" x14ac:dyDescent="0.25">
      <c r="A292" s="42" t="str">
        <f>IF($K292="","",285)</f>
        <v/>
      </c>
      <c r="B292" s="43" t="str">
        <f>IF($K292="","",INDEX(AUX!$D$2:$D$361,$K292))</f>
        <v/>
      </c>
      <c r="C292" s="44" t="str">
        <f>IF($K292="","",INDEX(AUX!$E$2:$E$361,$K292))</f>
        <v/>
      </c>
      <c r="D292" s="44" t="str">
        <f>IF($K292="","",INDEX(AUX!$F$2:$F$361,$K292))</f>
        <v/>
      </c>
      <c r="E292" s="42" t="str">
        <f>IF($K292="","",INDEX(AUX!$G$2:$G$361,$K292))</f>
        <v/>
      </c>
      <c r="F292" s="45" t="str">
        <f>IF($K292="","",INDEX(AUX!$H$2:$H$361,$K292))</f>
        <v/>
      </c>
      <c r="G292" s="24" t="str">
        <f>IF($K292="","",INDEX(AUX!$I$2:$I$361,$K292))</f>
        <v/>
      </c>
      <c r="K292" t="str">
        <f>IFERROR(MATCH(285,AUX!$K$2:$K$361,0),"")</f>
        <v/>
      </c>
    </row>
    <row r="293" spans="1:11" x14ac:dyDescent="0.25">
      <c r="A293" s="46" t="str">
        <f>IF($K293="","",286)</f>
        <v/>
      </c>
      <c r="B293" s="47" t="str">
        <f>IF($K293="","",INDEX(AUX!$D$2:$D$361,$K293))</f>
        <v/>
      </c>
      <c r="C293" s="48" t="str">
        <f>IF($K293="","",INDEX(AUX!$E$2:$E$361,$K293))</f>
        <v/>
      </c>
      <c r="D293" s="48" t="str">
        <f>IF($K293="","",INDEX(AUX!$F$2:$F$361,$K293))</f>
        <v/>
      </c>
      <c r="E293" s="46" t="str">
        <f>IF($K293="","",INDEX(AUX!$G$2:$G$361,$K293))</f>
        <v/>
      </c>
      <c r="F293" s="49" t="str">
        <f>IF($K293="","",INDEX(AUX!$H$2:$H$361,$K293))</f>
        <v/>
      </c>
      <c r="G293" s="50" t="str">
        <f>IF($K293="","",INDEX(AUX!$I$2:$I$361,$K293))</f>
        <v/>
      </c>
      <c r="K293" t="str">
        <f>IFERROR(MATCH(286,AUX!$K$2:$K$361,0),"")</f>
        <v/>
      </c>
    </row>
    <row r="294" spans="1:11" x14ac:dyDescent="0.25">
      <c r="A294" s="42" t="str">
        <f>IF($K294="","",287)</f>
        <v/>
      </c>
      <c r="B294" s="43" t="str">
        <f>IF($K294="","",INDEX(AUX!$D$2:$D$361,$K294))</f>
        <v/>
      </c>
      <c r="C294" s="44" t="str">
        <f>IF($K294="","",INDEX(AUX!$E$2:$E$361,$K294))</f>
        <v/>
      </c>
      <c r="D294" s="44" t="str">
        <f>IF($K294="","",INDEX(AUX!$F$2:$F$361,$K294))</f>
        <v/>
      </c>
      <c r="E294" s="42" t="str">
        <f>IF($K294="","",INDEX(AUX!$G$2:$G$361,$K294))</f>
        <v/>
      </c>
      <c r="F294" s="45" t="str">
        <f>IF($K294="","",INDEX(AUX!$H$2:$H$361,$K294))</f>
        <v/>
      </c>
      <c r="G294" s="24" t="str">
        <f>IF($K294="","",INDEX(AUX!$I$2:$I$361,$K294))</f>
        <v/>
      </c>
      <c r="K294" t="str">
        <f>IFERROR(MATCH(287,AUX!$K$2:$K$361,0),"")</f>
        <v/>
      </c>
    </row>
    <row r="295" spans="1:11" x14ac:dyDescent="0.25">
      <c r="A295" s="46" t="str">
        <f>IF($K295="","",288)</f>
        <v/>
      </c>
      <c r="B295" s="47" t="str">
        <f>IF($K295="","",INDEX(AUX!$D$2:$D$361,$K295))</f>
        <v/>
      </c>
      <c r="C295" s="48" t="str">
        <f>IF($K295="","",INDEX(AUX!$E$2:$E$361,$K295))</f>
        <v/>
      </c>
      <c r="D295" s="48" t="str">
        <f>IF($K295="","",INDEX(AUX!$F$2:$F$361,$K295))</f>
        <v/>
      </c>
      <c r="E295" s="46" t="str">
        <f>IF($K295="","",INDEX(AUX!$G$2:$G$361,$K295))</f>
        <v/>
      </c>
      <c r="F295" s="49" t="str">
        <f>IF($K295="","",INDEX(AUX!$H$2:$H$361,$K295))</f>
        <v/>
      </c>
      <c r="G295" s="50" t="str">
        <f>IF($K295="","",INDEX(AUX!$I$2:$I$361,$K295))</f>
        <v/>
      </c>
      <c r="K295" t="str">
        <f>IFERROR(MATCH(288,AUX!$K$2:$K$361,0),"")</f>
        <v/>
      </c>
    </row>
    <row r="296" spans="1:11" x14ac:dyDescent="0.25">
      <c r="A296" s="42" t="str">
        <f>IF($K296="","",289)</f>
        <v/>
      </c>
      <c r="B296" s="43" t="str">
        <f>IF($K296="","",INDEX(AUX!$D$2:$D$361,$K296))</f>
        <v/>
      </c>
      <c r="C296" s="44" t="str">
        <f>IF($K296="","",INDEX(AUX!$E$2:$E$361,$K296))</f>
        <v/>
      </c>
      <c r="D296" s="44" t="str">
        <f>IF($K296="","",INDEX(AUX!$F$2:$F$361,$K296))</f>
        <v/>
      </c>
      <c r="E296" s="42" t="str">
        <f>IF($K296="","",INDEX(AUX!$G$2:$G$361,$K296))</f>
        <v/>
      </c>
      <c r="F296" s="45" t="str">
        <f>IF($K296="","",INDEX(AUX!$H$2:$H$361,$K296))</f>
        <v/>
      </c>
      <c r="G296" s="24" t="str">
        <f>IF($K296="","",INDEX(AUX!$I$2:$I$361,$K296))</f>
        <v/>
      </c>
      <c r="K296" t="str">
        <f>IFERROR(MATCH(289,AUX!$K$2:$K$361,0),"")</f>
        <v/>
      </c>
    </row>
    <row r="297" spans="1:11" x14ac:dyDescent="0.25">
      <c r="A297" s="46" t="str">
        <f>IF($K297="","",290)</f>
        <v/>
      </c>
      <c r="B297" s="47" t="str">
        <f>IF($K297="","",INDEX(AUX!$D$2:$D$361,$K297))</f>
        <v/>
      </c>
      <c r="C297" s="48" t="str">
        <f>IF($K297="","",INDEX(AUX!$E$2:$E$361,$K297))</f>
        <v/>
      </c>
      <c r="D297" s="48" t="str">
        <f>IF($K297="","",INDEX(AUX!$F$2:$F$361,$K297))</f>
        <v/>
      </c>
      <c r="E297" s="46" t="str">
        <f>IF($K297="","",INDEX(AUX!$G$2:$G$361,$K297))</f>
        <v/>
      </c>
      <c r="F297" s="49" t="str">
        <f>IF($K297="","",INDEX(AUX!$H$2:$H$361,$K297))</f>
        <v/>
      </c>
      <c r="G297" s="50" t="str">
        <f>IF($K297="","",INDEX(AUX!$I$2:$I$361,$K297))</f>
        <v/>
      </c>
      <c r="K297" t="str">
        <f>IFERROR(MATCH(290,AUX!$K$2:$K$361,0),"")</f>
        <v/>
      </c>
    </row>
    <row r="298" spans="1:11" x14ac:dyDescent="0.25">
      <c r="A298" s="42" t="str">
        <f>IF($K298="","",291)</f>
        <v/>
      </c>
      <c r="B298" s="43" t="str">
        <f>IF($K298="","",INDEX(AUX!$D$2:$D$361,$K298))</f>
        <v/>
      </c>
      <c r="C298" s="44" t="str">
        <f>IF($K298="","",INDEX(AUX!$E$2:$E$361,$K298))</f>
        <v/>
      </c>
      <c r="D298" s="44" t="str">
        <f>IF($K298="","",INDEX(AUX!$F$2:$F$361,$K298))</f>
        <v/>
      </c>
      <c r="E298" s="42" t="str">
        <f>IF($K298="","",INDEX(AUX!$G$2:$G$361,$K298))</f>
        <v/>
      </c>
      <c r="F298" s="45" t="str">
        <f>IF($K298="","",INDEX(AUX!$H$2:$H$361,$K298))</f>
        <v/>
      </c>
      <c r="G298" s="24" t="str">
        <f>IF($K298="","",INDEX(AUX!$I$2:$I$361,$K298))</f>
        <v/>
      </c>
      <c r="K298" t="str">
        <f>IFERROR(MATCH(291,AUX!$K$2:$K$361,0),"")</f>
        <v/>
      </c>
    </row>
    <row r="299" spans="1:11" x14ac:dyDescent="0.25">
      <c r="A299" s="46" t="str">
        <f>IF($K299="","",292)</f>
        <v/>
      </c>
      <c r="B299" s="47" t="str">
        <f>IF($K299="","",INDEX(AUX!$D$2:$D$361,$K299))</f>
        <v/>
      </c>
      <c r="C299" s="48" t="str">
        <f>IF($K299="","",INDEX(AUX!$E$2:$E$361,$K299))</f>
        <v/>
      </c>
      <c r="D299" s="48" t="str">
        <f>IF($K299="","",INDEX(AUX!$F$2:$F$361,$K299))</f>
        <v/>
      </c>
      <c r="E299" s="46" t="str">
        <f>IF($K299="","",INDEX(AUX!$G$2:$G$361,$K299))</f>
        <v/>
      </c>
      <c r="F299" s="49" t="str">
        <f>IF($K299="","",INDEX(AUX!$H$2:$H$361,$K299))</f>
        <v/>
      </c>
      <c r="G299" s="50" t="str">
        <f>IF($K299="","",INDEX(AUX!$I$2:$I$361,$K299))</f>
        <v/>
      </c>
      <c r="K299" t="str">
        <f>IFERROR(MATCH(292,AUX!$K$2:$K$361,0),"")</f>
        <v/>
      </c>
    </row>
    <row r="300" spans="1:11" x14ac:dyDescent="0.25">
      <c r="A300" s="42" t="str">
        <f>IF($K300="","",293)</f>
        <v/>
      </c>
      <c r="B300" s="43" t="str">
        <f>IF($K300="","",INDEX(AUX!$D$2:$D$361,$K300))</f>
        <v/>
      </c>
      <c r="C300" s="44" t="str">
        <f>IF($K300="","",INDEX(AUX!$E$2:$E$361,$K300))</f>
        <v/>
      </c>
      <c r="D300" s="44" t="str">
        <f>IF($K300="","",INDEX(AUX!$F$2:$F$361,$K300))</f>
        <v/>
      </c>
      <c r="E300" s="42" t="str">
        <f>IF($K300="","",INDEX(AUX!$G$2:$G$361,$K300))</f>
        <v/>
      </c>
      <c r="F300" s="45" t="str">
        <f>IF($K300="","",INDEX(AUX!$H$2:$H$361,$K300))</f>
        <v/>
      </c>
      <c r="G300" s="24" t="str">
        <f>IF($K300="","",INDEX(AUX!$I$2:$I$361,$K300))</f>
        <v/>
      </c>
      <c r="K300" t="str">
        <f>IFERROR(MATCH(293,AUX!$K$2:$K$361,0),"")</f>
        <v/>
      </c>
    </row>
    <row r="301" spans="1:11" x14ac:dyDescent="0.25">
      <c r="A301" s="46" t="str">
        <f>IF($K301="","",294)</f>
        <v/>
      </c>
      <c r="B301" s="47" t="str">
        <f>IF($K301="","",INDEX(AUX!$D$2:$D$361,$K301))</f>
        <v/>
      </c>
      <c r="C301" s="48" t="str">
        <f>IF($K301="","",INDEX(AUX!$E$2:$E$361,$K301))</f>
        <v/>
      </c>
      <c r="D301" s="48" t="str">
        <f>IF($K301="","",INDEX(AUX!$F$2:$F$361,$K301))</f>
        <v/>
      </c>
      <c r="E301" s="46" t="str">
        <f>IF($K301="","",INDEX(AUX!$G$2:$G$361,$K301))</f>
        <v/>
      </c>
      <c r="F301" s="49" t="str">
        <f>IF($K301="","",INDEX(AUX!$H$2:$H$361,$K301))</f>
        <v/>
      </c>
      <c r="G301" s="50" t="str">
        <f>IF($K301="","",INDEX(AUX!$I$2:$I$361,$K301))</f>
        <v/>
      </c>
      <c r="K301" t="str">
        <f>IFERROR(MATCH(294,AUX!$K$2:$K$361,0),"")</f>
        <v/>
      </c>
    </row>
    <row r="302" spans="1:11" x14ac:dyDescent="0.25">
      <c r="A302" s="42" t="str">
        <f>IF($K302="","",295)</f>
        <v/>
      </c>
      <c r="B302" s="43" t="str">
        <f>IF($K302="","",INDEX(AUX!$D$2:$D$361,$K302))</f>
        <v/>
      </c>
      <c r="C302" s="44" t="str">
        <f>IF($K302="","",INDEX(AUX!$E$2:$E$361,$K302))</f>
        <v/>
      </c>
      <c r="D302" s="44" t="str">
        <f>IF($K302="","",INDEX(AUX!$F$2:$F$361,$K302))</f>
        <v/>
      </c>
      <c r="E302" s="42" t="str">
        <f>IF($K302="","",INDEX(AUX!$G$2:$G$361,$K302))</f>
        <v/>
      </c>
      <c r="F302" s="45" t="str">
        <f>IF($K302="","",INDEX(AUX!$H$2:$H$361,$K302))</f>
        <v/>
      </c>
      <c r="G302" s="24" t="str">
        <f>IF($K302="","",INDEX(AUX!$I$2:$I$361,$K302))</f>
        <v/>
      </c>
      <c r="K302" t="str">
        <f>IFERROR(MATCH(295,AUX!$K$2:$K$361,0),"")</f>
        <v/>
      </c>
    </row>
    <row r="303" spans="1:11" x14ac:dyDescent="0.25">
      <c r="A303" s="46" t="str">
        <f>IF($K303="","",296)</f>
        <v/>
      </c>
      <c r="B303" s="47" t="str">
        <f>IF($K303="","",INDEX(AUX!$D$2:$D$361,$K303))</f>
        <v/>
      </c>
      <c r="C303" s="48" t="str">
        <f>IF($K303="","",INDEX(AUX!$E$2:$E$361,$K303))</f>
        <v/>
      </c>
      <c r="D303" s="48" t="str">
        <f>IF($K303="","",INDEX(AUX!$F$2:$F$361,$K303))</f>
        <v/>
      </c>
      <c r="E303" s="46" t="str">
        <f>IF($K303="","",INDEX(AUX!$G$2:$G$361,$K303))</f>
        <v/>
      </c>
      <c r="F303" s="49" t="str">
        <f>IF($K303="","",INDEX(AUX!$H$2:$H$361,$K303))</f>
        <v/>
      </c>
      <c r="G303" s="50" t="str">
        <f>IF($K303="","",INDEX(AUX!$I$2:$I$361,$K303))</f>
        <v/>
      </c>
      <c r="K303" t="str">
        <f>IFERROR(MATCH(296,AUX!$K$2:$K$361,0),"")</f>
        <v/>
      </c>
    </row>
    <row r="304" spans="1:11" x14ac:dyDescent="0.25">
      <c r="A304" s="42" t="str">
        <f>IF($K304="","",297)</f>
        <v/>
      </c>
      <c r="B304" s="43" t="str">
        <f>IF($K304="","",INDEX(AUX!$D$2:$D$361,$K304))</f>
        <v/>
      </c>
      <c r="C304" s="44" t="str">
        <f>IF($K304="","",INDEX(AUX!$E$2:$E$361,$K304))</f>
        <v/>
      </c>
      <c r="D304" s="44" t="str">
        <f>IF($K304="","",INDEX(AUX!$F$2:$F$361,$K304))</f>
        <v/>
      </c>
      <c r="E304" s="42" t="str">
        <f>IF($K304="","",INDEX(AUX!$G$2:$G$361,$K304))</f>
        <v/>
      </c>
      <c r="F304" s="45" t="str">
        <f>IF($K304="","",INDEX(AUX!$H$2:$H$361,$K304))</f>
        <v/>
      </c>
      <c r="G304" s="24" t="str">
        <f>IF($K304="","",INDEX(AUX!$I$2:$I$361,$K304))</f>
        <v/>
      </c>
      <c r="K304" t="str">
        <f>IFERROR(MATCH(297,AUX!$K$2:$K$361,0),"")</f>
        <v/>
      </c>
    </row>
    <row r="305" spans="1:11" x14ac:dyDescent="0.25">
      <c r="A305" s="46" t="str">
        <f>IF($K305="","",298)</f>
        <v/>
      </c>
      <c r="B305" s="47" t="str">
        <f>IF($K305="","",INDEX(AUX!$D$2:$D$361,$K305))</f>
        <v/>
      </c>
      <c r="C305" s="48" t="str">
        <f>IF($K305="","",INDEX(AUX!$E$2:$E$361,$K305))</f>
        <v/>
      </c>
      <c r="D305" s="48" t="str">
        <f>IF($K305="","",INDEX(AUX!$F$2:$F$361,$K305))</f>
        <v/>
      </c>
      <c r="E305" s="46" t="str">
        <f>IF($K305="","",INDEX(AUX!$G$2:$G$361,$K305))</f>
        <v/>
      </c>
      <c r="F305" s="49" t="str">
        <f>IF($K305="","",INDEX(AUX!$H$2:$H$361,$K305))</f>
        <v/>
      </c>
      <c r="G305" s="50" t="str">
        <f>IF($K305="","",INDEX(AUX!$I$2:$I$361,$K305))</f>
        <v/>
      </c>
      <c r="K305" t="str">
        <f>IFERROR(MATCH(298,AUX!$K$2:$K$361,0),"")</f>
        <v/>
      </c>
    </row>
    <row r="306" spans="1:11" x14ac:dyDescent="0.25">
      <c r="A306" s="42" t="str">
        <f>IF($K306="","",299)</f>
        <v/>
      </c>
      <c r="B306" s="43" t="str">
        <f>IF($K306="","",INDEX(AUX!$D$2:$D$361,$K306))</f>
        <v/>
      </c>
      <c r="C306" s="44" t="str">
        <f>IF($K306="","",INDEX(AUX!$E$2:$E$361,$K306))</f>
        <v/>
      </c>
      <c r="D306" s="44" t="str">
        <f>IF($K306="","",INDEX(AUX!$F$2:$F$361,$K306))</f>
        <v/>
      </c>
      <c r="E306" s="42" t="str">
        <f>IF($K306="","",INDEX(AUX!$G$2:$G$361,$K306))</f>
        <v/>
      </c>
      <c r="F306" s="45" t="str">
        <f>IF($K306="","",INDEX(AUX!$H$2:$H$361,$K306))</f>
        <v/>
      </c>
      <c r="G306" s="24" t="str">
        <f>IF($K306="","",INDEX(AUX!$I$2:$I$361,$K306))</f>
        <v/>
      </c>
      <c r="K306" t="str">
        <f>IFERROR(MATCH(299,AUX!$K$2:$K$361,0),"")</f>
        <v/>
      </c>
    </row>
    <row r="307" spans="1:11" x14ac:dyDescent="0.25">
      <c r="A307" s="46" t="str">
        <f>IF($K307="","",300)</f>
        <v/>
      </c>
      <c r="B307" s="47" t="str">
        <f>IF($K307="","",INDEX(AUX!$D$2:$D$361,$K307))</f>
        <v/>
      </c>
      <c r="C307" s="48" t="str">
        <f>IF($K307="","",INDEX(AUX!$E$2:$E$361,$K307))</f>
        <v/>
      </c>
      <c r="D307" s="48" t="str">
        <f>IF($K307="","",INDEX(AUX!$F$2:$F$361,$K307))</f>
        <v/>
      </c>
      <c r="E307" s="46" t="str">
        <f>IF($K307="","",INDEX(AUX!$G$2:$G$361,$K307))</f>
        <v/>
      </c>
      <c r="F307" s="49" t="str">
        <f>IF($K307="","",INDEX(AUX!$H$2:$H$361,$K307))</f>
        <v/>
      </c>
      <c r="G307" s="50" t="str">
        <f>IF($K307="","",INDEX(AUX!$I$2:$I$361,$K307))</f>
        <v/>
      </c>
      <c r="K307" t="str">
        <f>IFERROR(MATCH(300,AUX!$K$2:$K$361,0),"")</f>
        <v/>
      </c>
    </row>
    <row r="308" spans="1:11" x14ac:dyDescent="0.25">
      <c r="A308" s="42" t="str">
        <f>IF($K308="","",301)</f>
        <v/>
      </c>
      <c r="B308" s="43" t="str">
        <f>IF($K308="","",INDEX(AUX!$D$2:$D$361,$K308))</f>
        <v/>
      </c>
      <c r="C308" s="44" t="str">
        <f>IF($K308="","",INDEX(AUX!$E$2:$E$361,$K308))</f>
        <v/>
      </c>
      <c r="D308" s="44" t="str">
        <f>IF($K308="","",INDEX(AUX!$F$2:$F$361,$K308))</f>
        <v/>
      </c>
      <c r="E308" s="42" t="str">
        <f>IF($K308="","",INDEX(AUX!$G$2:$G$361,$K308))</f>
        <v/>
      </c>
      <c r="F308" s="45" t="str">
        <f>IF($K308="","",INDEX(AUX!$H$2:$H$361,$K308))</f>
        <v/>
      </c>
      <c r="G308" s="24" t="str">
        <f>IF($K308="","",INDEX(AUX!$I$2:$I$361,$K308))</f>
        <v/>
      </c>
      <c r="K308" t="str">
        <f>IFERROR(MATCH(301,AUX!$K$2:$K$361,0),"")</f>
        <v/>
      </c>
    </row>
    <row r="309" spans="1:11" x14ac:dyDescent="0.25">
      <c r="A309" s="46" t="str">
        <f>IF($K309="","",302)</f>
        <v/>
      </c>
      <c r="B309" s="47" t="str">
        <f>IF($K309="","",INDEX(AUX!$D$2:$D$361,$K309))</f>
        <v/>
      </c>
      <c r="C309" s="48" t="str">
        <f>IF($K309="","",INDEX(AUX!$E$2:$E$361,$K309))</f>
        <v/>
      </c>
      <c r="D309" s="48" t="str">
        <f>IF($K309="","",INDEX(AUX!$F$2:$F$361,$K309))</f>
        <v/>
      </c>
      <c r="E309" s="46" t="str">
        <f>IF($K309="","",INDEX(AUX!$G$2:$G$361,$K309))</f>
        <v/>
      </c>
      <c r="F309" s="49" t="str">
        <f>IF($K309="","",INDEX(AUX!$H$2:$H$361,$K309))</f>
        <v/>
      </c>
      <c r="G309" s="50" t="str">
        <f>IF($K309="","",INDEX(AUX!$I$2:$I$361,$K309))</f>
        <v/>
      </c>
      <c r="K309" t="str">
        <f>IFERROR(MATCH(302,AUX!$K$2:$K$361,0),"")</f>
        <v/>
      </c>
    </row>
    <row r="310" spans="1:11" x14ac:dyDescent="0.25">
      <c r="A310" s="42" t="str">
        <f>IF($K310="","",303)</f>
        <v/>
      </c>
      <c r="B310" s="43" t="str">
        <f>IF($K310="","",INDEX(AUX!$D$2:$D$361,$K310))</f>
        <v/>
      </c>
      <c r="C310" s="44" t="str">
        <f>IF($K310="","",INDEX(AUX!$E$2:$E$361,$K310))</f>
        <v/>
      </c>
      <c r="D310" s="44" t="str">
        <f>IF($K310="","",INDEX(AUX!$F$2:$F$361,$K310))</f>
        <v/>
      </c>
      <c r="E310" s="42" t="str">
        <f>IF($K310="","",INDEX(AUX!$G$2:$G$361,$K310))</f>
        <v/>
      </c>
      <c r="F310" s="45" t="str">
        <f>IF($K310="","",INDEX(AUX!$H$2:$H$361,$K310))</f>
        <v/>
      </c>
      <c r="G310" s="24" t="str">
        <f>IF($K310="","",INDEX(AUX!$I$2:$I$361,$K310))</f>
        <v/>
      </c>
      <c r="K310" t="str">
        <f>IFERROR(MATCH(303,AUX!$K$2:$K$361,0),"")</f>
        <v/>
      </c>
    </row>
    <row r="311" spans="1:11" x14ac:dyDescent="0.25">
      <c r="A311" s="46" t="str">
        <f>IF($K311="","",304)</f>
        <v/>
      </c>
      <c r="B311" s="47" t="str">
        <f>IF($K311="","",INDEX(AUX!$D$2:$D$361,$K311))</f>
        <v/>
      </c>
      <c r="C311" s="48" t="str">
        <f>IF($K311="","",INDEX(AUX!$E$2:$E$361,$K311))</f>
        <v/>
      </c>
      <c r="D311" s="48" t="str">
        <f>IF($K311="","",INDEX(AUX!$F$2:$F$361,$K311))</f>
        <v/>
      </c>
      <c r="E311" s="46" t="str">
        <f>IF($K311="","",INDEX(AUX!$G$2:$G$361,$K311))</f>
        <v/>
      </c>
      <c r="F311" s="49" t="str">
        <f>IF($K311="","",INDEX(AUX!$H$2:$H$361,$K311))</f>
        <v/>
      </c>
      <c r="G311" s="50" t="str">
        <f>IF($K311="","",INDEX(AUX!$I$2:$I$361,$K311))</f>
        <v/>
      </c>
      <c r="K311" t="str">
        <f>IFERROR(MATCH(304,AUX!$K$2:$K$361,0),"")</f>
        <v/>
      </c>
    </row>
    <row r="312" spans="1:11" x14ac:dyDescent="0.25">
      <c r="A312" s="42" t="str">
        <f>IF($K312="","",305)</f>
        <v/>
      </c>
      <c r="B312" s="43" t="str">
        <f>IF($K312="","",INDEX(AUX!$D$2:$D$361,$K312))</f>
        <v/>
      </c>
      <c r="C312" s="44" t="str">
        <f>IF($K312="","",INDEX(AUX!$E$2:$E$361,$K312))</f>
        <v/>
      </c>
      <c r="D312" s="44" t="str">
        <f>IF($K312="","",INDEX(AUX!$F$2:$F$361,$K312))</f>
        <v/>
      </c>
      <c r="E312" s="42" t="str">
        <f>IF($K312="","",INDEX(AUX!$G$2:$G$361,$K312))</f>
        <v/>
      </c>
      <c r="F312" s="45" t="str">
        <f>IF($K312="","",INDEX(AUX!$H$2:$H$361,$K312))</f>
        <v/>
      </c>
      <c r="G312" s="24" t="str">
        <f>IF($K312="","",INDEX(AUX!$I$2:$I$361,$K312))</f>
        <v/>
      </c>
      <c r="K312" t="str">
        <f>IFERROR(MATCH(305,AUX!$K$2:$K$361,0),"")</f>
        <v/>
      </c>
    </row>
    <row r="313" spans="1:11" x14ac:dyDescent="0.25">
      <c r="A313" s="46" t="str">
        <f>IF($K313="","",306)</f>
        <v/>
      </c>
      <c r="B313" s="47" t="str">
        <f>IF($K313="","",INDEX(AUX!$D$2:$D$361,$K313))</f>
        <v/>
      </c>
      <c r="C313" s="48" t="str">
        <f>IF($K313="","",INDEX(AUX!$E$2:$E$361,$K313))</f>
        <v/>
      </c>
      <c r="D313" s="48" t="str">
        <f>IF($K313="","",INDEX(AUX!$F$2:$F$361,$K313))</f>
        <v/>
      </c>
      <c r="E313" s="46" t="str">
        <f>IF($K313="","",INDEX(AUX!$G$2:$G$361,$K313))</f>
        <v/>
      </c>
      <c r="F313" s="49" t="str">
        <f>IF($K313="","",INDEX(AUX!$H$2:$H$361,$K313))</f>
        <v/>
      </c>
      <c r="G313" s="50" t="str">
        <f>IF($K313="","",INDEX(AUX!$I$2:$I$361,$K313))</f>
        <v/>
      </c>
      <c r="K313" t="str">
        <f>IFERROR(MATCH(306,AUX!$K$2:$K$361,0),"")</f>
        <v/>
      </c>
    </row>
    <row r="314" spans="1:11" x14ac:dyDescent="0.25">
      <c r="A314" s="42" t="str">
        <f>IF($K314="","",307)</f>
        <v/>
      </c>
      <c r="B314" s="43" t="str">
        <f>IF($K314="","",INDEX(AUX!$D$2:$D$361,$K314))</f>
        <v/>
      </c>
      <c r="C314" s="44" t="str">
        <f>IF($K314="","",INDEX(AUX!$E$2:$E$361,$K314))</f>
        <v/>
      </c>
      <c r="D314" s="44" t="str">
        <f>IF($K314="","",INDEX(AUX!$F$2:$F$361,$K314))</f>
        <v/>
      </c>
      <c r="E314" s="42" t="str">
        <f>IF($K314="","",INDEX(AUX!$G$2:$G$361,$K314))</f>
        <v/>
      </c>
      <c r="F314" s="45" t="str">
        <f>IF($K314="","",INDEX(AUX!$H$2:$H$361,$K314))</f>
        <v/>
      </c>
      <c r="G314" s="24" t="str">
        <f>IF($K314="","",INDEX(AUX!$I$2:$I$361,$K314))</f>
        <v/>
      </c>
      <c r="K314" t="str">
        <f>IFERROR(MATCH(307,AUX!$K$2:$K$361,0),"")</f>
        <v/>
      </c>
    </row>
    <row r="315" spans="1:11" x14ac:dyDescent="0.25">
      <c r="A315" s="46" t="str">
        <f>IF($K315="","",308)</f>
        <v/>
      </c>
      <c r="B315" s="47" t="str">
        <f>IF($K315="","",INDEX(AUX!$D$2:$D$361,$K315))</f>
        <v/>
      </c>
      <c r="C315" s="48" t="str">
        <f>IF($K315="","",INDEX(AUX!$E$2:$E$361,$K315))</f>
        <v/>
      </c>
      <c r="D315" s="48" t="str">
        <f>IF($K315="","",INDEX(AUX!$F$2:$F$361,$K315))</f>
        <v/>
      </c>
      <c r="E315" s="46" t="str">
        <f>IF($K315="","",INDEX(AUX!$G$2:$G$361,$K315))</f>
        <v/>
      </c>
      <c r="F315" s="49" t="str">
        <f>IF($K315="","",INDEX(AUX!$H$2:$H$361,$K315))</f>
        <v/>
      </c>
      <c r="G315" s="50" t="str">
        <f>IF($K315="","",INDEX(AUX!$I$2:$I$361,$K315))</f>
        <v/>
      </c>
      <c r="K315" t="str">
        <f>IFERROR(MATCH(308,AUX!$K$2:$K$361,0),"")</f>
        <v/>
      </c>
    </row>
    <row r="316" spans="1:11" x14ac:dyDescent="0.25">
      <c r="A316" s="42" t="str">
        <f>IF($K316="","",309)</f>
        <v/>
      </c>
      <c r="B316" s="43" t="str">
        <f>IF($K316="","",INDEX(AUX!$D$2:$D$361,$K316))</f>
        <v/>
      </c>
      <c r="C316" s="44" t="str">
        <f>IF($K316="","",INDEX(AUX!$E$2:$E$361,$K316))</f>
        <v/>
      </c>
      <c r="D316" s="44" t="str">
        <f>IF($K316="","",INDEX(AUX!$F$2:$F$361,$K316))</f>
        <v/>
      </c>
      <c r="E316" s="42" t="str">
        <f>IF($K316="","",INDEX(AUX!$G$2:$G$361,$K316))</f>
        <v/>
      </c>
      <c r="F316" s="45" t="str">
        <f>IF($K316="","",INDEX(AUX!$H$2:$H$361,$K316))</f>
        <v/>
      </c>
      <c r="G316" s="24" t="str">
        <f>IF($K316="","",INDEX(AUX!$I$2:$I$361,$K316))</f>
        <v/>
      </c>
      <c r="K316" t="str">
        <f>IFERROR(MATCH(309,AUX!$K$2:$K$361,0),"")</f>
        <v/>
      </c>
    </row>
    <row r="317" spans="1:11" x14ac:dyDescent="0.25">
      <c r="A317" s="46" t="str">
        <f>IF($K317="","",310)</f>
        <v/>
      </c>
      <c r="B317" s="47" t="str">
        <f>IF($K317="","",INDEX(AUX!$D$2:$D$361,$K317))</f>
        <v/>
      </c>
      <c r="C317" s="48" t="str">
        <f>IF($K317="","",INDEX(AUX!$E$2:$E$361,$K317))</f>
        <v/>
      </c>
      <c r="D317" s="48" t="str">
        <f>IF($K317="","",INDEX(AUX!$F$2:$F$361,$K317))</f>
        <v/>
      </c>
      <c r="E317" s="46" t="str">
        <f>IF($K317="","",INDEX(AUX!$G$2:$G$361,$K317))</f>
        <v/>
      </c>
      <c r="F317" s="49" t="str">
        <f>IF($K317="","",INDEX(AUX!$H$2:$H$361,$K317))</f>
        <v/>
      </c>
      <c r="G317" s="50" t="str">
        <f>IF($K317="","",INDEX(AUX!$I$2:$I$361,$K317))</f>
        <v/>
      </c>
      <c r="K317" t="str">
        <f>IFERROR(MATCH(310,AUX!$K$2:$K$361,0),"")</f>
        <v/>
      </c>
    </row>
    <row r="318" spans="1:11" x14ac:dyDescent="0.25">
      <c r="A318" s="42" t="str">
        <f>IF($K318="","",311)</f>
        <v/>
      </c>
      <c r="B318" s="43" t="str">
        <f>IF($K318="","",INDEX(AUX!$D$2:$D$361,$K318))</f>
        <v/>
      </c>
      <c r="C318" s="44" t="str">
        <f>IF($K318="","",INDEX(AUX!$E$2:$E$361,$K318))</f>
        <v/>
      </c>
      <c r="D318" s="44" t="str">
        <f>IF($K318="","",INDEX(AUX!$F$2:$F$361,$K318))</f>
        <v/>
      </c>
      <c r="E318" s="42" t="str">
        <f>IF($K318="","",INDEX(AUX!$G$2:$G$361,$K318))</f>
        <v/>
      </c>
      <c r="F318" s="45" t="str">
        <f>IF($K318="","",INDEX(AUX!$H$2:$H$361,$K318))</f>
        <v/>
      </c>
      <c r="G318" s="24" t="str">
        <f>IF($K318="","",INDEX(AUX!$I$2:$I$361,$K318))</f>
        <v/>
      </c>
      <c r="K318" t="str">
        <f>IFERROR(MATCH(311,AUX!$K$2:$K$361,0),"")</f>
        <v/>
      </c>
    </row>
    <row r="319" spans="1:11" x14ac:dyDescent="0.25">
      <c r="A319" s="46" t="str">
        <f>IF($K319="","",312)</f>
        <v/>
      </c>
      <c r="B319" s="47" t="str">
        <f>IF($K319="","",INDEX(AUX!$D$2:$D$361,$K319))</f>
        <v/>
      </c>
      <c r="C319" s="48" t="str">
        <f>IF($K319="","",INDEX(AUX!$E$2:$E$361,$K319))</f>
        <v/>
      </c>
      <c r="D319" s="48" t="str">
        <f>IF($K319="","",INDEX(AUX!$F$2:$F$361,$K319))</f>
        <v/>
      </c>
      <c r="E319" s="46" t="str">
        <f>IF($K319="","",INDEX(AUX!$G$2:$G$361,$K319))</f>
        <v/>
      </c>
      <c r="F319" s="49" t="str">
        <f>IF($K319="","",INDEX(AUX!$H$2:$H$361,$K319))</f>
        <v/>
      </c>
      <c r="G319" s="50" t="str">
        <f>IF($K319="","",INDEX(AUX!$I$2:$I$361,$K319))</f>
        <v/>
      </c>
      <c r="K319" t="str">
        <f>IFERROR(MATCH(312,AUX!$K$2:$K$361,0),"")</f>
        <v/>
      </c>
    </row>
    <row r="320" spans="1:11" x14ac:dyDescent="0.25">
      <c r="A320" s="42" t="str">
        <f>IF($K320="","",313)</f>
        <v/>
      </c>
      <c r="B320" s="43" t="str">
        <f>IF($K320="","",INDEX(AUX!$D$2:$D$361,$K320))</f>
        <v/>
      </c>
      <c r="C320" s="44" t="str">
        <f>IF($K320="","",INDEX(AUX!$E$2:$E$361,$K320))</f>
        <v/>
      </c>
      <c r="D320" s="44" t="str">
        <f>IF($K320="","",INDEX(AUX!$F$2:$F$361,$K320))</f>
        <v/>
      </c>
      <c r="E320" s="42" t="str">
        <f>IF($K320="","",INDEX(AUX!$G$2:$G$361,$K320))</f>
        <v/>
      </c>
      <c r="F320" s="45" t="str">
        <f>IF($K320="","",INDEX(AUX!$H$2:$H$361,$K320))</f>
        <v/>
      </c>
      <c r="G320" s="24" t="str">
        <f>IF($K320="","",INDEX(AUX!$I$2:$I$361,$K320))</f>
        <v/>
      </c>
      <c r="K320" t="str">
        <f>IFERROR(MATCH(313,AUX!$K$2:$K$361,0),"")</f>
        <v/>
      </c>
    </row>
    <row r="321" spans="1:11" x14ac:dyDescent="0.25">
      <c r="A321" s="46" t="str">
        <f>IF($K321="","",314)</f>
        <v/>
      </c>
      <c r="B321" s="47" t="str">
        <f>IF($K321="","",INDEX(AUX!$D$2:$D$361,$K321))</f>
        <v/>
      </c>
      <c r="C321" s="48" t="str">
        <f>IF($K321="","",INDEX(AUX!$E$2:$E$361,$K321))</f>
        <v/>
      </c>
      <c r="D321" s="48" t="str">
        <f>IF($K321="","",INDEX(AUX!$F$2:$F$361,$K321))</f>
        <v/>
      </c>
      <c r="E321" s="46" t="str">
        <f>IF($K321="","",INDEX(AUX!$G$2:$G$361,$K321))</f>
        <v/>
      </c>
      <c r="F321" s="49" t="str">
        <f>IF($K321="","",INDEX(AUX!$H$2:$H$361,$K321))</f>
        <v/>
      </c>
      <c r="G321" s="50" t="str">
        <f>IF($K321="","",INDEX(AUX!$I$2:$I$361,$K321))</f>
        <v/>
      </c>
      <c r="K321" t="str">
        <f>IFERROR(MATCH(314,AUX!$K$2:$K$361,0),"")</f>
        <v/>
      </c>
    </row>
    <row r="322" spans="1:11" x14ac:dyDescent="0.25">
      <c r="A322" s="42" t="str">
        <f>IF($K322="","",315)</f>
        <v/>
      </c>
      <c r="B322" s="43" t="str">
        <f>IF($K322="","",INDEX(AUX!$D$2:$D$361,$K322))</f>
        <v/>
      </c>
      <c r="C322" s="44" t="str">
        <f>IF($K322="","",INDEX(AUX!$E$2:$E$361,$K322))</f>
        <v/>
      </c>
      <c r="D322" s="44" t="str">
        <f>IF($K322="","",INDEX(AUX!$F$2:$F$361,$K322))</f>
        <v/>
      </c>
      <c r="E322" s="42" t="str">
        <f>IF($K322="","",INDEX(AUX!$G$2:$G$361,$K322))</f>
        <v/>
      </c>
      <c r="F322" s="45" t="str">
        <f>IF($K322="","",INDEX(AUX!$H$2:$H$361,$K322))</f>
        <v/>
      </c>
      <c r="G322" s="24" t="str">
        <f>IF($K322="","",INDEX(AUX!$I$2:$I$361,$K322))</f>
        <v/>
      </c>
      <c r="K322" t="str">
        <f>IFERROR(MATCH(315,AUX!$K$2:$K$361,0),"")</f>
        <v/>
      </c>
    </row>
    <row r="323" spans="1:11" x14ac:dyDescent="0.25">
      <c r="A323" s="46" t="str">
        <f>IF($K323="","",316)</f>
        <v/>
      </c>
      <c r="B323" s="47" t="str">
        <f>IF($K323="","",INDEX(AUX!$D$2:$D$361,$K323))</f>
        <v/>
      </c>
      <c r="C323" s="48" t="str">
        <f>IF($K323="","",INDEX(AUX!$E$2:$E$361,$K323))</f>
        <v/>
      </c>
      <c r="D323" s="48" t="str">
        <f>IF($K323="","",INDEX(AUX!$F$2:$F$361,$K323))</f>
        <v/>
      </c>
      <c r="E323" s="46" t="str">
        <f>IF($K323="","",INDEX(AUX!$G$2:$G$361,$K323))</f>
        <v/>
      </c>
      <c r="F323" s="49" t="str">
        <f>IF($K323="","",INDEX(AUX!$H$2:$H$361,$K323))</f>
        <v/>
      </c>
      <c r="G323" s="50" t="str">
        <f>IF($K323="","",INDEX(AUX!$I$2:$I$361,$K323))</f>
        <v/>
      </c>
      <c r="K323" t="str">
        <f>IFERROR(MATCH(316,AUX!$K$2:$K$361,0),"")</f>
        <v/>
      </c>
    </row>
    <row r="324" spans="1:11" x14ac:dyDescent="0.25">
      <c r="A324" s="42" t="str">
        <f>IF($K324="","",317)</f>
        <v/>
      </c>
      <c r="B324" s="43" t="str">
        <f>IF($K324="","",INDEX(AUX!$D$2:$D$361,$K324))</f>
        <v/>
      </c>
      <c r="C324" s="44" t="str">
        <f>IF($K324="","",INDEX(AUX!$E$2:$E$361,$K324))</f>
        <v/>
      </c>
      <c r="D324" s="44" t="str">
        <f>IF($K324="","",INDEX(AUX!$F$2:$F$361,$K324))</f>
        <v/>
      </c>
      <c r="E324" s="42" t="str">
        <f>IF($K324="","",INDEX(AUX!$G$2:$G$361,$K324))</f>
        <v/>
      </c>
      <c r="F324" s="45" t="str">
        <f>IF($K324="","",INDEX(AUX!$H$2:$H$361,$K324))</f>
        <v/>
      </c>
      <c r="G324" s="24" t="str">
        <f>IF($K324="","",INDEX(AUX!$I$2:$I$361,$K324))</f>
        <v/>
      </c>
      <c r="K324" t="str">
        <f>IFERROR(MATCH(317,AUX!$K$2:$K$361,0),"")</f>
        <v/>
      </c>
    </row>
    <row r="325" spans="1:11" x14ac:dyDescent="0.25">
      <c r="A325" s="46" t="str">
        <f>IF($K325="","",318)</f>
        <v/>
      </c>
      <c r="B325" s="47" t="str">
        <f>IF($K325="","",INDEX(AUX!$D$2:$D$361,$K325))</f>
        <v/>
      </c>
      <c r="C325" s="48" t="str">
        <f>IF($K325="","",INDEX(AUX!$E$2:$E$361,$K325))</f>
        <v/>
      </c>
      <c r="D325" s="48" t="str">
        <f>IF($K325="","",INDEX(AUX!$F$2:$F$361,$K325))</f>
        <v/>
      </c>
      <c r="E325" s="46" t="str">
        <f>IF($K325="","",INDEX(AUX!$G$2:$G$361,$K325))</f>
        <v/>
      </c>
      <c r="F325" s="49" t="str">
        <f>IF($K325="","",INDEX(AUX!$H$2:$H$361,$K325))</f>
        <v/>
      </c>
      <c r="G325" s="50" t="str">
        <f>IF($K325="","",INDEX(AUX!$I$2:$I$361,$K325))</f>
        <v/>
      </c>
      <c r="K325" t="str">
        <f>IFERROR(MATCH(318,AUX!$K$2:$K$361,0),"")</f>
        <v/>
      </c>
    </row>
    <row r="326" spans="1:11" x14ac:dyDescent="0.25">
      <c r="A326" s="42" t="str">
        <f>IF($K326="","",319)</f>
        <v/>
      </c>
      <c r="B326" s="43" t="str">
        <f>IF($K326="","",INDEX(AUX!$D$2:$D$361,$K326))</f>
        <v/>
      </c>
      <c r="C326" s="44" t="str">
        <f>IF($K326="","",INDEX(AUX!$E$2:$E$361,$K326))</f>
        <v/>
      </c>
      <c r="D326" s="44" t="str">
        <f>IF($K326="","",INDEX(AUX!$F$2:$F$361,$K326))</f>
        <v/>
      </c>
      <c r="E326" s="42" t="str">
        <f>IF($K326="","",INDEX(AUX!$G$2:$G$361,$K326))</f>
        <v/>
      </c>
      <c r="F326" s="45" t="str">
        <f>IF($K326="","",INDEX(AUX!$H$2:$H$361,$K326))</f>
        <v/>
      </c>
      <c r="G326" s="24" t="str">
        <f>IF($K326="","",INDEX(AUX!$I$2:$I$361,$K326))</f>
        <v/>
      </c>
      <c r="K326" t="str">
        <f>IFERROR(MATCH(319,AUX!$K$2:$K$361,0),"")</f>
        <v/>
      </c>
    </row>
    <row r="327" spans="1:11" x14ac:dyDescent="0.25">
      <c r="A327" s="46" t="str">
        <f>IF($K327="","",320)</f>
        <v/>
      </c>
      <c r="B327" s="47" t="str">
        <f>IF($K327="","",INDEX(AUX!$D$2:$D$361,$K327))</f>
        <v/>
      </c>
      <c r="C327" s="48" t="str">
        <f>IF($K327="","",INDEX(AUX!$E$2:$E$361,$K327))</f>
        <v/>
      </c>
      <c r="D327" s="48" t="str">
        <f>IF($K327="","",INDEX(AUX!$F$2:$F$361,$K327))</f>
        <v/>
      </c>
      <c r="E327" s="46" t="str">
        <f>IF($K327="","",INDEX(AUX!$G$2:$G$361,$K327))</f>
        <v/>
      </c>
      <c r="F327" s="49" t="str">
        <f>IF($K327="","",INDEX(AUX!$H$2:$H$361,$K327))</f>
        <v/>
      </c>
      <c r="G327" s="50" t="str">
        <f>IF($K327="","",INDEX(AUX!$I$2:$I$361,$K327))</f>
        <v/>
      </c>
      <c r="K327" t="str">
        <f>IFERROR(MATCH(320,AUX!$K$2:$K$361,0),"")</f>
        <v/>
      </c>
    </row>
    <row r="328" spans="1:11" x14ac:dyDescent="0.25">
      <c r="A328" s="42" t="str">
        <f>IF($K328="","",321)</f>
        <v/>
      </c>
      <c r="B328" s="43" t="str">
        <f>IF($K328="","",INDEX(AUX!$D$2:$D$361,$K328))</f>
        <v/>
      </c>
      <c r="C328" s="44" t="str">
        <f>IF($K328="","",INDEX(AUX!$E$2:$E$361,$K328))</f>
        <v/>
      </c>
      <c r="D328" s="44" t="str">
        <f>IF($K328="","",INDEX(AUX!$F$2:$F$361,$K328))</f>
        <v/>
      </c>
      <c r="E328" s="42" t="str">
        <f>IF($K328="","",INDEX(AUX!$G$2:$G$361,$K328))</f>
        <v/>
      </c>
      <c r="F328" s="45" t="str">
        <f>IF($K328="","",INDEX(AUX!$H$2:$H$361,$K328))</f>
        <v/>
      </c>
      <c r="G328" s="24" t="str">
        <f>IF($K328="","",INDEX(AUX!$I$2:$I$361,$K328))</f>
        <v/>
      </c>
      <c r="K328" t="str">
        <f>IFERROR(MATCH(321,AUX!$K$2:$K$361,0),"")</f>
        <v/>
      </c>
    </row>
    <row r="329" spans="1:11" x14ac:dyDescent="0.25">
      <c r="A329" s="46" t="str">
        <f>IF($K329="","",322)</f>
        <v/>
      </c>
      <c r="B329" s="47" t="str">
        <f>IF($K329="","",INDEX(AUX!$D$2:$D$361,$K329))</f>
        <v/>
      </c>
      <c r="C329" s="48" t="str">
        <f>IF($K329="","",INDEX(AUX!$E$2:$E$361,$K329))</f>
        <v/>
      </c>
      <c r="D329" s="48" t="str">
        <f>IF($K329="","",INDEX(AUX!$F$2:$F$361,$K329))</f>
        <v/>
      </c>
      <c r="E329" s="46" t="str">
        <f>IF($K329="","",INDEX(AUX!$G$2:$G$361,$K329))</f>
        <v/>
      </c>
      <c r="F329" s="49" t="str">
        <f>IF($K329="","",INDEX(AUX!$H$2:$H$361,$K329))</f>
        <v/>
      </c>
      <c r="G329" s="50" t="str">
        <f>IF($K329="","",INDEX(AUX!$I$2:$I$361,$K329))</f>
        <v/>
      </c>
      <c r="K329" t="str">
        <f>IFERROR(MATCH(322,AUX!$K$2:$K$361,0),"")</f>
        <v/>
      </c>
    </row>
    <row r="330" spans="1:11" x14ac:dyDescent="0.25">
      <c r="A330" s="42" t="str">
        <f>IF($K330="","",323)</f>
        <v/>
      </c>
      <c r="B330" s="43" t="str">
        <f>IF($K330="","",INDEX(AUX!$D$2:$D$361,$K330))</f>
        <v/>
      </c>
      <c r="C330" s="44" t="str">
        <f>IF($K330="","",INDEX(AUX!$E$2:$E$361,$K330))</f>
        <v/>
      </c>
      <c r="D330" s="44" t="str">
        <f>IF($K330="","",INDEX(AUX!$F$2:$F$361,$K330))</f>
        <v/>
      </c>
      <c r="E330" s="42" t="str">
        <f>IF($K330="","",INDEX(AUX!$G$2:$G$361,$K330))</f>
        <v/>
      </c>
      <c r="F330" s="45" t="str">
        <f>IF($K330="","",INDEX(AUX!$H$2:$H$361,$K330))</f>
        <v/>
      </c>
      <c r="G330" s="24" t="str">
        <f>IF($K330="","",INDEX(AUX!$I$2:$I$361,$K330))</f>
        <v/>
      </c>
      <c r="K330" t="str">
        <f>IFERROR(MATCH(323,AUX!$K$2:$K$361,0),"")</f>
        <v/>
      </c>
    </row>
    <row r="331" spans="1:11" x14ac:dyDescent="0.25">
      <c r="A331" s="46" t="str">
        <f>IF($K331="","",324)</f>
        <v/>
      </c>
      <c r="B331" s="47" t="str">
        <f>IF($K331="","",INDEX(AUX!$D$2:$D$361,$K331))</f>
        <v/>
      </c>
      <c r="C331" s="48" t="str">
        <f>IF($K331="","",INDEX(AUX!$E$2:$E$361,$K331))</f>
        <v/>
      </c>
      <c r="D331" s="48" t="str">
        <f>IF($K331="","",INDEX(AUX!$F$2:$F$361,$K331))</f>
        <v/>
      </c>
      <c r="E331" s="46" t="str">
        <f>IF($K331="","",INDEX(AUX!$G$2:$G$361,$K331))</f>
        <v/>
      </c>
      <c r="F331" s="49" t="str">
        <f>IF($K331="","",INDEX(AUX!$H$2:$H$361,$K331))</f>
        <v/>
      </c>
      <c r="G331" s="50" t="str">
        <f>IF($K331="","",INDEX(AUX!$I$2:$I$361,$K331))</f>
        <v/>
      </c>
      <c r="K331" t="str">
        <f>IFERROR(MATCH(324,AUX!$K$2:$K$361,0),"")</f>
        <v/>
      </c>
    </row>
    <row r="332" spans="1:11" x14ac:dyDescent="0.25">
      <c r="A332" s="42" t="str">
        <f>IF($K332="","",325)</f>
        <v/>
      </c>
      <c r="B332" s="43" t="str">
        <f>IF($K332="","",INDEX(AUX!$D$2:$D$361,$K332))</f>
        <v/>
      </c>
      <c r="C332" s="44" t="str">
        <f>IF($K332="","",INDEX(AUX!$E$2:$E$361,$K332))</f>
        <v/>
      </c>
      <c r="D332" s="44" t="str">
        <f>IF($K332="","",INDEX(AUX!$F$2:$F$361,$K332))</f>
        <v/>
      </c>
      <c r="E332" s="42" t="str">
        <f>IF($K332="","",INDEX(AUX!$G$2:$G$361,$K332))</f>
        <v/>
      </c>
      <c r="F332" s="45" t="str">
        <f>IF($K332="","",INDEX(AUX!$H$2:$H$361,$K332))</f>
        <v/>
      </c>
      <c r="G332" s="24" t="str">
        <f>IF($K332="","",INDEX(AUX!$I$2:$I$361,$K332))</f>
        <v/>
      </c>
      <c r="K332" t="str">
        <f>IFERROR(MATCH(325,AUX!$K$2:$K$361,0),"")</f>
        <v/>
      </c>
    </row>
    <row r="333" spans="1:11" x14ac:dyDescent="0.25">
      <c r="A333" s="46" t="str">
        <f>IF($K333="","",326)</f>
        <v/>
      </c>
      <c r="B333" s="47" t="str">
        <f>IF($K333="","",INDEX(AUX!$D$2:$D$361,$K333))</f>
        <v/>
      </c>
      <c r="C333" s="48" t="str">
        <f>IF($K333="","",INDEX(AUX!$E$2:$E$361,$K333))</f>
        <v/>
      </c>
      <c r="D333" s="48" t="str">
        <f>IF($K333="","",INDEX(AUX!$F$2:$F$361,$K333))</f>
        <v/>
      </c>
      <c r="E333" s="46" t="str">
        <f>IF($K333="","",INDEX(AUX!$G$2:$G$361,$K333))</f>
        <v/>
      </c>
      <c r="F333" s="49" t="str">
        <f>IF($K333="","",INDEX(AUX!$H$2:$H$361,$K333))</f>
        <v/>
      </c>
      <c r="G333" s="50" t="str">
        <f>IF($K333="","",INDEX(AUX!$I$2:$I$361,$K333))</f>
        <v/>
      </c>
      <c r="K333" t="str">
        <f>IFERROR(MATCH(326,AUX!$K$2:$K$361,0),"")</f>
        <v/>
      </c>
    </row>
    <row r="334" spans="1:11" x14ac:dyDescent="0.25">
      <c r="A334" s="42" t="str">
        <f>IF($K334="","",327)</f>
        <v/>
      </c>
      <c r="B334" s="43" t="str">
        <f>IF($K334="","",INDEX(AUX!$D$2:$D$361,$K334))</f>
        <v/>
      </c>
      <c r="C334" s="44" t="str">
        <f>IF($K334="","",INDEX(AUX!$E$2:$E$361,$K334))</f>
        <v/>
      </c>
      <c r="D334" s="44" t="str">
        <f>IF($K334="","",INDEX(AUX!$F$2:$F$361,$K334))</f>
        <v/>
      </c>
      <c r="E334" s="42" t="str">
        <f>IF($K334="","",INDEX(AUX!$G$2:$G$361,$K334))</f>
        <v/>
      </c>
      <c r="F334" s="45" t="str">
        <f>IF($K334="","",INDEX(AUX!$H$2:$H$361,$K334))</f>
        <v/>
      </c>
      <c r="G334" s="24" t="str">
        <f>IF($K334="","",INDEX(AUX!$I$2:$I$361,$K334))</f>
        <v/>
      </c>
      <c r="K334" t="str">
        <f>IFERROR(MATCH(327,AUX!$K$2:$K$361,0),"")</f>
        <v/>
      </c>
    </row>
    <row r="335" spans="1:11" x14ac:dyDescent="0.25">
      <c r="A335" s="46" t="str">
        <f>IF($K335="","",328)</f>
        <v/>
      </c>
      <c r="B335" s="47" t="str">
        <f>IF($K335="","",INDEX(AUX!$D$2:$D$361,$K335))</f>
        <v/>
      </c>
      <c r="C335" s="48" t="str">
        <f>IF($K335="","",INDEX(AUX!$E$2:$E$361,$K335))</f>
        <v/>
      </c>
      <c r="D335" s="48" t="str">
        <f>IF($K335="","",INDEX(AUX!$F$2:$F$361,$K335))</f>
        <v/>
      </c>
      <c r="E335" s="46" t="str">
        <f>IF($K335="","",INDEX(AUX!$G$2:$G$361,$K335))</f>
        <v/>
      </c>
      <c r="F335" s="49" t="str">
        <f>IF($K335="","",INDEX(AUX!$H$2:$H$361,$K335))</f>
        <v/>
      </c>
      <c r="G335" s="50" t="str">
        <f>IF($K335="","",INDEX(AUX!$I$2:$I$361,$K335))</f>
        <v/>
      </c>
      <c r="K335" t="str">
        <f>IFERROR(MATCH(328,AUX!$K$2:$K$361,0),"")</f>
        <v/>
      </c>
    </row>
    <row r="336" spans="1:11" x14ac:dyDescent="0.25">
      <c r="A336" s="42" t="str">
        <f>IF($K336="","",329)</f>
        <v/>
      </c>
      <c r="B336" s="43" t="str">
        <f>IF($K336="","",INDEX(AUX!$D$2:$D$361,$K336))</f>
        <v/>
      </c>
      <c r="C336" s="44" t="str">
        <f>IF($K336="","",INDEX(AUX!$E$2:$E$361,$K336))</f>
        <v/>
      </c>
      <c r="D336" s="44" t="str">
        <f>IF($K336="","",INDEX(AUX!$F$2:$F$361,$K336))</f>
        <v/>
      </c>
      <c r="E336" s="42" t="str">
        <f>IF($K336="","",INDEX(AUX!$G$2:$G$361,$K336))</f>
        <v/>
      </c>
      <c r="F336" s="45" t="str">
        <f>IF($K336="","",INDEX(AUX!$H$2:$H$361,$K336))</f>
        <v/>
      </c>
      <c r="G336" s="24" t="str">
        <f>IF($K336="","",INDEX(AUX!$I$2:$I$361,$K336))</f>
        <v/>
      </c>
      <c r="K336" t="str">
        <f>IFERROR(MATCH(329,AUX!$K$2:$K$361,0),"")</f>
        <v/>
      </c>
    </row>
    <row r="337" spans="1:11" x14ac:dyDescent="0.25">
      <c r="A337" s="46" t="str">
        <f>IF($K337="","",330)</f>
        <v/>
      </c>
      <c r="B337" s="47" t="str">
        <f>IF($K337="","",INDEX(AUX!$D$2:$D$361,$K337))</f>
        <v/>
      </c>
      <c r="C337" s="48" t="str">
        <f>IF($K337="","",INDEX(AUX!$E$2:$E$361,$K337))</f>
        <v/>
      </c>
      <c r="D337" s="48" t="str">
        <f>IF($K337="","",INDEX(AUX!$F$2:$F$361,$K337))</f>
        <v/>
      </c>
      <c r="E337" s="46" t="str">
        <f>IF($K337="","",INDEX(AUX!$G$2:$G$361,$K337))</f>
        <v/>
      </c>
      <c r="F337" s="49" t="str">
        <f>IF($K337="","",INDEX(AUX!$H$2:$H$361,$K337))</f>
        <v/>
      </c>
      <c r="G337" s="50" t="str">
        <f>IF($K337="","",INDEX(AUX!$I$2:$I$361,$K337))</f>
        <v/>
      </c>
      <c r="K337" t="str">
        <f>IFERROR(MATCH(330,AUX!$K$2:$K$361,0),"")</f>
        <v/>
      </c>
    </row>
    <row r="338" spans="1:11" x14ac:dyDescent="0.25">
      <c r="A338" s="42" t="str">
        <f>IF($K338="","",331)</f>
        <v/>
      </c>
      <c r="B338" s="43" t="str">
        <f>IF($K338="","",INDEX(AUX!$D$2:$D$361,$K338))</f>
        <v/>
      </c>
      <c r="C338" s="44" t="str">
        <f>IF($K338="","",INDEX(AUX!$E$2:$E$361,$K338))</f>
        <v/>
      </c>
      <c r="D338" s="44" t="str">
        <f>IF($K338="","",INDEX(AUX!$F$2:$F$361,$K338))</f>
        <v/>
      </c>
      <c r="E338" s="42" t="str">
        <f>IF($K338="","",INDEX(AUX!$G$2:$G$361,$K338))</f>
        <v/>
      </c>
      <c r="F338" s="45" t="str">
        <f>IF($K338="","",INDEX(AUX!$H$2:$H$361,$K338))</f>
        <v/>
      </c>
      <c r="G338" s="24" t="str">
        <f>IF($K338="","",INDEX(AUX!$I$2:$I$361,$K338))</f>
        <v/>
      </c>
      <c r="K338" t="str">
        <f>IFERROR(MATCH(331,AUX!$K$2:$K$361,0),"")</f>
        <v/>
      </c>
    </row>
    <row r="339" spans="1:11" x14ac:dyDescent="0.25">
      <c r="A339" s="46" t="str">
        <f>IF($K339="","",332)</f>
        <v/>
      </c>
      <c r="B339" s="47" t="str">
        <f>IF($K339="","",INDEX(AUX!$D$2:$D$361,$K339))</f>
        <v/>
      </c>
      <c r="C339" s="48" t="str">
        <f>IF($K339="","",INDEX(AUX!$E$2:$E$361,$K339))</f>
        <v/>
      </c>
      <c r="D339" s="48" t="str">
        <f>IF($K339="","",INDEX(AUX!$F$2:$F$361,$K339))</f>
        <v/>
      </c>
      <c r="E339" s="46" t="str">
        <f>IF($K339="","",INDEX(AUX!$G$2:$G$361,$K339))</f>
        <v/>
      </c>
      <c r="F339" s="49" t="str">
        <f>IF($K339="","",INDEX(AUX!$H$2:$H$361,$K339))</f>
        <v/>
      </c>
      <c r="G339" s="50" t="str">
        <f>IF($K339="","",INDEX(AUX!$I$2:$I$361,$K339))</f>
        <v/>
      </c>
      <c r="K339" t="str">
        <f>IFERROR(MATCH(332,AUX!$K$2:$K$361,0),"")</f>
        <v/>
      </c>
    </row>
    <row r="340" spans="1:11" x14ac:dyDescent="0.25">
      <c r="A340" s="42" t="str">
        <f>IF($K340="","",333)</f>
        <v/>
      </c>
      <c r="B340" s="43" t="str">
        <f>IF($K340="","",INDEX(AUX!$D$2:$D$361,$K340))</f>
        <v/>
      </c>
      <c r="C340" s="44" t="str">
        <f>IF($K340="","",INDEX(AUX!$E$2:$E$361,$K340))</f>
        <v/>
      </c>
      <c r="D340" s="44" t="str">
        <f>IF($K340="","",INDEX(AUX!$F$2:$F$361,$K340))</f>
        <v/>
      </c>
      <c r="E340" s="42" t="str">
        <f>IF($K340="","",INDEX(AUX!$G$2:$G$361,$K340))</f>
        <v/>
      </c>
      <c r="F340" s="45" t="str">
        <f>IF($K340="","",INDEX(AUX!$H$2:$H$361,$K340))</f>
        <v/>
      </c>
      <c r="G340" s="24" t="str">
        <f>IF($K340="","",INDEX(AUX!$I$2:$I$361,$K340))</f>
        <v/>
      </c>
      <c r="K340" t="str">
        <f>IFERROR(MATCH(333,AUX!$K$2:$K$361,0),"")</f>
        <v/>
      </c>
    </row>
    <row r="341" spans="1:11" x14ac:dyDescent="0.25">
      <c r="A341" s="46" t="str">
        <f>IF($K341="","",334)</f>
        <v/>
      </c>
      <c r="B341" s="47" t="str">
        <f>IF($K341="","",INDEX(AUX!$D$2:$D$361,$K341))</f>
        <v/>
      </c>
      <c r="C341" s="48" t="str">
        <f>IF($K341="","",INDEX(AUX!$E$2:$E$361,$K341))</f>
        <v/>
      </c>
      <c r="D341" s="48" t="str">
        <f>IF($K341="","",INDEX(AUX!$F$2:$F$361,$K341))</f>
        <v/>
      </c>
      <c r="E341" s="46" t="str">
        <f>IF($K341="","",INDEX(AUX!$G$2:$G$361,$K341))</f>
        <v/>
      </c>
      <c r="F341" s="49" t="str">
        <f>IF($K341="","",INDEX(AUX!$H$2:$H$361,$K341))</f>
        <v/>
      </c>
      <c r="G341" s="50" t="str">
        <f>IF($K341="","",INDEX(AUX!$I$2:$I$361,$K341))</f>
        <v/>
      </c>
      <c r="K341" t="str">
        <f>IFERROR(MATCH(334,AUX!$K$2:$K$361,0),"")</f>
        <v/>
      </c>
    </row>
    <row r="342" spans="1:11" x14ac:dyDescent="0.25">
      <c r="A342" s="42" t="str">
        <f>IF($K342="","",335)</f>
        <v/>
      </c>
      <c r="B342" s="43" t="str">
        <f>IF($K342="","",INDEX(AUX!$D$2:$D$361,$K342))</f>
        <v/>
      </c>
      <c r="C342" s="44" t="str">
        <f>IF($K342="","",INDEX(AUX!$E$2:$E$361,$K342))</f>
        <v/>
      </c>
      <c r="D342" s="44" t="str">
        <f>IF($K342="","",INDEX(AUX!$F$2:$F$361,$K342))</f>
        <v/>
      </c>
      <c r="E342" s="42" t="str">
        <f>IF($K342="","",INDEX(AUX!$G$2:$G$361,$K342))</f>
        <v/>
      </c>
      <c r="F342" s="45" t="str">
        <f>IF($K342="","",INDEX(AUX!$H$2:$H$361,$K342))</f>
        <v/>
      </c>
      <c r="G342" s="24" t="str">
        <f>IF($K342="","",INDEX(AUX!$I$2:$I$361,$K342))</f>
        <v/>
      </c>
      <c r="K342" t="str">
        <f>IFERROR(MATCH(335,AUX!$K$2:$K$361,0),"")</f>
        <v/>
      </c>
    </row>
    <row r="343" spans="1:11" x14ac:dyDescent="0.25">
      <c r="A343" s="46" t="str">
        <f>IF($K343="","",336)</f>
        <v/>
      </c>
      <c r="B343" s="47" t="str">
        <f>IF($K343="","",INDEX(AUX!$D$2:$D$361,$K343))</f>
        <v/>
      </c>
      <c r="C343" s="48" t="str">
        <f>IF($K343="","",INDEX(AUX!$E$2:$E$361,$K343))</f>
        <v/>
      </c>
      <c r="D343" s="48" t="str">
        <f>IF($K343="","",INDEX(AUX!$F$2:$F$361,$K343))</f>
        <v/>
      </c>
      <c r="E343" s="46" t="str">
        <f>IF($K343="","",INDEX(AUX!$G$2:$G$361,$K343))</f>
        <v/>
      </c>
      <c r="F343" s="49" t="str">
        <f>IF($K343="","",INDEX(AUX!$H$2:$H$361,$K343))</f>
        <v/>
      </c>
      <c r="G343" s="50" t="str">
        <f>IF($K343="","",INDEX(AUX!$I$2:$I$361,$K343))</f>
        <v/>
      </c>
      <c r="K343" t="str">
        <f>IFERROR(MATCH(336,AUX!$K$2:$K$361,0),"")</f>
        <v/>
      </c>
    </row>
    <row r="344" spans="1:11" x14ac:dyDescent="0.25">
      <c r="A344" s="42" t="str">
        <f>IF($K344="","",337)</f>
        <v/>
      </c>
      <c r="B344" s="43" t="str">
        <f>IF($K344="","",INDEX(AUX!$D$2:$D$361,$K344))</f>
        <v/>
      </c>
      <c r="C344" s="44" t="str">
        <f>IF($K344="","",INDEX(AUX!$E$2:$E$361,$K344))</f>
        <v/>
      </c>
      <c r="D344" s="44" t="str">
        <f>IF($K344="","",INDEX(AUX!$F$2:$F$361,$K344))</f>
        <v/>
      </c>
      <c r="E344" s="42" t="str">
        <f>IF($K344="","",INDEX(AUX!$G$2:$G$361,$K344))</f>
        <v/>
      </c>
      <c r="F344" s="45" t="str">
        <f>IF($K344="","",INDEX(AUX!$H$2:$H$361,$K344))</f>
        <v/>
      </c>
      <c r="G344" s="24" t="str">
        <f>IF($K344="","",INDEX(AUX!$I$2:$I$361,$K344))</f>
        <v/>
      </c>
      <c r="K344" t="str">
        <f>IFERROR(MATCH(337,AUX!$K$2:$K$361,0),"")</f>
        <v/>
      </c>
    </row>
    <row r="345" spans="1:11" x14ac:dyDescent="0.25">
      <c r="A345" s="46" t="str">
        <f>IF($K345="","",338)</f>
        <v/>
      </c>
      <c r="B345" s="47" t="str">
        <f>IF($K345="","",INDEX(AUX!$D$2:$D$361,$K345))</f>
        <v/>
      </c>
      <c r="C345" s="48" t="str">
        <f>IF($K345="","",INDEX(AUX!$E$2:$E$361,$K345))</f>
        <v/>
      </c>
      <c r="D345" s="48" t="str">
        <f>IF($K345="","",INDEX(AUX!$F$2:$F$361,$K345))</f>
        <v/>
      </c>
      <c r="E345" s="46" t="str">
        <f>IF($K345="","",INDEX(AUX!$G$2:$G$361,$K345))</f>
        <v/>
      </c>
      <c r="F345" s="49" t="str">
        <f>IF($K345="","",INDEX(AUX!$H$2:$H$361,$K345))</f>
        <v/>
      </c>
      <c r="G345" s="50" t="str">
        <f>IF($K345="","",INDEX(AUX!$I$2:$I$361,$K345))</f>
        <v/>
      </c>
      <c r="K345" t="str">
        <f>IFERROR(MATCH(338,AUX!$K$2:$K$361,0),"")</f>
        <v/>
      </c>
    </row>
    <row r="346" spans="1:11" x14ac:dyDescent="0.25">
      <c r="A346" s="42" t="str">
        <f>IF($K346="","",339)</f>
        <v/>
      </c>
      <c r="B346" s="43" t="str">
        <f>IF($K346="","",INDEX(AUX!$D$2:$D$361,$K346))</f>
        <v/>
      </c>
      <c r="C346" s="44" t="str">
        <f>IF($K346="","",INDEX(AUX!$E$2:$E$361,$K346))</f>
        <v/>
      </c>
      <c r="D346" s="44" t="str">
        <f>IF($K346="","",INDEX(AUX!$F$2:$F$361,$K346))</f>
        <v/>
      </c>
      <c r="E346" s="42" t="str">
        <f>IF($K346="","",INDEX(AUX!$G$2:$G$361,$K346))</f>
        <v/>
      </c>
      <c r="F346" s="45" t="str">
        <f>IF($K346="","",INDEX(AUX!$H$2:$H$361,$K346))</f>
        <v/>
      </c>
      <c r="G346" s="24" t="str">
        <f>IF($K346="","",INDEX(AUX!$I$2:$I$361,$K346))</f>
        <v/>
      </c>
      <c r="K346" t="str">
        <f>IFERROR(MATCH(339,AUX!$K$2:$K$361,0),"")</f>
        <v/>
      </c>
    </row>
    <row r="347" spans="1:11" x14ac:dyDescent="0.25">
      <c r="A347" s="46" t="str">
        <f>IF($K347="","",340)</f>
        <v/>
      </c>
      <c r="B347" s="47" t="str">
        <f>IF($K347="","",INDEX(AUX!$D$2:$D$361,$K347))</f>
        <v/>
      </c>
      <c r="C347" s="48" t="str">
        <f>IF($K347="","",INDEX(AUX!$E$2:$E$361,$K347))</f>
        <v/>
      </c>
      <c r="D347" s="48" t="str">
        <f>IF($K347="","",INDEX(AUX!$F$2:$F$361,$K347))</f>
        <v/>
      </c>
      <c r="E347" s="46" t="str">
        <f>IF($K347="","",INDEX(AUX!$G$2:$G$361,$K347))</f>
        <v/>
      </c>
      <c r="F347" s="49" t="str">
        <f>IF($K347="","",INDEX(AUX!$H$2:$H$361,$K347))</f>
        <v/>
      </c>
      <c r="G347" s="50" t="str">
        <f>IF($K347="","",INDEX(AUX!$I$2:$I$361,$K347))</f>
        <v/>
      </c>
      <c r="K347" t="str">
        <f>IFERROR(MATCH(340,AUX!$K$2:$K$361,0),"")</f>
        <v/>
      </c>
    </row>
    <row r="348" spans="1:11" x14ac:dyDescent="0.25">
      <c r="A348" s="42" t="str">
        <f>IF($K348="","",341)</f>
        <v/>
      </c>
      <c r="B348" s="43" t="str">
        <f>IF($K348="","",INDEX(AUX!$D$2:$D$361,$K348))</f>
        <v/>
      </c>
      <c r="C348" s="44" t="str">
        <f>IF($K348="","",INDEX(AUX!$E$2:$E$361,$K348))</f>
        <v/>
      </c>
      <c r="D348" s="44" t="str">
        <f>IF($K348="","",INDEX(AUX!$F$2:$F$361,$K348))</f>
        <v/>
      </c>
      <c r="E348" s="42" t="str">
        <f>IF($K348="","",INDEX(AUX!$G$2:$G$361,$K348))</f>
        <v/>
      </c>
      <c r="F348" s="45" t="str">
        <f>IF($K348="","",INDEX(AUX!$H$2:$H$361,$K348))</f>
        <v/>
      </c>
      <c r="G348" s="24" t="str">
        <f>IF($K348="","",INDEX(AUX!$I$2:$I$361,$K348))</f>
        <v/>
      </c>
      <c r="K348" t="str">
        <f>IFERROR(MATCH(341,AUX!$K$2:$K$361,0),"")</f>
        <v/>
      </c>
    </row>
    <row r="349" spans="1:11" x14ac:dyDescent="0.25">
      <c r="A349" s="46" t="str">
        <f>IF($K349="","",342)</f>
        <v/>
      </c>
      <c r="B349" s="47" t="str">
        <f>IF($K349="","",INDEX(AUX!$D$2:$D$361,$K349))</f>
        <v/>
      </c>
      <c r="C349" s="48" t="str">
        <f>IF($K349="","",INDEX(AUX!$E$2:$E$361,$K349))</f>
        <v/>
      </c>
      <c r="D349" s="48" t="str">
        <f>IF($K349="","",INDEX(AUX!$F$2:$F$361,$K349))</f>
        <v/>
      </c>
      <c r="E349" s="46" t="str">
        <f>IF($K349="","",INDEX(AUX!$G$2:$G$361,$K349))</f>
        <v/>
      </c>
      <c r="F349" s="49" t="str">
        <f>IF($K349="","",INDEX(AUX!$H$2:$H$361,$K349))</f>
        <v/>
      </c>
      <c r="G349" s="50" t="str">
        <f>IF($K349="","",INDEX(AUX!$I$2:$I$361,$K349))</f>
        <v/>
      </c>
      <c r="K349" t="str">
        <f>IFERROR(MATCH(342,AUX!$K$2:$K$361,0),"")</f>
        <v/>
      </c>
    </row>
    <row r="350" spans="1:11" x14ac:dyDescent="0.25">
      <c r="A350" s="42" t="str">
        <f>IF($K350="","",343)</f>
        <v/>
      </c>
      <c r="B350" s="43" t="str">
        <f>IF($K350="","",INDEX(AUX!$D$2:$D$361,$K350))</f>
        <v/>
      </c>
      <c r="C350" s="44" t="str">
        <f>IF($K350="","",INDEX(AUX!$E$2:$E$361,$K350))</f>
        <v/>
      </c>
      <c r="D350" s="44" t="str">
        <f>IF($K350="","",INDEX(AUX!$F$2:$F$361,$K350))</f>
        <v/>
      </c>
      <c r="E350" s="42" t="str">
        <f>IF($K350="","",INDEX(AUX!$G$2:$G$361,$K350))</f>
        <v/>
      </c>
      <c r="F350" s="45" t="str">
        <f>IF($K350="","",INDEX(AUX!$H$2:$H$361,$K350))</f>
        <v/>
      </c>
      <c r="G350" s="24" t="str">
        <f>IF($K350="","",INDEX(AUX!$I$2:$I$361,$K350))</f>
        <v/>
      </c>
      <c r="K350" t="str">
        <f>IFERROR(MATCH(343,AUX!$K$2:$K$361,0),"")</f>
        <v/>
      </c>
    </row>
    <row r="351" spans="1:11" x14ac:dyDescent="0.25">
      <c r="A351" s="46" t="str">
        <f>IF($K351="","",344)</f>
        <v/>
      </c>
      <c r="B351" s="47" t="str">
        <f>IF($K351="","",INDEX(AUX!$D$2:$D$361,$K351))</f>
        <v/>
      </c>
      <c r="C351" s="48" t="str">
        <f>IF($K351="","",INDEX(AUX!$E$2:$E$361,$K351))</f>
        <v/>
      </c>
      <c r="D351" s="48" t="str">
        <f>IF($K351="","",INDEX(AUX!$F$2:$F$361,$K351))</f>
        <v/>
      </c>
      <c r="E351" s="46" t="str">
        <f>IF($K351="","",INDEX(AUX!$G$2:$G$361,$K351))</f>
        <v/>
      </c>
      <c r="F351" s="49" t="str">
        <f>IF($K351="","",INDEX(AUX!$H$2:$H$361,$K351))</f>
        <v/>
      </c>
      <c r="G351" s="50" t="str">
        <f>IF($K351="","",INDEX(AUX!$I$2:$I$361,$K351))</f>
        <v/>
      </c>
      <c r="K351" t="str">
        <f>IFERROR(MATCH(344,AUX!$K$2:$K$361,0),"")</f>
        <v/>
      </c>
    </row>
    <row r="352" spans="1:11" x14ac:dyDescent="0.25">
      <c r="A352" s="42" t="str">
        <f>IF($K352="","",345)</f>
        <v/>
      </c>
      <c r="B352" s="43" t="str">
        <f>IF($K352="","",INDEX(AUX!$D$2:$D$361,$K352))</f>
        <v/>
      </c>
      <c r="C352" s="44" t="str">
        <f>IF($K352="","",INDEX(AUX!$E$2:$E$361,$K352))</f>
        <v/>
      </c>
      <c r="D352" s="44" t="str">
        <f>IF($K352="","",INDEX(AUX!$F$2:$F$361,$K352))</f>
        <v/>
      </c>
      <c r="E352" s="42" t="str">
        <f>IF($K352="","",INDEX(AUX!$G$2:$G$361,$K352))</f>
        <v/>
      </c>
      <c r="F352" s="45" t="str">
        <f>IF($K352="","",INDEX(AUX!$H$2:$H$361,$K352))</f>
        <v/>
      </c>
      <c r="G352" s="24" t="str">
        <f>IF($K352="","",INDEX(AUX!$I$2:$I$361,$K352))</f>
        <v/>
      </c>
      <c r="K352" t="str">
        <f>IFERROR(MATCH(345,AUX!$K$2:$K$361,0),"")</f>
        <v/>
      </c>
    </row>
    <row r="353" spans="1:11" x14ac:dyDescent="0.25">
      <c r="A353" s="46" t="str">
        <f>IF($K353="","",346)</f>
        <v/>
      </c>
      <c r="B353" s="47" t="str">
        <f>IF($K353="","",INDEX(AUX!$D$2:$D$361,$K353))</f>
        <v/>
      </c>
      <c r="C353" s="48" t="str">
        <f>IF($K353="","",INDEX(AUX!$E$2:$E$361,$K353))</f>
        <v/>
      </c>
      <c r="D353" s="48" t="str">
        <f>IF($K353="","",INDEX(AUX!$F$2:$F$361,$K353))</f>
        <v/>
      </c>
      <c r="E353" s="46" t="str">
        <f>IF($K353="","",INDEX(AUX!$G$2:$G$361,$K353))</f>
        <v/>
      </c>
      <c r="F353" s="49" t="str">
        <f>IF($K353="","",INDEX(AUX!$H$2:$H$361,$K353))</f>
        <v/>
      </c>
      <c r="G353" s="50" t="str">
        <f>IF($K353="","",INDEX(AUX!$I$2:$I$361,$K353))</f>
        <v/>
      </c>
      <c r="K353" t="str">
        <f>IFERROR(MATCH(346,AUX!$K$2:$K$361,0),"")</f>
        <v/>
      </c>
    </row>
    <row r="354" spans="1:11" x14ac:dyDescent="0.25">
      <c r="A354" s="42" t="str">
        <f>IF($K354="","",347)</f>
        <v/>
      </c>
      <c r="B354" s="43" t="str">
        <f>IF($K354="","",INDEX(AUX!$D$2:$D$361,$K354))</f>
        <v/>
      </c>
      <c r="C354" s="44" t="str">
        <f>IF($K354="","",INDEX(AUX!$E$2:$E$361,$K354))</f>
        <v/>
      </c>
      <c r="D354" s="44" t="str">
        <f>IF($K354="","",INDEX(AUX!$F$2:$F$361,$K354))</f>
        <v/>
      </c>
      <c r="E354" s="42" t="str">
        <f>IF($K354="","",INDEX(AUX!$G$2:$G$361,$K354))</f>
        <v/>
      </c>
      <c r="F354" s="45" t="str">
        <f>IF($K354="","",INDEX(AUX!$H$2:$H$361,$K354))</f>
        <v/>
      </c>
      <c r="G354" s="24" t="str">
        <f>IF($K354="","",INDEX(AUX!$I$2:$I$361,$K354))</f>
        <v/>
      </c>
      <c r="K354" t="str">
        <f>IFERROR(MATCH(347,AUX!$K$2:$K$361,0),"")</f>
        <v/>
      </c>
    </row>
    <row r="355" spans="1:11" x14ac:dyDescent="0.25">
      <c r="A355" s="46" t="str">
        <f>IF($K355="","",348)</f>
        <v/>
      </c>
      <c r="B355" s="47" t="str">
        <f>IF($K355="","",INDEX(AUX!$D$2:$D$361,$K355))</f>
        <v/>
      </c>
      <c r="C355" s="48" t="str">
        <f>IF($K355="","",INDEX(AUX!$E$2:$E$361,$K355))</f>
        <v/>
      </c>
      <c r="D355" s="48" t="str">
        <f>IF($K355="","",INDEX(AUX!$F$2:$F$361,$K355))</f>
        <v/>
      </c>
      <c r="E355" s="46" t="str">
        <f>IF($K355="","",INDEX(AUX!$G$2:$G$361,$K355))</f>
        <v/>
      </c>
      <c r="F355" s="49" t="str">
        <f>IF($K355="","",INDEX(AUX!$H$2:$H$361,$K355))</f>
        <v/>
      </c>
      <c r="G355" s="50" t="str">
        <f>IF($K355="","",INDEX(AUX!$I$2:$I$361,$K355))</f>
        <v/>
      </c>
      <c r="K355" t="str">
        <f>IFERROR(MATCH(348,AUX!$K$2:$K$361,0),"")</f>
        <v/>
      </c>
    </row>
    <row r="356" spans="1:11" x14ac:dyDescent="0.25">
      <c r="A356" s="42" t="str">
        <f>IF($K356="","",349)</f>
        <v/>
      </c>
      <c r="B356" s="43" t="str">
        <f>IF($K356="","",INDEX(AUX!$D$2:$D$361,$K356))</f>
        <v/>
      </c>
      <c r="C356" s="44" t="str">
        <f>IF($K356="","",INDEX(AUX!$E$2:$E$361,$K356))</f>
        <v/>
      </c>
      <c r="D356" s="44" t="str">
        <f>IF($K356="","",INDEX(AUX!$F$2:$F$361,$K356))</f>
        <v/>
      </c>
      <c r="E356" s="42" t="str">
        <f>IF($K356="","",INDEX(AUX!$G$2:$G$361,$K356))</f>
        <v/>
      </c>
      <c r="F356" s="45" t="str">
        <f>IF($K356="","",INDEX(AUX!$H$2:$H$361,$K356))</f>
        <v/>
      </c>
      <c r="G356" s="24" t="str">
        <f>IF($K356="","",INDEX(AUX!$I$2:$I$361,$K356))</f>
        <v/>
      </c>
      <c r="K356" t="str">
        <f>IFERROR(MATCH(349,AUX!$K$2:$K$361,0),"")</f>
        <v/>
      </c>
    </row>
    <row r="357" spans="1:11" x14ac:dyDescent="0.25">
      <c r="A357" s="46" t="str">
        <f>IF($K357="","",350)</f>
        <v/>
      </c>
      <c r="B357" s="47" t="str">
        <f>IF($K357="","",INDEX(AUX!$D$2:$D$361,$K357))</f>
        <v/>
      </c>
      <c r="C357" s="48" t="str">
        <f>IF($K357="","",INDEX(AUX!$E$2:$E$361,$K357))</f>
        <v/>
      </c>
      <c r="D357" s="48" t="str">
        <f>IF($K357="","",INDEX(AUX!$F$2:$F$361,$K357))</f>
        <v/>
      </c>
      <c r="E357" s="46" t="str">
        <f>IF($K357="","",INDEX(AUX!$G$2:$G$361,$K357))</f>
        <v/>
      </c>
      <c r="F357" s="49" t="str">
        <f>IF($K357="","",INDEX(AUX!$H$2:$H$361,$K357))</f>
        <v/>
      </c>
      <c r="G357" s="50" t="str">
        <f>IF($K357="","",INDEX(AUX!$I$2:$I$361,$K357))</f>
        <v/>
      </c>
      <c r="K357" t="str">
        <f>IFERROR(MATCH(350,AUX!$K$2:$K$361,0),"")</f>
        <v/>
      </c>
    </row>
    <row r="358" spans="1:11" x14ac:dyDescent="0.25">
      <c r="A358" s="42" t="str">
        <f>IF($K358="","",351)</f>
        <v/>
      </c>
      <c r="B358" s="43" t="str">
        <f>IF($K358="","",INDEX(AUX!$D$2:$D$361,$K358))</f>
        <v/>
      </c>
      <c r="C358" s="44" t="str">
        <f>IF($K358="","",INDEX(AUX!$E$2:$E$361,$K358))</f>
        <v/>
      </c>
      <c r="D358" s="44" t="str">
        <f>IF($K358="","",INDEX(AUX!$F$2:$F$361,$K358))</f>
        <v/>
      </c>
      <c r="E358" s="42" t="str">
        <f>IF($K358="","",INDEX(AUX!$G$2:$G$361,$K358))</f>
        <v/>
      </c>
      <c r="F358" s="45" t="str">
        <f>IF($K358="","",INDEX(AUX!$H$2:$H$361,$K358))</f>
        <v/>
      </c>
      <c r="G358" s="24" t="str">
        <f>IF($K358="","",INDEX(AUX!$I$2:$I$361,$K358))</f>
        <v/>
      </c>
      <c r="K358" t="str">
        <f>IFERROR(MATCH(351,AUX!$K$2:$K$361,0),"")</f>
        <v/>
      </c>
    </row>
    <row r="359" spans="1:11" x14ac:dyDescent="0.25">
      <c r="A359" s="46" t="str">
        <f>IF($K359="","",352)</f>
        <v/>
      </c>
      <c r="B359" s="47" t="str">
        <f>IF($K359="","",INDEX(AUX!$D$2:$D$361,$K359))</f>
        <v/>
      </c>
      <c r="C359" s="48" t="str">
        <f>IF($K359="","",INDEX(AUX!$E$2:$E$361,$K359))</f>
        <v/>
      </c>
      <c r="D359" s="48" t="str">
        <f>IF($K359="","",INDEX(AUX!$F$2:$F$361,$K359))</f>
        <v/>
      </c>
      <c r="E359" s="46" t="str">
        <f>IF($K359="","",INDEX(AUX!$G$2:$G$361,$K359))</f>
        <v/>
      </c>
      <c r="F359" s="49" t="str">
        <f>IF($K359="","",INDEX(AUX!$H$2:$H$361,$K359))</f>
        <v/>
      </c>
      <c r="G359" s="50" t="str">
        <f>IF($K359="","",INDEX(AUX!$I$2:$I$361,$K359))</f>
        <v/>
      </c>
      <c r="K359" t="str">
        <f>IFERROR(MATCH(352,AUX!$K$2:$K$361,0),"")</f>
        <v/>
      </c>
    </row>
    <row r="360" spans="1:11" x14ac:dyDescent="0.25">
      <c r="A360" s="42" t="str">
        <f>IF($K360="","",353)</f>
        <v/>
      </c>
      <c r="B360" s="43" t="str">
        <f>IF($K360="","",INDEX(AUX!$D$2:$D$361,$K360))</f>
        <v/>
      </c>
      <c r="C360" s="44" t="str">
        <f>IF($K360="","",INDEX(AUX!$E$2:$E$361,$K360))</f>
        <v/>
      </c>
      <c r="D360" s="44" t="str">
        <f>IF($K360="","",INDEX(AUX!$F$2:$F$361,$K360))</f>
        <v/>
      </c>
      <c r="E360" s="42" t="str">
        <f>IF($K360="","",INDEX(AUX!$G$2:$G$361,$K360))</f>
        <v/>
      </c>
      <c r="F360" s="45" t="str">
        <f>IF($K360="","",INDEX(AUX!$H$2:$H$361,$K360))</f>
        <v/>
      </c>
      <c r="G360" s="24" t="str">
        <f>IF($K360="","",INDEX(AUX!$I$2:$I$361,$K360))</f>
        <v/>
      </c>
      <c r="K360" t="str">
        <f>IFERROR(MATCH(353,AUX!$K$2:$K$361,0),"")</f>
        <v/>
      </c>
    </row>
    <row r="361" spans="1:11" x14ac:dyDescent="0.25">
      <c r="A361" s="46" t="str">
        <f>IF($K361="","",354)</f>
        <v/>
      </c>
      <c r="B361" s="47" t="str">
        <f>IF($K361="","",INDEX(AUX!$D$2:$D$361,$K361))</f>
        <v/>
      </c>
      <c r="C361" s="48" t="str">
        <f>IF($K361="","",INDEX(AUX!$E$2:$E$361,$K361))</f>
        <v/>
      </c>
      <c r="D361" s="48" t="str">
        <f>IF($K361="","",INDEX(AUX!$F$2:$F$361,$K361))</f>
        <v/>
      </c>
      <c r="E361" s="46" t="str">
        <f>IF($K361="","",INDEX(AUX!$G$2:$G$361,$K361))</f>
        <v/>
      </c>
      <c r="F361" s="49" t="str">
        <f>IF($K361="","",INDEX(AUX!$H$2:$H$361,$K361))</f>
        <v/>
      </c>
      <c r="G361" s="50" t="str">
        <f>IF($K361="","",INDEX(AUX!$I$2:$I$361,$K361))</f>
        <v/>
      </c>
      <c r="K361" t="str">
        <f>IFERROR(MATCH(354,AUX!$K$2:$K$361,0),"")</f>
        <v/>
      </c>
    </row>
    <row r="362" spans="1:11" x14ac:dyDescent="0.25">
      <c r="A362" s="42" t="str">
        <f>IF($K362="","",355)</f>
        <v/>
      </c>
      <c r="B362" s="43" t="str">
        <f>IF($K362="","",INDEX(AUX!$D$2:$D$361,$K362))</f>
        <v/>
      </c>
      <c r="C362" s="44" t="str">
        <f>IF($K362="","",INDEX(AUX!$E$2:$E$361,$K362))</f>
        <v/>
      </c>
      <c r="D362" s="44" t="str">
        <f>IF($K362="","",INDEX(AUX!$F$2:$F$361,$K362))</f>
        <v/>
      </c>
      <c r="E362" s="42" t="str">
        <f>IF($K362="","",INDEX(AUX!$G$2:$G$361,$K362))</f>
        <v/>
      </c>
      <c r="F362" s="45" t="str">
        <f>IF($K362="","",INDEX(AUX!$H$2:$H$361,$K362))</f>
        <v/>
      </c>
      <c r="G362" s="24" t="str">
        <f>IF($K362="","",INDEX(AUX!$I$2:$I$361,$K362))</f>
        <v/>
      </c>
      <c r="K362" t="str">
        <f>IFERROR(MATCH(355,AUX!$K$2:$K$361,0),"")</f>
        <v/>
      </c>
    </row>
    <row r="363" spans="1:11" x14ac:dyDescent="0.25">
      <c r="A363" s="46" t="str">
        <f>IF($K363="","",356)</f>
        <v/>
      </c>
      <c r="B363" s="47" t="str">
        <f>IF($K363="","",INDEX(AUX!$D$2:$D$361,$K363))</f>
        <v/>
      </c>
      <c r="C363" s="48" t="str">
        <f>IF($K363="","",INDEX(AUX!$E$2:$E$361,$K363))</f>
        <v/>
      </c>
      <c r="D363" s="48" t="str">
        <f>IF($K363="","",INDEX(AUX!$F$2:$F$361,$K363))</f>
        <v/>
      </c>
      <c r="E363" s="46" t="str">
        <f>IF($K363="","",INDEX(AUX!$G$2:$G$361,$K363))</f>
        <v/>
      </c>
      <c r="F363" s="49" t="str">
        <f>IF($K363="","",INDEX(AUX!$H$2:$H$361,$K363))</f>
        <v/>
      </c>
      <c r="G363" s="50" t="str">
        <f>IF($K363="","",INDEX(AUX!$I$2:$I$361,$K363))</f>
        <v/>
      </c>
      <c r="K363" t="str">
        <f>IFERROR(MATCH(356,AUX!$K$2:$K$361,0),"")</f>
        <v/>
      </c>
    </row>
    <row r="364" spans="1:11" x14ac:dyDescent="0.25">
      <c r="A364" s="42" t="str">
        <f>IF($K364="","",357)</f>
        <v/>
      </c>
      <c r="B364" s="43" t="str">
        <f>IF($K364="","",INDEX(AUX!$D$2:$D$361,$K364))</f>
        <v/>
      </c>
      <c r="C364" s="44" t="str">
        <f>IF($K364="","",INDEX(AUX!$E$2:$E$361,$K364))</f>
        <v/>
      </c>
      <c r="D364" s="44" t="str">
        <f>IF($K364="","",INDEX(AUX!$F$2:$F$361,$K364))</f>
        <v/>
      </c>
      <c r="E364" s="42" t="str">
        <f>IF($K364="","",INDEX(AUX!$G$2:$G$361,$K364))</f>
        <v/>
      </c>
      <c r="F364" s="45" t="str">
        <f>IF($K364="","",INDEX(AUX!$H$2:$H$361,$K364))</f>
        <v/>
      </c>
      <c r="G364" s="24" t="str">
        <f>IF($K364="","",INDEX(AUX!$I$2:$I$361,$K364))</f>
        <v/>
      </c>
      <c r="K364" t="str">
        <f>IFERROR(MATCH(357,AUX!$K$2:$K$361,0),"")</f>
        <v/>
      </c>
    </row>
    <row r="365" spans="1:11" x14ac:dyDescent="0.25">
      <c r="A365" s="46" t="str">
        <f>IF($K365="","",358)</f>
        <v/>
      </c>
      <c r="B365" s="47" t="str">
        <f>IF($K365="","",INDEX(AUX!$D$2:$D$361,$K365))</f>
        <v/>
      </c>
      <c r="C365" s="48" t="str">
        <f>IF($K365="","",INDEX(AUX!$E$2:$E$361,$K365))</f>
        <v/>
      </c>
      <c r="D365" s="48" t="str">
        <f>IF($K365="","",INDEX(AUX!$F$2:$F$361,$K365))</f>
        <v/>
      </c>
      <c r="E365" s="46" t="str">
        <f>IF($K365="","",INDEX(AUX!$G$2:$G$361,$K365))</f>
        <v/>
      </c>
      <c r="F365" s="49" t="str">
        <f>IF($K365="","",INDEX(AUX!$H$2:$H$361,$K365))</f>
        <v/>
      </c>
      <c r="G365" s="50" t="str">
        <f>IF($K365="","",INDEX(AUX!$I$2:$I$361,$K365))</f>
        <v/>
      </c>
      <c r="K365" t="str">
        <f>IFERROR(MATCH(358,AUX!$K$2:$K$361,0),"")</f>
        <v/>
      </c>
    </row>
    <row r="366" spans="1:11" x14ac:dyDescent="0.25">
      <c r="A366" s="42" t="str">
        <f>IF($K366="","",359)</f>
        <v/>
      </c>
      <c r="B366" s="43" t="str">
        <f>IF($K366="","",INDEX(AUX!$D$2:$D$361,$K366))</f>
        <v/>
      </c>
      <c r="C366" s="44" t="str">
        <f>IF($K366="","",INDEX(AUX!$E$2:$E$361,$K366))</f>
        <v/>
      </c>
      <c r="D366" s="44" t="str">
        <f>IF($K366="","",INDEX(AUX!$F$2:$F$361,$K366))</f>
        <v/>
      </c>
      <c r="E366" s="42" t="str">
        <f>IF($K366="","",INDEX(AUX!$G$2:$G$361,$K366))</f>
        <v/>
      </c>
      <c r="F366" s="45" t="str">
        <f>IF($K366="","",INDEX(AUX!$H$2:$H$361,$K366))</f>
        <v/>
      </c>
      <c r="G366" s="24" t="str">
        <f>IF($K366="","",INDEX(AUX!$I$2:$I$361,$K366))</f>
        <v/>
      </c>
      <c r="K366" t="str">
        <f>IFERROR(MATCH(359,AUX!$K$2:$K$361,0),"")</f>
        <v/>
      </c>
    </row>
    <row r="367" spans="1:11" x14ac:dyDescent="0.25">
      <c r="A367" s="46" t="str">
        <f>IF($K367="","",360)</f>
        <v/>
      </c>
      <c r="B367" s="47" t="str">
        <f>IF($K367="","",INDEX(AUX!$D$2:$D$361,$K367))</f>
        <v/>
      </c>
      <c r="C367" s="48" t="str">
        <f>IF($K367="","",INDEX(AUX!$E$2:$E$361,$K367))</f>
        <v/>
      </c>
      <c r="D367" s="48" t="str">
        <f>IF($K367="","",INDEX(AUX!$F$2:$F$361,$K367))</f>
        <v/>
      </c>
      <c r="E367" s="46" t="str">
        <f>IF($K367="","",INDEX(AUX!$G$2:$G$361,$K367))</f>
        <v/>
      </c>
      <c r="F367" s="49" t="str">
        <f>IF($K367="","",INDEX(AUX!$H$2:$H$361,$K367))</f>
        <v/>
      </c>
      <c r="G367" s="50" t="str">
        <f>IF($K367="","",INDEX(AUX!$I$2:$I$361,$K367))</f>
        <v/>
      </c>
      <c r="K367" t="str">
        <f>IFERROR(MATCH(360,AUX!$K$2:$K$361,0),"")</f>
        <v/>
      </c>
    </row>
    <row r="368" spans="1:11" x14ac:dyDescent="0.25">
      <c r="A368" s="53" t="s">
        <v>23298</v>
      </c>
      <c r="B368" s="53"/>
      <c r="C368" s="53"/>
      <c r="D368" s="53"/>
      <c r="E368" s="53"/>
      <c r="F368" s="53"/>
      <c r="G368" s="51">
        <f>SUM(G8:G367)</f>
        <v>57</v>
      </c>
    </row>
  </sheetData>
  <sheetProtection password="DF7E" sheet="1"/>
  <mergeCells count="3">
    <mergeCell ref="A1:G1"/>
    <mergeCell ref="A2:G2"/>
    <mergeCell ref="A368:F368"/>
  </mergeCells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BD_PLANTA</vt:lpstr>
      <vt:lpstr>DATOS_IED</vt:lpstr>
      <vt:lpstr>REPORTE</vt:lpstr>
      <vt:lpstr>AUX</vt:lpstr>
      <vt:lpstr>CONSOLIDADO</vt:lpstr>
      <vt:lpstr>REPORTE!Área_de_impresión</vt:lpstr>
      <vt:lpstr>CEDULAS</vt:lpstr>
      <vt:lpstr>MUNICIPIOS</vt:lpstr>
      <vt:lpstr>RECTORES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NOMINA</cp:lastModifiedBy>
  <cp:revision>0</cp:revision>
  <dcterms:created xsi:type="dcterms:W3CDTF">2026-07-06T14:46:50Z</dcterms:created>
  <dcterms:modified xsi:type="dcterms:W3CDTF">2026-07-06T15:02:14Z</dcterms:modified>
  <dc:language>en-US</dc:language>
</cp:coreProperties>
</file>